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870" windowHeight="6180" tabRatio="946" activeTab="0"/>
  </bookViews>
  <sheets>
    <sheet name="READ ME" sheetId="1" r:id="rId1"/>
    <sheet name="Points to Consider" sheetId="2" r:id="rId2"/>
    <sheet name="INPUTS" sheetId="3" r:id="rId3"/>
    <sheet name="upper bound Kenaga" sheetId="4" r:id="rId4"/>
    <sheet name="mean Kenaga" sheetId="5" r:id="rId5"/>
    <sheet name="LD50 ft-2" sheetId="6" r:id="rId6"/>
    <sheet name="Granular Characterization Calcs" sheetId="7" r:id="rId7"/>
    <sheet name="Seed Treatments" sheetId="8" r:id="rId8"/>
    <sheet name="Graphs" sheetId="9" r:id="rId9"/>
    <sheet name="Comment Sheet" sheetId="10" r:id="rId10"/>
    <sheet name="Print Results" sheetId="11" r:id="rId11"/>
  </sheets>
  <definedNames>
    <definedName name="AppFreq" localSheetId="4">'mean Kenaga'!$B$8</definedName>
    <definedName name="AppFreq">'upper bound Kenaga'!$B$8</definedName>
    <definedName name="AppRate" localSheetId="4">'mean Kenaga'!$B$6</definedName>
    <definedName name="AppRate">'upper bound Kenaga'!$B$6</definedName>
    <definedName name="BroadleafInitial" localSheetId="4">'mean Kenaga'!$Q$13</definedName>
    <definedName name="BroadleafInitial">'upper bound Kenaga'!$Q$13</definedName>
    <definedName name="Length" localSheetId="4">'mean Kenaga'!$B$10</definedName>
    <definedName name="Length">'upper bound Kenaga'!$B$10</definedName>
    <definedName name="Max#Apps" localSheetId="4">'mean Kenaga'!$B$9</definedName>
    <definedName name="Max#Apps">'upper bound Kenaga'!$B$9</definedName>
    <definedName name="_xlnm.Print_Area" localSheetId="6">'Granular Characterization Calcs'!$A$1:$D$33</definedName>
    <definedName name="_xlnm.Print_Area" localSheetId="2">'INPUTS'!$A$1:$J$51</definedName>
    <definedName name="_xlnm.Print_Area" localSheetId="5">'LD50 ft-2'!$A$1:$J$51</definedName>
    <definedName name="_xlnm.Print_Area" localSheetId="4">'mean Kenaga'!$A$1:$H$170</definedName>
    <definedName name="_xlnm.Print_Area" localSheetId="1">'Points to Consider'!$A$1:$O$29</definedName>
    <definedName name="_xlnm.Print_Area" localSheetId="10">'Print Results'!$A$9:$AI$64</definedName>
    <definedName name="_xlnm.Print_Area" localSheetId="0">'READ ME'!$A$1:$W$59</definedName>
    <definedName name="_xlnm.Print_Area" localSheetId="7">'Seed Treatments'!$A$1:$K$107</definedName>
    <definedName name="_xlnm.Print_Area" localSheetId="3">'upper bound Kenaga'!$A$1:$H$234</definedName>
    <definedName name="RateConstant" localSheetId="4">'mean Kenaga'!$Q$16</definedName>
    <definedName name="RateConstant">'upper bound Kenaga'!$Q$16</definedName>
    <definedName name="Seeds" localSheetId="4">'mean Kenaga'!$Q$14</definedName>
    <definedName name="Seeds">'upper bound Kenaga'!$Q$14</definedName>
    <definedName name="ShortGrassInitial" localSheetId="4">'mean Kenaga'!$Q$11</definedName>
    <definedName name="ShortGrassInitial">'upper bound Kenaga'!$Q$11</definedName>
    <definedName name="T1/2" localSheetId="4">'mean Kenaga'!$B$7</definedName>
    <definedName name="T1/2">'upper bound Kenaga'!$B$7</definedName>
    <definedName name="TallGrassInitial" localSheetId="4">'mean Kenaga'!$Q$12</definedName>
    <definedName name="TallGrassInitial">'upper bound Kenaga'!$Q$12</definedName>
  </definedNames>
  <calcPr fullCalcOnLoad="1"/>
</workbook>
</file>

<file path=xl/comments3.xml><?xml version="1.0" encoding="utf-8"?>
<comments xmlns="http://schemas.openxmlformats.org/spreadsheetml/2006/main">
  <authors>
    <author>Jravensc</author>
    <author>John Ravenscroft</author>
    <author>OPP</author>
    <author>A satisfied Microsoft Office user</author>
    <author>BANDER03</author>
  </authors>
  <commentList>
    <comment ref="C24" authorId="0">
      <text>
        <r>
          <rPr>
            <b/>
            <sz val="8"/>
            <rFont val="Tahoma"/>
            <family val="0"/>
          </rPr>
          <t>Enter LD50 for dose-based acute effects endpoint.  EFED policy states that for screening risk assessments, the lowest LD50 from acceptable or supplemental studies be used.  However the risk assessor may elect other LD50 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r>
          <rPr>
            <sz val="8"/>
            <rFont val="Tahoma"/>
            <family val="0"/>
          </rPr>
          <t xml:space="preserve">
</t>
        </r>
      </text>
    </comment>
    <comment ref="C25" authorId="0">
      <text>
        <r>
          <rPr>
            <b/>
            <sz val="8"/>
            <rFont val="Tahoma"/>
            <family val="0"/>
          </rPr>
          <t>Enter LC50 for dietary-based acute effects endpoint.  EFED policy states that for screening risk assessments, the lowest LC50 from acceptable or supplemental studies be used.  However the risk assessor may elect other LC50 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text>
    </comment>
    <comment ref="C26" authorId="0">
      <text>
        <r>
          <rPr>
            <b/>
            <sz val="8"/>
            <rFont val="Tahoma"/>
            <family val="0"/>
          </rPr>
          <t xml:space="preserve">Enter NOAEL here if reported in mg/kg bw/d.  EFED policy states that for screening risk assessments, the lowest NOAEL for reproduction effects from acceptable or supplemental studies be used.  However the risk assessor may elect other NOAELvalues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
</t>
        </r>
      </text>
    </comment>
    <comment ref="C27" authorId="0">
      <text>
        <r>
          <rPr>
            <b/>
            <sz val="8"/>
            <rFont val="Tahoma"/>
            <family val="0"/>
          </rPr>
          <t>Enter NOAEC here if reported in ppm.  EFED policy states that for screening risk assessments, the lowest NOAEC for reproduction effects from acceptable or supplemental studies be used.  However the risk assessor may elect other NOAECvalues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text>
    </comment>
    <comment ref="C33" authorId="0">
      <text>
        <r>
          <rPr>
            <b/>
            <sz val="8"/>
            <rFont val="Tahoma"/>
            <family val="0"/>
          </rPr>
          <t>Enter LD50 for dose-based acute effects endpoint.  EFED policy states that for screening risk assessments, the lowest rat LD50 from acceptable or supplemental studies be used.  However the risk assessor may elect other LD50 values as necessary for non-screening risk assessments, but must document in  risk assessment why the lowest tested endpoint was not used.  
The risk assessor should note that this version of the model assumes a set bodyweight (350 g) for the tested organisms, assuming they are laboratory rats.  Use of other species, or studies involving subject animals markedly different from the assumed bodyweightof 350 g will result in inaccuraties in extrapolating test endpoints to modelled animals.</t>
        </r>
        <r>
          <rPr>
            <sz val="8"/>
            <rFont val="Tahoma"/>
            <family val="0"/>
          </rPr>
          <t xml:space="preserve">
</t>
        </r>
      </text>
    </comment>
    <comment ref="C34" authorId="0">
      <text>
        <r>
          <rPr>
            <b/>
            <sz val="8"/>
            <rFont val="Tahoma"/>
            <family val="0"/>
          </rPr>
          <t>Enter LC50 for dietary-based acute effects endpoint.  EFED policy states that for screening risk assessments, the lowest rat LC50 from acceptable or supplemental studies be used.  However the risk assessor may elect other LC50 values as necessary for non-screening risk assessments, but must document in  risk assessment why the lowest tested endpoint was not used. 
The risk assessor should note that this version of the model assumes a set bodyweight (350 g) for the tested organisms, assuming they are laboratory rats.  Use of other species, or studies involving subject animals markedly different from the assumed bodyweightof 350 g will result in inaccuraties in extrapolating test endpoints to modelled animals.</t>
        </r>
      </text>
    </comment>
    <comment ref="C35" authorId="1">
      <text>
        <r>
          <rPr>
            <b/>
            <sz val="8"/>
            <rFont val="Tahoma"/>
            <family val="2"/>
          </rPr>
          <t>Enter EITHER the  NOAEL or the NOAEC.  To the right of this cell is a drop down menu for the units in which the endpoint is expressed.  The model will automatically make default adjustments for units to express the endpoint BOTH as NOAEC and NOAEL.
EFED policy states that for screening risk assessments, the lowest NOAEL or NOAEC for rat reproduction effects from acceptable or supplemental studies be used.  If a rat reproduction study is unavailable the risk assessor may use the rat teratogenicity study NOAEL or NOAEC, but must identify this alternative endpoint use and must discuss in the risk description its limitations.  The risk assessor may elect other NOAEL or NOAEC values as necessary for non-screening risk assessments, but must document in  risk assessment why the lowest tested reproduction endpoint was not used.
The risk assessor should note that this version of the model assumes a set bodyweight (350 g) for the tested organisms, assuming they are laboratory rats.  Use of other species, or studies involving subject animals markedly different from the assumed bodyweightof 350 g will result in inaccuraties in extrapolating test endpoints to modelled animals.</t>
        </r>
        <r>
          <rPr>
            <sz val="10"/>
            <rFont val="Tahoma"/>
            <family val="2"/>
          </rPr>
          <t xml:space="preserve">
</t>
        </r>
      </text>
    </comment>
    <comment ref="D28" authorId="2">
      <text>
        <r>
          <rPr>
            <b/>
            <sz val="10"/>
            <rFont val="Tahoma"/>
            <family val="2"/>
          </rPr>
          <t>Scaling factor requested is chemical specific or is set to a default of 1.15 as discussed in :
Mineau, P., B.T. Collins, A. Baril.  1996.  On the use of scaling factors to improve interspecies extrapolation to acute toxicity in birds.  Reg. Toxicol. Pharmacol.  24:24-29</t>
        </r>
        <r>
          <rPr>
            <b/>
            <sz val="8"/>
            <rFont val="Tahoma"/>
            <family val="0"/>
          </rPr>
          <t xml:space="preserve">
</t>
        </r>
      </text>
    </comment>
    <comment ref="B9" authorId="0">
      <text>
        <r>
          <rPr>
            <b/>
            <sz val="10"/>
            <rFont val="Tahoma"/>
            <family val="2"/>
          </rPr>
          <t>If an application rate for a formulated product is used, enter the % A.I. for the formulation.  However, if the application rate to be entered has already been adjusted for % A.I., use 100 % in this cell. 
If the percent a.i. is &lt;1%, then a leading zero to the left of the decimal must be entered to ensure that 0.5% is not changed to 50% by EXCEL.  For example, a 0.5% formulation must be entered as "0.5" or ".5%" not ".5", and a 0.006% formulation must be entered as "0.006" or ".006%" not ".006".</t>
        </r>
      </text>
    </comment>
    <comment ref="D45" authorId="0">
      <text>
        <r>
          <rPr>
            <b/>
            <sz val="10"/>
            <rFont val="Tahoma"/>
            <family val="2"/>
          </rPr>
          <t>Input value only if product applied as a liquid, otherwise leave blank.</t>
        </r>
        <r>
          <rPr>
            <sz val="8"/>
            <rFont val="Tahoma"/>
            <family val="0"/>
          </rPr>
          <t xml:space="preserve">
</t>
        </r>
      </text>
    </comment>
    <comment ref="B6" authorId="2">
      <text>
        <r>
          <rPr>
            <b/>
            <sz val="8"/>
            <rFont val="Tahoma"/>
            <family val="0"/>
          </rPr>
          <t xml:space="preserve">Enter the name of the active ingredient that is the subject of the registration.  </t>
        </r>
        <r>
          <rPr>
            <sz val="8"/>
            <rFont val="Tahoma"/>
            <family val="0"/>
          </rPr>
          <t xml:space="preserve">
</t>
        </r>
      </text>
    </comment>
    <comment ref="B7" authorId="2">
      <text>
        <r>
          <rPr>
            <b/>
            <sz val="8"/>
            <rFont val="Tahoma"/>
            <family val="0"/>
          </rPr>
          <t>Enter the use site (eg. turf, residential, crop, rights-of-way, etc.),</t>
        </r>
        <r>
          <rPr>
            <sz val="8"/>
            <rFont val="Tahoma"/>
            <family val="0"/>
          </rPr>
          <t xml:space="preserve">
</t>
        </r>
      </text>
    </comment>
    <comment ref="B8" authorId="2">
      <text>
        <r>
          <rPr>
            <b/>
            <sz val="10"/>
            <rFont val="Tahoma"/>
            <family val="2"/>
          </rPr>
          <t>Enter the name of the formulated product as it appears on the subject label, including any indication of the form of the product (eg., 10g -10% granular, wp-wettable powder, etc.)</t>
        </r>
        <r>
          <rPr>
            <sz val="8"/>
            <rFont val="Tahoma"/>
            <family val="0"/>
          </rPr>
          <t xml:space="preserve">
</t>
        </r>
      </text>
    </comment>
    <comment ref="B12" authorId="2">
      <text>
        <r>
          <rPr>
            <b/>
            <sz val="8"/>
            <rFont val="Tahoma"/>
            <family val="0"/>
          </rPr>
          <t>Enter the interval (days) between multiple applications (if any).  Note: this version of the model can only accommodate uniform application intervals, subsequent models will incorporate a provision of intervals of varying length.</t>
        </r>
        <r>
          <rPr>
            <sz val="8"/>
            <rFont val="Tahoma"/>
            <family val="0"/>
          </rPr>
          <t xml:space="preserve">
</t>
        </r>
      </text>
    </comment>
    <comment ref="B13" authorId="2">
      <text>
        <r>
          <rPr>
            <b/>
            <sz val="8"/>
            <rFont val="Tahoma"/>
            <family val="0"/>
          </rPr>
          <t xml:space="preserve">Enter the number of applications.  EFED Policy states that screening risk assessments should consider the maximum number of applications specified on the product label.  However, the risk assessor may elect other numbers of applications to explore possible mitigation effort effects on risk outcomes. </t>
        </r>
        <r>
          <rPr>
            <sz val="8"/>
            <rFont val="Tahoma"/>
            <family val="0"/>
          </rPr>
          <t xml:space="preserve">
</t>
        </r>
      </text>
    </comment>
    <comment ref="C41" authorId="2">
      <text>
        <r>
          <rPr>
            <b/>
            <sz val="8"/>
            <rFont val="Tahoma"/>
            <family val="0"/>
          </rPr>
          <t xml:space="preserve">From the drop-down menu enter the type of application method to be considered in this model run.  The type of application is important in LD50ft-2 calculations as it is linked to assumptions regarding availability of the pesticide to wildlife.
</t>
        </r>
        <r>
          <rPr>
            <sz val="8"/>
            <rFont val="Tahoma"/>
            <family val="0"/>
          </rPr>
          <t xml:space="preserve">
</t>
        </r>
      </text>
    </comment>
    <comment ref="C42" authorId="2">
      <text>
        <r>
          <rPr>
            <b/>
            <sz val="8"/>
            <rFont val="Tahoma"/>
            <family val="0"/>
          </rPr>
          <t>From the drop-down menu enter the application media  (liquid or granular).  The application media is important for bioavialability assumptions for LD50ft-2 calculations</t>
        </r>
        <r>
          <rPr>
            <sz val="8"/>
            <rFont val="Tahoma"/>
            <family val="0"/>
          </rPr>
          <t xml:space="preserve">
</t>
        </r>
      </text>
    </comment>
    <comment ref="F24" authorId="2">
      <text>
        <r>
          <rPr>
            <b/>
            <sz val="8"/>
            <rFont val="Tahoma"/>
            <family val="0"/>
          </rPr>
          <t>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t>
        </r>
        <r>
          <rPr>
            <b/>
            <sz val="8"/>
            <rFont val="Tahoma"/>
            <family val="2"/>
          </rPr>
          <t xml:space="preserve">
the desired tested animal bodyweight(g) here.  
</t>
        </r>
      </text>
    </comment>
    <comment ref="G24"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5"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6"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7"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D46" authorId="0">
      <text>
        <r>
          <rPr>
            <b/>
            <sz val="10"/>
            <rFont val="Tahoma"/>
            <family val="2"/>
          </rPr>
          <t>Input value only if "Rows/Band/In-furrow" is selected, otherwise leave blank.</t>
        </r>
        <r>
          <rPr>
            <sz val="8"/>
            <rFont val="Tahoma"/>
            <family val="0"/>
          </rPr>
          <t xml:space="preserve">
</t>
        </r>
      </text>
    </comment>
    <comment ref="D47" authorId="0">
      <text>
        <r>
          <rPr>
            <b/>
            <sz val="10"/>
            <rFont val="Tahoma"/>
            <family val="2"/>
          </rPr>
          <t>Input value only if "Rows/Band/In-furrow" is selected, otherwise leave blank.</t>
        </r>
        <r>
          <rPr>
            <sz val="8"/>
            <rFont val="Tahoma"/>
            <family val="0"/>
          </rPr>
          <t xml:space="preserve">
</t>
        </r>
      </text>
    </comment>
    <comment ref="D48" authorId="0">
      <text>
        <r>
          <rPr>
            <b/>
            <sz val="10"/>
            <rFont val="Tahoma"/>
            <family val="2"/>
          </rPr>
          <t>See T-REX User's guide for information on this input.  Percent incorporation depends on the application method.  Assume 0% incorporated unless soil incorporation is required on the label.</t>
        </r>
        <r>
          <rPr>
            <sz val="8"/>
            <rFont val="Tahoma"/>
            <family val="0"/>
          </rPr>
          <t xml:space="preserve">
</t>
        </r>
      </text>
    </comment>
    <comment ref="F25" authorId="2">
      <text>
        <r>
          <rPr>
            <b/>
            <sz val="8"/>
            <rFont val="Tahoma"/>
            <family val="0"/>
          </rPr>
          <t>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t>
        </r>
        <r>
          <rPr>
            <b/>
            <sz val="8"/>
            <rFont val="Tahoma"/>
            <family val="2"/>
          </rPr>
          <t xml:space="preserve">
the desired tested animal bodyweight(g) here.  
</t>
        </r>
      </text>
    </comment>
    <comment ref="F26" authorId="2">
      <text>
        <r>
          <rPr>
            <b/>
            <sz val="8"/>
            <rFont val="Tahoma"/>
            <family val="0"/>
          </rPr>
          <t>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t>
        </r>
        <r>
          <rPr>
            <b/>
            <sz val="8"/>
            <rFont val="Tahoma"/>
            <family val="2"/>
          </rPr>
          <t xml:space="preserve">
the desired tested animal bodyweight(g) here.  
</t>
        </r>
      </text>
    </comment>
    <comment ref="F27" authorId="2">
      <text>
        <r>
          <rPr>
            <b/>
            <sz val="8"/>
            <rFont val="Tahoma"/>
            <family val="0"/>
          </rPr>
          <t>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t>
        </r>
        <r>
          <rPr>
            <b/>
            <sz val="8"/>
            <rFont val="Tahoma"/>
            <family val="2"/>
          </rPr>
          <t xml:space="preserve">
the desired tested animal bodyweight(g) here.  
</t>
        </r>
      </text>
    </comment>
    <comment ref="B10" authorId="0">
      <text>
        <r>
          <rPr>
            <b/>
            <sz val="10"/>
            <rFont val="Tahoma"/>
            <family val="2"/>
          </rPr>
          <t>If the application rate has already been adjusted for active ingredient, make sure  a value of 100 is entered in the % A.I. cell above; otherwise, enter your application rate in lbs formulation/A here and then the % A.I. in the product in the above cell.</t>
        </r>
        <r>
          <rPr>
            <sz val="8"/>
            <rFont val="Tahoma"/>
            <family val="2"/>
          </rPr>
          <t xml:space="preserve">
</t>
        </r>
      </text>
    </comment>
    <comment ref="B11" authorId="3">
      <text>
        <r>
          <rPr>
            <b/>
            <sz val="10"/>
            <rFont val="Tahoma"/>
            <family val="2"/>
          </rPr>
          <t>EFED policy requires the risk assessor to consult available magnitude of residue (171-4), the reduction of residue (171-5) and the foliar dissipation (132-1) studies submitted by the registrant to HED.  Risk assesment should document what studies were reviewed and the findings of that review relative to decisions on pesticide residue half-life for wildlife food items used for terrestrial wildlife exposure modeling.  
Another source for dissipation data for wildlife exposure modeling purposes is Willis and McDowell (1987).  In the event that the above data sources do not provide a suitable half-life estimate, the EFED default Value is 35 days.  When using the default, the risk assessor is urged to evaluate the effect of alternative assumptions of residue half-life assumption on the outcome of the terrestrial wildlife risk assessment and include this evaluation in the discussion of risk assessment uncertainties.
Willis G.H., and L.L. McDowell.  1987.  Pesticide persistence on foliage, Reviews of Environmental Contamination and Toxicology, 100 : 24-73</t>
        </r>
      </text>
    </comment>
    <comment ref="A14" authorId="4">
      <text>
        <r>
          <rPr>
            <sz val="10"/>
            <rFont val="Tahoma"/>
            <family val="2"/>
          </rPr>
          <t>Note, for national level assessments use default body weights of 15, 35, and 1000 grams for mammals and 20, 100, and 1000 grams for birds.  For species specific analyses, use appropriate range of body size for the species and document the reference for the choice of size.</t>
        </r>
      </text>
    </comment>
  </commentList>
</comments>
</file>

<file path=xl/comments4.xml><?xml version="1.0" encoding="utf-8"?>
<comments xmlns="http://schemas.openxmlformats.org/spreadsheetml/2006/main">
  <authors>
    <author>A satisfied Microsoft Office user</author>
    <author>Jravensc</author>
    <author>US EPA</author>
  </authors>
  <commentList>
    <comment ref="B7" authorId="0">
      <text>
        <r>
          <rPr>
            <sz val="8"/>
            <rFont val="Tahoma"/>
            <family val="0"/>
          </rPr>
          <t>Default Value - 35 days</t>
        </r>
      </text>
    </comment>
    <comment ref="A137" authorId="1">
      <text>
        <r>
          <rPr>
            <b/>
            <sz val="12"/>
            <rFont val="Tahoma"/>
            <family val="2"/>
          </rPr>
          <t>Use this table if LC50 and/or NOAEC is reported in ppm.</t>
        </r>
        <r>
          <rPr>
            <sz val="8"/>
            <rFont val="Tahoma"/>
            <family val="0"/>
          </rPr>
          <t xml:space="preserve">
</t>
        </r>
      </text>
    </comment>
    <comment ref="A128" authorId="1">
      <text>
        <r>
          <rPr>
            <b/>
            <sz val="12"/>
            <rFont val="Tahoma"/>
            <family val="2"/>
          </rPr>
          <t>Use this table if LD50 and/or NOAEL is reported in mg/kg bw/d.</t>
        </r>
      </text>
    </comment>
    <comment ref="A66" authorId="1">
      <text>
        <r>
          <rPr>
            <b/>
            <sz val="12"/>
            <rFont val="Tahoma"/>
            <family val="2"/>
          </rPr>
          <t>Use this table when LD50 is reported in mg/kg bw/d.</t>
        </r>
      </text>
    </comment>
    <comment ref="A74" authorId="1">
      <text>
        <r>
          <rPr>
            <b/>
            <sz val="12"/>
            <rFont val="Tahoma"/>
            <family val="2"/>
          </rPr>
          <t>Use this table when a dietary LC50 is reported.  The consumption-weighted and non-modified RQs are given.</t>
        </r>
        <r>
          <rPr>
            <sz val="12"/>
            <rFont val="Tahoma"/>
            <family val="2"/>
          </rPr>
          <t xml:space="preserve">
</t>
        </r>
      </text>
    </comment>
    <comment ref="A25" authorId="2">
      <text>
        <r>
          <rPr>
            <b/>
            <sz val="8"/>
            <rFont val="Tahoma"/>
            <family val="0"/>
          </rPr>
          <t>These EECs are used in the mammalian and avian dietary-based RQ calculations and are not adjusted for food intake or body weight of the assessed organism.</t>
        </r>
      </text>
    </comment>
  </commentList>
</comments>
</file>

<file path=xl/comments5.xml><?xml version="1.0" encoding="utf-8"?>
<comments xmlns="http://schemas.openxmlformats.org/spreadsheetml/2006/main">
  <authors>
    <author>A satisfied Microsoft Office user</author>
    <author>Jravensc</author>
    <author>US EPA</author>
  </authors>
  <commentList>
    <comment ref="B7" authorId="0">
      <text>
        <r>
          <rPr>
            <sz val="8"/>
            <rFont val="Tahoma"/>
            <family val="0"/>
          </rPr>
          <t>Default Value - 35 days</t>
        </r>
      </text>
    </comment>
    <comment ref="A121" authorId="1">
      <text>
        <r>
          <rPr>
            <b/>
            <sz val="12"/>
            <rFont val="Tahoma"/>
            <family val="2"/>
          </rPr>
          <t>Use this table if LC50 and/or NOAEC is reported in ppm.</t>
        </r>
        <r>
          <rPr>
            <sz val="8"/>
            <rFont val="Tahoma"/>
            <family val="0"/>
          </rPr>
          <t xml:space="preserve">
</t>
        </r>
      </text>
    </comment>
    <comment ref="A112" authorId="1">
      <text>
        <r>
          <rPr>
            <b/>
            <sz val="12"/>
            <rFont val="Tahoma"/>
            <family val="2"/>
          </rPr>
          <t>Use this table if LD50 and/or NOAEL is reported in mg/kg bw/d.</t>
        </r>
      </text>
    </comment>
    <comment ref="A52" authorId="1">
      <text>
        <r>
          <rPr>
            <b/>
            <sz val="12"/>
            <rFont val="Tahoma"/>
            <family val="2"/>
          </rPr>
          <t>Use this table when LD50 is reported in mg/kg bw/d.</t>
        </r>
      </text>
    </comment>
    <comment ref="A60" authorId="1">
      <text>
        <r>
          <rPr>
            <b/>
            <sz val="12"/>
            <rFont val="Tahoma"/>
            <family val="2"/>
          </rPr>
          <t>Use this table when a dietary LC50 is reported.  The consumption-weighted and non-modified RQs are given.</t>
        </r>
        <r>
          <rPr>
            <sz val="12"/>
            <rFont val="Tahoma"/>
            <family val="2"/>
          </rPr>
          <t xml:space="preserve">
</t>
        </r>
      </text>
    </comment>
    <comment ref="A25" authorId="2">
      <text>
        <r>
          <rPr>
            <b/>
            <sz val="8"/>
            <rFont val="Tahoma"/>
            <family val="0"/>
          </rPr>
          <t>These EECs are used in the mammalian and avian dietary-based RQ calculations and are not adjusted for food intake or body weight of the assessed organism.</t>
        </r>
        <r>
          <rPr>
            <sz val="8"/>
            <rFont val="Tahoma"/>
            <family val="0"/>
          </rPr>
          <t xml:space="preserve">
</t>
        </r>
      </text>
    </comment>
    <comment ref="A44" authorId="2">
      <text>
        <r>
          <rPr>
            <b/>
            <sz val="8"/>
            <rFont val="Tahoma"/>
            <family val="0"/>
          </rPr>
          <t>These EECs are used to calculate dose-based EECs and are adjusted for food intake and body weight of the assessed organism.</t>
        </r>
      </text>
    </comment>
  </commentList>
</comments>
</file>

<file path=xl/comments6.xml><?xml version="1.0" encoding="utf-8"?>
<comments xmlns="http://schemas.openxmlformats.org/spreadsheetml/2006/main">
  <authors>
    <author>Jravensc</author>
  </authors>
  <commentList>
    <comment ref="D7" authorId="0">
      <text>
        <r>
          <rPr>
            <b/>
            <sz val="12"/>
            <rFont val="Tahoma"/>
            <family val="2"/>
          </rPr>
          <t>This percentage has been converted to a decimal number for use in the calculations.</t>
        </r>
        <r>
          <rPr>
            <b/>
            <sz val="8"/>
            <rFont val="Tahoma"/>
            <family val="0"/>
          </rPr>
          <t xml:space="preserve">
</t>
        </r>
        <r>
          <rPr>
            <sz val="8"/>
            <rFont val="Tahoma"/>
            <family val="0"/>
          </rPr>
          <t xml:space="preserve">
</t>
        </r>
      </text>
    </comment>
  </commentList>
</comments>
</file>

<file path=xl/comments8.xml><?xml version="1.0" encoding="utf-8"?>
<comments xmlns="http://schemas.openxmlformats.org/spreadsheetml/2006/main">
  <authors>
    <author>Jravensc</author>
    <author>OPP</author>
    <author>US EPA</author>
  </authors>
  <commentList>
    <comment ref="D7" authorId="0">
      <text>
        <r>
          <rPr>
            <b/>
            <sz val="10"/>
            <rFont val="Tahoma"/>
            <family val="2"/>
          </rPr>
          <t>Data in this cell are from the 'Inputs' worksheet.  Enter the test animal body weight in grams from the study.  If these data are not available use the following defaults: for bobwhite quail (178 g); for the mallard duck (1580 g) 1580 (Dunning, 1984).  For other  species consult Dunning of other available information for establishing an appropriate body weight.  The risk assessment should document such efforts.</t>
        </r>
        <r>
          <rPr>
            <sz val="8"/>
            <rFont val="Tahoma"/>
            <family val="0"/>
          </rPr>
          <t xml:space="preserve">
</t>
        </r>
      </text>
    </comment>
    <comment ref="D9" authorId="0">
      <text>
        <r>
          <rPr>
            <b/>
            <sz val="10"/>
            <rFont val="Tahoma"/>
            <family val="2"/>
          </rPr>
          <t>Enter the test animal body weight in grams from the toxicity study based on the average weight of the animals used in the study.  If such data are not available, use a test body weight of 350 g for a lab rat study.  If another mammal species is used (e.g., rabbit, dog, etc.) the risk assessment should document the origin of the body weights used.</t>
        </r>
      </text>
    </comment>
    <comment ref="C4" authorId="0">
      <text>
        <r>
          <rPr>
            <b/>
            <sz val="14"/>
            <rFont val="Tahoma"/>
            <family val="2"/>
          </rPr>
          <t>Insert percent active ingredient in the formulation as a whole number (e.g., 24% ai = 24).</t>
        </r>
        <r>
          <rPr>
            <sz val="8"/>
            <rFont val="Tahoma"/>
            <family val="0"/>
          </rPr>
          <t xml:space="preserve">
</t>
        </r>
      </text>
    </comment>
    <comment ref="C3" authorId="0">
      <text>
        <r>
          <rPr>
            <b/>
            <sz val="14"/>
            <rFont val="Tahoma"/>
            <family val="2"/>
          </rPr>
          <t>Input formulation name from label.</t>
        </r>
        <r>
          <rPr>
            <sz val="8"/>
            <rFont val="Tahoma"/>
            <family val="0"/>
          </rPr>
          <t xml:space="preserve">
</t>
        </r>
      </text>
    </comment>
    <comment ref="J4" authorId="0">
      <text>
        <r>
          <rPr>
            <b/>
            <sz val="10"/>
            <rFont val="Tahoma"/>
            <family val="2"/>
          </rPr>
          <t>If density of product is known, enter it here.  Default value is 8.33.</t>
        </r>
        <r>
          <rPr>
            <sz val="8"/>
            <rFont val="Tahoma"/>
            <family val="0"/>
          </rPr>
          <t xml:space="preserve">
</t>
        </r>
      </text>
    </comment>
    <comment ref="E7" authorId="0">
      <text>
        <r>
          <rPr>
            <b/>
            <sz val="10"/>
            <rFont val="Tahoma"/>
            <family val="2"/>
          </rPr>
          <t>Adjusted LD50 is for a 20 g bird.</t>
        </r>
        <r>
          <rPr>
            <sz val="8"/>
            <rFont val="Tahoma"/>
            <family val="0"/>
          </rPr>
          <t xml:space="preserve">
</t>
        </r>
      </text>
    </comment>
    <comment ref="E9" authorId="0">
      <text>
        <r>
          <rPr>
            <b/>
            <sz val="10"/>
            <rFont val="Tahoma"/>
            <family val="2"/>
          </rPr>
          <t>Adjusted LD50 is for a 15 g mammal.</t>
        </r>
        <r>
          <rPr>
            <sz val="8"/>
            <rFont val="Tahoma"/>
            <family val="0"/>
          </rPr>
          <t xml:space="preserve">
</t>
        </r>
      </text>
    </comment>
    <comment ref="C12" authorId="0">
      <text>
        <r>
          <rPr>
            <b/>
            <sz val="12"/>
            <rFont val="Tahoma"/>
            <family val="2"/>
          </rPr>
          <t>Reference listed is hyperlinked.  If another seeding rate is identified that is higher than the default rate, replace the listed reference with that for your higher rate.</t>
        </r>
        <r>
          <rPr>
            <sz val="8"/>
            <rFont val="Tahoma"/>
            <family val="0"/>
          </rPr>
          <t xml:space="preserve">
</t>
        </r>
      </text>
    </comment>
    <comment ref="B14"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15"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16"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17"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18"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19"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0"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1"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2"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3"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4"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5"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6"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7"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8"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29"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0"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1"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2"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3"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4"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5"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6"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7"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B38" authorId="1">
      <text>
        <r>
          <rPr>
            <b/>
            <sz val="12"/>
            <rFont val="Tahoma"/>
            <family val="2"/>
          </rPr>
          <t>Maximum seeding rates are from the listed reference.  If you have a higher value for your proposed use, enter it in the appropriate cell for that crop.  If you do change these seeding rates, enter the reference for that data in the corresponding reference cell.</t>
        </r>
        <r>
          <rPr>
            <sz val="8"/>
            <rFont val="Tahoma"/>
            <family val="0"/>
          </rPr>
          <t xml:space="preserve">
</t>
        </r>
      </text>
    </comment>
    <comment ref="J12" authorId="2">
      <text>
        <r>
          <rPr>
            <b/>
            <sz val="8"/>
            <rFont val="Tahoma"/>
            <family val="0"/>
          </rPr>
          <t xml:space="preserve">These data are obtained from the product label.  Only data on commodities being assessed need to be entered.  For example, if rye is not an intended use, then leave it set to zero, as this will have no impact on the RQ calculations for the other crops.
NOTE: If a liquid rate is not available for a chemical, enter the dry weight application rate (lbs ai/cwt) in the adjoining cell.  Once this is done; however, the underlying equation in that cell has been replaced.  It is preferable that users input the fl oz/cwt value.  </t>
        </r>
      </text>
    </comment>
  </commentList>
</comments>
</file>

<file path=xl/sharedStrings.xml><?xml version="1.0" encoding="utf-8"?>
<sst xmlns="http://schemas.openxmlformats.org/spreadsheetml/2006/main" count="1102" uniqueCount="504">
  <si>
    <t>Chemical Name:</t>
  </si>
  <si>
    <t xml:space="preserve">      Use</t>
  </si>
  <si>
    <t xml:space="preserve">      Formulation</t>
  </si>
  <si>
    <t>Calculations</t>
  </si>
  <si>
    <t xml:space="preserve">Application Rate </t>
  </si>
  <si>
    <t>lbs a.i./acre</t>
  </si>
  <si>
    <t>Food Item (Kanaga #)</t>
  </si>
  <si>
    <t>Initial Concentration</t>
  </si>
  <si>
    <t xml:space="preserve">Half-life </t>
  </si>
  <si>
    <t xml:space="preserve">days </t>
  </si>
  <si>
    <t>days</t>
  </si>
  <si>
    <t>Maximum # Apps./Year</t>
  </si>
  <si>
    <t>Short Grass (240)</t>
  </si>
  <si>
    <t>Tall Grass (110)</t>
  </si>
  <si>
    <t>Broadleaf plants/Insects (135)</t>
  </si>
  <si>
    <t>Seeds (15)</t>
  </si>
  <si>
    <t xml:space="preserve"> </t>
  </si>
  <si>
    <t>1st order decay constant</t>
  </si>
  <si>
    <t xml:space="preserve">Short Grass </t>
  </si>
  <si>
    <t>Avian</t>
  </si>
  <si>
    <t>Mammalian</t>
  </si>
  <si>
    <t xml:space="preserve">Tall Grass </t>
  </si>
  <si>
    <t xml:space="preserve">Graph </t>
  </si>
  <si>
    <t>Chronic Exceedance</t>
  </si>
  <si>
    <t>Acute Exceedance</t>
  </si>
  <si>
    <t>Day</t>
  </si>
  <si>
    <t># Apps</t>
  </si>
  <si>
    <t xml:space="preserve">App </t>
  </si>
  <si>
    <t>Tall Grass</t>
  </si>
  <si>
    <t>Broadleaf plants/</t>
  </si>
  <si>
    <t>Line</t>
  </si>
  <si>
    <t>(days in first 56)</t>
  </si>
  <si>
    <t>Period</t>
  </si>
  <si>
    <t>Short Grass</t>
  </si>
  <si>
    <t>Seeds (granivore)</t>
  </si>
  <si>
    <t>Length of Simulation</t>
  </si>
  <si>
    <t>Fruits/pods/lg insects</t>
  </si>
  <si>
    <t>Broadleaf plants/sm Insects</t>
  </si>
  <si>
    <t>Small Insects</t>
  </si>
  <si>
    <t>Fruits/pods/</t>
  </si>
  <si>
    <t xml:space="preserve"> lg insects</t>
  </si>
  <si>
    <t>Broadleaf plants/sm insects</t>
  </si>
  <si>
    <t>Herbivores/</t>
  </si>
  <si>
    <t>insectivores</t>
  </si>
  <si>
    <t>Short Grass (85)</t>
  </si>
  <si>
    <t>Tall Grass (36)</t>
  </si>
  <si>
    <t>Broadleaf plants/Insects (45)</t>
  </si>
  <si>
    <t>Seeds (7)</t>
  </si>
  <si>
    <t>Acute</t>
  </si>
  <si>
    <t>Chronic</t>
  </si>
  <si>
    <t xml:space="preserve">Acute   </t>
  </si>
  <si>
    <t>Class</t>
  </si>
  <si>
    <t xml:space="preserve">Body   </t>
  </si>
  <si>
    <t>Weight</t>
  </si>
  <si>
    <t>% body wgt</t>
  </si>
  <si>
    <t>consumed</t>
  </si>
  <si>
    <t>Mammalian Classes and Body weight</t>
  </si>
  <si>
    <t>Herbivores/ insectivores</t>
  </si>
  <si>
    <t>Granivores</t>
  </si>
  <si>
    <t>Application Interval</t>
  </si>
  <si>
    <t>Kenaga</t>
  </si>
  <si>
    <t>Values</t>
  </si>
  <si>
    <t>Mammals</t>
  </si>
  <si>
    <t>Endpoints</t>
  </si>
  <si>
    <t>year</t>
  </si>
  <si>
    <t>Avian Results</t>
  </si>
  <si>
    <t>Mammalian Results</t>
  </si>
  <si>
    <t>New Version Notes</t>
  </si>
  <si>
    <t>Terrestrial Residues Graph</t>
  </si>
  <si>
    <t>Small</t>
  </si>
  <si>
    <t>Mid</t>
  </si>
  <si>
    <t>Large</t>
  </si>
  <si>
    <t>small</t>
  </si>
  <si>
    <t>mid</t>
  </si>
  <si>
    <t>large</t>
  </si>
  <si>
    <t>Grainvores</t>
  </si>
  <si>
    <t>Mean Kenaga Residues</t>
  </si>
  <si>
    <t>For Risk Description Purposes</t>
  </si>
  <si>
    <t xml:space="preserve">Acute and Chronic RQs are based on the Upper Bound </t>
  </si>
  <si>
    <t>Kenaga Residues.</t>
  </si>
  <si>
    <t xml:space="preserve">The maximum single day residue estimation is used for </t>
  </si>
  <si>
    <t>both the acute and reproduction RQs.</t>
  </si>
  <si>
    <t>Acute and Reproduction Dietary Discussions</t>
  </si>
  <si>
    <t xml:space="preserve">dietary exposure.  In addition, age of individuals may also play an important role in the types and relative amounts of food items selected.  This should </t>
  </si>
  <si>
    <t>also be taken into account when describing dietary risks.</t>
  </si>
  <si>
    <t>Acute Toxicity RQ Approaches</t>
  </si>
  <si>
    <t xml:space="preserve">as does the energy requirements of wild and captive animals.  The Wildlife Exposure Factors Handbook can provide insights into energy requirements of </t>
  </si>
  <si>
    <t>animals in the wild as well as energy content of their diets</t>
  </si>
  <si>
    <t>Reproduction RQ Approach</t>
  </si>
  <si>
    <t>References</t>
  </si>
  <si>
    <t>and Development, Washington, D. C. 20460.</t>
  </si>
  <si>
    <t>Fletcher, J.S., J.E. Nellesson and T. G. Pfleeger. 1994.  Literature review and evaluation of the EPA food-chain</t>
  </si>
  <si>
    <t>(Kenaga) nomogram, an instrument for estimating pesticide residues on plants.  Environ. Tox. And</t>
  </si>
  <si>
    <t>Chem. 13(9):1383-1391</t>
  </si>
  <si>
    <t xml:space="preserve">basis for estimation of their magnitude in the environment.  IN: F. Coulston and F. Corte, eds., </t>
  </si>
  <si>
    <t xml:space="preserve">Environmental Quality and Safety: Chemistry, Toxicology and Technology. Vol 1.  Georg Theime </t>
  </si>
  <si>
    <t>Publishers, Stuttgart, Germany.  pp. 9-28</t>
  </si>
  <si>
    <t>LOC</t>
  </si>
  <si>
    <t>acute</t>
  </si>
  <si>
    <t>endangered</t>
  </si>
  <si>
    <t>chronic</t>
  </si>
  <si>
    <t>Concentration</t>
  </si>
  <si>
    <t>NOAEL</t>
  </si>
  <si>
    <t>Mammal</t>
  </si>
  <si>
    <t>Application Rate:</t>
  </si>
  <si>
    <t>Row Spacing:</t>
  </si>
  <si>
    <t>Bandwidth:</t>
  </si>
  <si>
    <t>Unincorporation:</t>
  </si>
  <si>
    <t>Avian LD50:</t>
  </si>
  <si>
    <t>Mammalian LD50:</t>
  </si>
  <si>
    <t>inches</t>
  </si>
  <si>
    <t>lb ai/1000 ft row:</t>
  </si>
  <si>
    <t>mg ai/ft2:</t>
  </si>
  <si>
    <t>exposed mg ai/ft2:</t>
  </si>
  <si>
    <t>LD50 ft-2</t>
  </si>
  <si>
    <t>Intermediate Calculations</t>
  </si>
  <si>
    <t>bandwidth (ft):</t>
  </si>
  <si>
    <t>Chemical:</t>
  </si>
  <si>
    <t>Willis and McDowell. 1987. Pesticide persistence on foliage. Environ. Contam. Toxicol.  100:23-73</t>
  </si>
  <si>
    <t>Upper bound Kenaga Residues</t>
  </si>
  <si>
    <t>Points to Consider in Development of Risk Description for Birds and Mammals</t>
  </si>
  <si>
    <t xml:space="preserve">The risk assessment includes numerous calculations of dietary exposure for multiple weight classes of animals.   However, there are energetic </t>
  </si>
  <si>
    <t>considerations that suggest that some weight class/food item combinations are not likely to naturally occur.  For example, there are not likely to be many</t>
  </si>
  <si>
    <t>The greater number of days EECs exceed the NOAEC, the greater the confidence in predictions of reproductive risk concerns.</t>
  </si>
  <si>
    <t>Crop</t>
  </si>
  <si>
    <t>Application Rate</t>
  </si>
  <si>
    <t>(mg ai/kg seed)</t>
  </si>
  <si>
    <t>Barley</t>
  </si>
  <si>
    <t>Corn</t>
  </si>
  <si>
    <t>Cotton</t>
  </si>
  <si>
    <t>Oats</t>
  </si>
  <si>
    <t>Pea</t>
  </si>
  <si>
    <t>Peanuts</t>
  </si>
  <si>
    <t>Rice</t>
  </si>
  <si>
    <t>Sorghum</t>
  </si>
  <si>
    <t>Soybeans</t>
  </si>
  <si>
    <t>Sugar beets</t>
  </si>
  <si>
    <t>Wheat</t>
  </si>
  <si>
    <t>mg kg-1 seed / NOEC</t>
  </si>
  <si>
    <t xml:space="preserve">beans </t>
  </si>
  <si>
    <t>dried beans</t>
  </si>
  <si>
    <t>lima beans (succulent)</t>
  </si>
  <si>
    <t>snap beans</t>
  </si>
  <si>
    <t>cowpeas/ blackeyed peas</t>
  </si>
  <si>
    <t>lupine</t>
  </si>
  <si>
    <t>grain lupine</t>
  </si>
  <si>
    <t>field peas</t>
  </si>
  <si>
    <t>soybeans, edible</t>
  </si>
  <si>
    <t>http://www.ext.nodak.edu/extpubs/plantsci/rowcrops/a1133-1.htm#Planting</t>
  </si>
  <si>
    <t>http://www.hort.purdue.edu/newcrop/afcm/lupine.html</t>
  </si>
  <si>
    <t>http://www.nsrl.uiuc.edu/aboutsoy/production02.html</t>
  </si>
  <si>
    <t>http://www.agecon.ucdavis.edu/outreach/crop/Archives/SugarBeets.pdf</t>
  </si>
  <si>
    <t>Reference</t>
  </si>
  <si>
    <t>Safflower</t>
  </si>
  <si>
    <t>Name of seed treatment formulation:</t>
  </si>
  <si>
    <t>Percent AI in formulation:</t>
  </si>
  <si>
    <t>(lbs. Ai/cwt)</t>
  </si>
  <si>
    <t>Maximum Application Rate</t>
  </si>
  <si>
    <t>(lbs ai/A)</t>
  </si>
  <si>
    <t>Maximum Seed Application Rate</t>
  </si>
  <si>
    <t>Available AI</t>
  </si>
  <si>
    <t>(mg ai ft-2)</t>
  </si>
  <si>
    <t>Chronic RQ =</t>
  </si>
  <si>
    <t>Acute RQ #2 =</t>
  </si>
  <si>
    <t>Acute RQ #1 =</t>
  </si>
  <si>
    <t>mg ai ft-2 /(LD50*bw)</t>
  </si>
  <si>
    <t>Reported</t>
  </si>
  <si>
    <t>Canola</t>
  </si>
  <si>
    <t>Onion</t>
  </si>
  <si>
    <t>Rye</t>
  </si>
  <si>
    <t>Triticale</t>
  </si>
  <si>
    <t>Tested Body</t>
  </si>
  <si>
    <t>Weight (g)</t>
  </si>
  <si>
    <t>Acute (# 1)</t>
  </si>
  <si>
    <t>Acute (# 2)</t>
  </si>
  <si>
    <t>Avian repro. NOAEC:</t>
  </si>
  <si>
    <r>
      <t>Risk Quotients</t>
    </r>
    <r>
      <rPr>
        <b/>
        <sz val="12"/>
        <rFont val="Arial"/>
        <family val="0"/>
      </rPr>
      <t>†</t>
    </r>
  </si>
  <si>
    <t>†</t>
  </si>
  <si>
    <t>Avian Nagy Dose</t>
  </si>
  <si>
    <t>Mammalian Nagy Dose</t>
  </si>
  <si>
    <t>RQs</t>
  </si>
  <si>
    <t>TREX MODEL INPUTS</t>
  </si>
  <si>
    <t>mg/kg-bw</t>
  </si>
  <si>
    <t>mg/kg-diet</t>
  </si>
  <si>
    <t>seed applications of pesticides.</t>
  </si>
  <si>
    <t xml:space="preserve"> Upper Bound Kenaga Residues For RQ Calculation</t>
  </si>
  <si>
    <t>RQs be calculated when data are available</t>
  </si>
  <si>
    <t xml:space="preserve">it is recommended that both the dose-based and concentration-based </t>
  </si>
  <si>
    <t>Note:  To provide risk management with the maximum possible information,</t>
  </si>
  <si>
    <t>NOAEC (mg/kg-diet)</t>
  </si>
  <si>
    <t>LC50 (mg/kg-diet)</t>
  </si>
  <si>
    <t>LD50 (mg/kg-bw)</t>
  </si>
  <si>
    <t>NOAEL (mg/kg-bw)</t>
  </si>
  <si>
    <t>Adjusted LD50</t>
  </si>
  <si>
    <t>Fruits/pods/seeds/lg insects</t>
  </si>
  <si>
    <t>Adjusted</t>
  </si>
  <si>
    <t>LD50</t>
  </si>
  <si>
    <t>(fl oz/cwt)</t>
  </si>
  <si>
    <t>Bobwhite quail</t>
  </si>
  <si>
    <t>Mallard duck</t>
  </si>
  <si>
    <t>Indicate test species below</t>
  </si>
  <si>
    <t>Mammal RQs</t>
  </si>
  <si>
    <t>Avian acute LC50</t>
  </si>
  <si>
    <t>Avian chronic LOAEC</t>
  </si>
  <si>
    <t>Avian chronic NOAEC</t>
  </si>
  <si>
    <t>Mammal acute LC50</t>
  </si>
  <si>
    <t>Mammal chronic LOAEC</t>
  </si>
  <si>
    <t>Mammal chronic NOAEC</t>
  </si>
  <si>
    <t xml:space="preserve">Mean Kenaga Residues </t>
  </si>
  <si>
    <t>yes</t>
  </si>
  <si>
    <t>no</t>
  </si>
  <si>
    <t>Page 2</t>
  </si>
  <si>
    <t>Row/Band/In-furrow applications</t>
  </si>
  <si>
    <t>Broadcast applications</t>
  </si>
  <si>
    <t>row length (ft):</t>
  </si>
  <si>
    <t>INPUTS</t>
  </si>
  <si>
    <t>% A.I.:</t>
  </si>
  <si>
    <t xml:space="preserve">      Use:</t>
  </si>
  <si>
    <t>Avian LD50 (20g):</t>
  </si>
  <si>
    <t>(100g)</t>
  </si>
  <si>
    <t>(1000g)</t>
  </si>
  <si>
    <t>Mammalian LD50 (15g):</t>
  </si>
  <si>
    <t>(35g)</t>
  </si>
  <si>
    <t>mg/kg bw</t>
  </si>
  <si>
    <t># rows acre-1:</t>
  </si>
  <si>
    <t>Granular</t>
  </si>
  <si>
    <t>Liquid</t>
  </si>
  <si>
    <t>mg a.i./1000 ft row:</t>
  </si>
  <si>
    <t>bandwidth:</t>
  </si>
  <si>
    <t>mg a.i./ft2:</t>
  </si>
  <si>
    <t>exposed mg a.i./ft2:</t>
  </si>
  <si>
    <t xml:space="preserve">These values will be used in the calculation of exposure estimates for foliar, granular, liquid and/or </t>
  </si>
  <si>
    <t>This spreadsheet was developed by the Terrestrial Biology and Exposure Technical Teams.</t>
  </si>
  <si>
    <t xml:space="preserve">Select ‘File’, then ‘Save As’ on the menu bar. </t>
  </si>
  <si>
    <t xml:space="preserve">Select the destination on your own hard drive (usually set to C:).  </t>
  </si>
  <si>
    <r>
      <t>Do not</t>
    </r>
    <r>
      <rPr>
        <sz val="10"/>
        <rFont val="Arial"/>
        <family val="0"/>
      </rPr>
      <t xml:space="preserve"> modify this file on the F: drive.</t>
    </r>
  </si>
  <si>
    <t>Supporting Documentation</t>
  </si>
  <si>
    <t>Mammalian NOAEC:</t>
  </si>
  <si>
    <t>Product name and form:</t>
  </si>
  <si>
    <t>Enter the Mineau et al. Scaling Factor</t>
  </si>
  <si>
    <t>Broadcast</t>
  </si>
  <si>
    <t>Other</t>
  </si>
  <si>
    <t>acute toxicity in birds.  Reg. Toxicol. Pharmacol.  24:24-29</t>
  </si>
  <si>
    <t>Application Type:</t>
  </si>
  <si>
    <t>Rows/Band/In-furrow</t>
  </si>
  <si>
    <t xml:space="preserve">Mineau, P., B.T. Collins, A. Baril.  1996.  On the use of scaling factors to improve interspecies extrapolation to </t>
  </si>
  <si>
    <t>Half-life (days):</t>
  </si>
  <si>
    <t>Application Interval (days):</t>
  </si>
  <si>
    <t xml:space="preserve">Application Rate (lbs/A): </t>
  </si>
  <si>
    <t>Monograph No. 1.</t>
  </si>
  <si>
    <t>Dunning, J.B.  1984.  Body weights of 686 species of North American birds.  Western Bird Banding Assoc.</t>
  </si>
  <si>
    <t>Office of Water, Washington D.C.  Document Number EPA-820-B095-009</t>
  </si>
  <si>
    <t xml:space="preserve">USEPA. 1995. Great Lakes Water Quality Technical Support Document for Wildlife Criteria.  </t>
  </si>
  <si>
    <t xml:space="preserve">USEPA. 1993. Wildlife Exposure Factors Handbook. Volume I of II.  EPA/600/R-93/187a. Office of Research </t>
  </si>
  <si>
    <t>Density of product (lbs/gal):</t>
  </si>
  <si>
    <t>Mammalian (15 g)</t>
  </si>
  <si>
    <t>Avian (20 g)</t>
  </si>
  <si>
    <t>20 g Bird</t>
  </si>
  <si>
    <t>15 g Mammal</t>
  </si>
  <si>
    <t>Data inputs are in blue</t>
  </si>
  <si>
    <t>Do not overwrite these numbers.</t>
  </si>
  <si>
    <t>Body weights for Mallard duck and Bobwhite quail were adjusted (Dunning, 1984).</t>
  </si>
  <si>
    <t xml:space="preserve">The LD50 ft-2 data input section in the Inputs worksheet was reorganized to be more user-friendly.  </t>
  </si>
  <si>
    <t>LD50 ft-2 can now be calculated for a liquid broadcast application.</t>
  </si>
  <si>
    <t>All references are available in the seed treatment worksheet.  These references are also hyperlinked.</t>
  </si>
  <si>
    <t>Maximum seeding rate information is now in blue and can be adjusted by the user.</t>
  </si>
  <si>
    <t>(g bwt/day)</t>
  </si>
  <si>
    <t>Ingestion (Fwet)</t>
  </si>
  <si>
    <t>(g/day)</t>
  </si>
  <si>
    <t xml:space="preserve">Avian Body   </t>
  </si>
  <si>
    <t>FI</t>
  </si>
  <si>
    <t>(kg-diet/day)</t>
  </si>
  <si>
    <t>Ingestion (Fdry)</t>
  </si>
  <si>
    <t>(g bw/day)</t>
  </si>
  <si>
    <t>Ingestion  (Fwet)</t>
  </si>
  <si>
    <t>(mg/kg-bw)</t>
  </si>
  <si>
    <t xml:space="preserve">Changes to the inputs must be </t>
  </si>
  <si>
    <t>Urban, D. J. 2000.  Guidance for Conducting Screening Level Avian Risk Assessments for Spray Applications</t>
  </si>
  <si>
    <t>of Pesticides.  OPP/EFED, USEPA.</t>
  </si>
  <si>
    <t>RQs reported as "0.00" in the RQ tables below should be noted as</t>
  </si>
  <si>
    <t>&lt;0.01 in your assessment.  This is due to rounding and significant</t>
  </si>
  <si>
    <t>figure issues in Excel.</t>
  </si>
  <si>
    <t xml:space="preserve">For information or questions concerning this spreadsheet, please contact the Terrestrial Exposure  </t>
  </si>
  <si>
    <t xml:space="preserve">Hoerger, F. and E.E. Kenaga. 1972.  Pesticide residues on plants: correlation of representative data as a </t>
  </si>
  <si>
    <t xml:space="preserve">Handbook (USEPA 1993), for more comprehensive approaches to consider energy requirements and energy availability to estimate </t>
  </si>
  <si>
    <r>
      <t>Dose-based and dietary-based acute RQs should be provided to risk managers whenever effects data allow</t>
    </r>
    <r>
      <rPr>
        <sz val="10"/>
        <rFont val="Arial"/>
        <family val="0"/>
      </rPr>
      <t>.  There are limitations to each approach.</t>
    </r>
  </si>
  <si>
    <t>The dose-based approach assumes that the uptake and absorption kinetics of a gavage toxicity study approximate the absorption associated with uptake from</t>
  </si>
  <si>
    <t xml:space="preserve">a dietary matrix.  Toxic response is a function of duration and intensity of exposure and the importance of absorption kinetics across the gut and the importance </t>
  </si>
  <si>
    <t xml:space="preserve">of enzymatic activation/deactivation of a toxicant may be important and are likely  variable across chemicals and species.  For many compounds a gavage dose </t>
  </si>
  <si>
    <t xml:space="preserve">represents a very short-term high intensity exposure, where dietary exposure may be of a more prolonged nature.  The dietary-based approach assumes that animals </t>
  </si>
  <si>
    <t xml:space="preserve">in the field areconsuming food at a rate similar to that of confined laboratory animals.  Energy content in food items differs between the field and the laboratory </t>
  </si>
  <si>
    <t>The typical 21-week avian reproduction study does not define the true exposure duration needed to elicit the observed responses.  The study protocol was designed</t>
  </si>
  <si>
    <t>to establish a steady-state tissue concentration for bioaccumulative compounds. For other pesticides, it is entirely possible that steady-state tissue concentrations</t>
  </si>
  <si>
    <t xml:space="preserve">exposure may not be necessary to elicit the effect observed in the 21-week protocol.  The EFED screening risk assessment uses the single-day  </t>
  </si>
  <si>
    <t xml:space="preserve">maximum estimated EEC as a conservative approach.  The degree to which this exposure is conservative cannot be determined by the existing reproduction study. </t>
  </si>
  <si>
    <t xml:space="preserve">However, risk assessment discussions should be accompanied by the graphics from the T-REX model regarding the number of days dietary exposure is above the NOAEC.  </t>
  </si>
  <si>
    <t xml:space="preserve">15 g mammals or 20 g birds that exclusively feed on vegetation.  The risk assessor is urged to consult such texts as the Wildlife Exposure Factors </t>
  </si>
  <si>
    <t xml:space="preserve">USEPA. 1993. Wildlife Exposure Factors Handbook. Volume I of II.  EPA/600/R-93/187a. Office of Research and Development, Washington, DC 20460. </t>
  </si>
  <si>
    <t xml:space="preserve">are achieved earlier than the 21-week exposure period.  Moreover, pesticides may exert effects at critical periods of the reproduction cycle and so long term </t>
  </si>
  <si>
    <t>Number of Applications:</t>
  </si>
  <si>
    <t>Optional Test Species Name</t>
  </si>
  <si>
    <t>Optional Test Organism Body weight (g)</t>
  </si>
  <si>
    <t>NOAEL(mg/kg-bw)</t>
  </si>
  <si>
    <t>Reported Chronic Endpoint</t>
  </si>
  <si>
    <t>User can opt for test species for acute and chronic endpoints other than mallard and bobwhite (test animal body weight data must be provided)</t>
  </si>
  <si>
    <r>
      <t>**NOTE**:</t>
    </r>
    <r>
      <rPr>
        <sz val="10"/>
        <rFont val="Arial"/>
        <family val="2"/>
      </rPr>
      <t xml:space="preserve">  Please save this file to your </t>
    </r>
    <r>
      <rPr>
        <b/>
        <i/>
        <sz val="10"/>
        <rFont val="Arial"/>
        <family val="2"/>
      </rPr>
      <t>own</t>
    </r>
    <r>
      <rPr>
        <sz val="10"/>
        <rFont val="Arial"/>
        <family val="2"/>
      </rPr>
      <t xml:space="preserve"> computer first. </t>
    </r>
  </si>
  <si>
    <r>
      <t xml:space="preserve">Dietary-based "RQs" </t>
    </r>
    <r>
      <rPr>
        <b/>
        <sz val="12"/>
        <rFont val="Arial"/>
        <family val="2"/>
      </rPr>
      <t xml:space="preserve"> (EEC/LC50 or NOAEC)</t>
    </r>
  </si>
  <si>
    <t>"RQs"</t>
  </si>
  <si>
    <t>Mammal "RQs"</t>
  </si>
  <si>
    <t xml:space="preserve">Caution should be exercised in relating these </t>
  </si>
  <si>
    <t xml:space="preserve">Note that the ratio of exposure and effects </t>
  </si>
  <si>
    <t>endpoints are termed "RQs" in this output.</t>
  </si>
  <si>
    <t>values to the Agency Levels of Concern</t>
  </si>
  <si>
    <t>Maximum Seeding Rate (lbs/acre)</t>
  </si>
  <si>
    <t>acute 15g herbivore/insectivore</t>
  </si>
  <si>
    <t>acute 35g herbivore/insectivore</t>
  </si>
  <si>
    <t>acute 15g granivore</t>
  </si>
  <si>
    <t>acute 35g granivore</t>
  </si>
  <si>
    <t>acute 1000g herbivore/insectivore</t>
  </si>
  <si>
    <t>acute 1000g granivore</t>
  </si>
  <si>
    <t>acute endangered 15g herbivore/insectivore</t>
  </si>
  <si>
    <t>acute endangered 35g herbivore/insectivore</t>
  </si>
  <si>
    <t>acute endangered 1000g herbivore/insectivore</t>
  </si>
  <si>
    <t>acute  endangered 15g granivore</t>
  </si>
  <si>
    <t>acute endangered 35g granivore</t>
  </si>
  <si>
    <t>acute endangered 1000g granivore</t>
  </si>
  <si>
    <t>Acute Mammalian Non endangered</t>
  </si>
  <si>
    <t>15 g H/I</t>
  </si>
  <si>
    <t>35g H/I</t>
  </si>
  <si>
    <t>1000g H/I</t>
  </si>
  <si>
    <t>Acute Mammalian Endangered</t>
  </si>
  <si>
    <t>15 g G</t>
  </si>
  <si>
    <t>35g G</t>
  </si>
  <si>
    <t>1000g G</t>
  </si>
  <si>
    <t>Mammal Chronic</t>
  </si>
  <si>
    <t>Note: Sources of wildlife diet are assumed to be available for less than one year for this model.</t>
  </si>
  <si>
    <t>Food Item (Kenaga #)</t>
  </si>
  <si>
    <t>Nagy allometry</t>
  </si>
  <si>
    <t>Food ingestion value g/day</t>
  </si>
  <si>
    <t>Animal</t>
  </si>
  <si>
    <t>(mg ai/kg-bw/day)</t>
  </si>
  <si>
    <t>(mg ai /kg-bw/day) / LD50</t>
  </si>
  <si>
    <r>
      <t xml:space="preserve">Dietary-based EECs </t>
    </r>
    <r>
      <rPr>
        <b/>
        <sz val="12"/>
        <rFont val="Arial"/>
        <family val="2"/>
      </rPr>
      <t xml:space="preserve"> (ppm)</t>
    </r>
  </si>
  <si>
    <r>
      <t xml:space="preserve">Dose-based EEC     </t>
    </r>
    <r>
      <rPr>
        <b/>
        <sz val="14"/>
        <rFont val="Arial"/>
        <family val="2"/>
      </rPr>
      <t>(mg/kg-bw)</t>
    </r>
  </si>
  <si>
    <r>
      <t xml:space="preserve">Dietary-based EECs
 </t>
    </r>
    <r>
      <rPr>
        <b/>
        <sz val="12"/>
        <rFont val="Arial"/>
        <family val="2"/>
      </rPr>
      <t xml:space="preserve"> (ppm)</t>
    </r>
  </si>
  <si>
    <t>Kenaga Values</t>
  </si>
  <si>
    <r>
      <t>Dose-based EECs</t>
    </r>
    <r>
      <rPr>
        <b/>
        <sz val="18"/>
        <rFont val="Arial"/>
        <family val="2"/>
      </rPr>
      <t xml:space="preserve">   
</t>
    </r>
    <r>
      <rPr>
        <b/>
        <sz val="10"/>
        <rFont val="Arial"/>
        <family val="2"/>
      </rPr>
      <t>(mg/kg-bw)</t>
    </r>
    <r>
      <rPr>
        <b/>
        <sz val="18"/>
        <rFont val="Arial"/>
        <family val="2"/>
      </rPr>
      <t xml:space="preserve"> </t>
    </r>
  </si>
  <si>
    <r>
      <t xml:space="preserve">Dose-based RQs         </t>
    </r>
    <r>
      <rPr>
        <b/>
        <sz val="12"/>
        <rFont val="Arial"/>
        <family val="2"/>
      </rPr>
      <t>(Dose-based EEC/adjusted LD50)</t>
    </r>
  </si>
  <si>
    <r>
      <t xml:space="preserve">Dietary-based RQs </t>
    </r>
    <r>
      <rPr>
        <b/>
        <sz val="12"/>
        <rFont val="Arial"/>
        <family val="2"/>
      </rPr>
      <t xml:space="preserve"> (Dietary-based EEC/LC50 or NOAEC)</t>
    </r>
  </si>
  <si>
    <r>
      <t xml:space="preserve">Dose-based RQs
</t>
    </r>
    <r>
      <rPr>
        <b/>
        <sz val="12"/>
        <rFont val="Arial"/>
        <family val="2"/>
      </rPr>
      <t>(Dose-based EEC/LD50)</t>
    </r>
  </si>
  <si>
    <r>
      <t xml:space="preserve">Dose-based RQs        </t>
    </r>
    <r>
      <rPr>
        <b/>
        <sz val="12"/>
        <rFont val="Arial"/>
        <family val="2"/>
      </rPr>
      <t>(Dose-based EEC/LD50 or NOAEL)</t>
    </r>
  </si>
  <si>
    <r>
      <t xml:space="preserve">Dose-based EEC 
</t>
    </r>
    <r>
      <rPr>
        <b/>
        <sz val="14"/>
        <rFont val="Arial"/>
        <family val="2"/>
      </rPr>
      <t>(mg/kg-bw)</t>
    </r>
  </si>
  <si>
    <r>
      <t xml:space="preserve">Dose-Based EECs 
</t>
    </r>
    <r>
      <rPr>
        <b/>
        <sz val="10"/>
        <rFont val="Arial"/>
        <family val="2"/>
      </rPr>
      <t>(mg/kg-bw)</t>
    </r>
  </si>
  <si>
    <t>made in the "INPUTS" worksheet.</t>
  </si>
  <si>
    <t>TREX Feedback Form</t>
  </si>
  <si>
    <t>Enter your comment or question</t>
  </si>
  <si>
    <t>EFED internal form for submitting technical questions, information on model problems, suggestions for improvement.</t>
  </si>
  <si>
    <t>A comment sheet has been added so that EFED users can provide feedback or pose questions to the Terrestrial Biology and Exposure Technical Teams</t>
  </si>
  <si>
    <t>This feature is available to EFED users only.</t>
  </si>
  <si>
    <t>If the user desires to have no scaling performed, 0 may be entered in the Inputs worksheet.</t>
  </si>
  <si>
    <r>
      <t xml:space="preserve">Mineau scaling factors for birds </t>
    </r>
    <r>
      <rPr>
        <b/>
        <sz val="10"/>
        <rFont val="Arial"/>
        <family val="2"/>
      </rPr>
      <t>MUST</t>
    </r>
    <r>
      <rPr>
        <sz val="10"/>
        <rFont val="Arial"/>
        <family val="2"/>
      </rPr>
      <t xml:space="preserve"> be manually entered in the Inputs worksheet.  While the EFED default value </t>
    </r>
  </si>
  <si>
    <t xml:space="preserve">For further model information consult the 'User's Guide' document containing T-REX operating </t>
  </si>
  <si>
    <t>Note:  Do not use  the "Enter" key to do hard returns in above comment box.  "Enter" will move you out of the cell and your comments will be lost.  Use the "Alt + Enter" keys together to put in a hard return.  
You must exit the comments cell prior to sending the comment</t>
  </si>
  <si>
    <t>EEC</t>
  </si>
  <si>
    <t>LC50</t>
  </si>
  <si>
    <t>RQ</t>
  </si>
  <si>
    <t>EECs and RQs</t>
  </si>
  <si>
    <t>Size Class
(grams)</t>
  </si>
  <si>
    <t>Broadleaf Plants/
Small Insects</t>
  </si>
  <si>
    <t>Fruits/Pods/
Seeds/
Large Insects</t>
  </si>
  <si>
    <t>Adjusted
 LD50</t>
  </si>
  <si>
    <t xml:space="preserve">Size class not used for dietary risk quotients </t>
  </si>
  <si>
    <t>Size class not used for dietary risk quotients</t>
  </si>
  <si>
    <t>NOAEC (ppm)</t>
  </si>
  <si>
    <t>Adjusted NOAEL</t>
  </si>
  <si>
    <t>Table X.  Mean Kenaga, Acute Avian Dose-Based  Risk Quotients</t>
  </si>
  <si>
    <t>LD50/sq. ft</t>
  </si>
  <si>
    <t>mg/sq. ft</t>
  </si>
  <si>
    <t>Row, banded, in furrow</t>
  </si>
  <si>
    <t>Table X.  Avian LD50 per Square Foot</t>
  </si>
  <si>
    <t>Table X.  Mammalian  LD50 per Square Foot</t>
  </si>
  <si>
    <t>Formulas used in the calculations are in the User's Guide</t>
  </si>
  <si>
    <t>Summary of  LD50/Square Foot Results</t>
  </si>
  <si>
    <t>Use of FDA's assumption that a lab rat consumes 5% of its diet daily was made optional for mammalian chronic studies.  If a study reports both a NOAEC in ppm and a NOAEL in mg/kg-bw, both may be entered.</t>
  </si>
  <si>
    <t>the application rate in terms of % a.i., but is calculated in the "application rate" cell.</t>
  </si>
  <si>
    <t>Weight of assessed bird (kg)</t>
  </si>
  <si>
    <t>Step 1.  Estimate mass of a.i. consumed for the assessed species weight to achieve the desired toxicity threshold</t>
  </si>
  <si>
    <t>Weight of 1 granule (mg, obtained from registrant)</t>
  </si>
  <si>
    <t>Step 2.  Determine the mass of a.i. per granule</t>
  </si>
  <si>
    <t>EEC (mg a.i./square foot)</t>
  </si>
  <si>
    <t>From LD50 ft-2 page</t>
  </si>
  <si>
    <t>Adjusted LD50, mg/kg-bw</t>
  </si>
  <si>
    <t>lbs / acre</t>
  </si>
  <si>
    <t xml:space="preserve">Minimum Foraging Area Needed to Allow for Ingestion of Sufficient Mass of a.i. to Achieve LOC Exceedance </t>
  </si>
  <si>
    <t>Table X. Mean Kenaga, Acute  Mammalian Dose-Based  Risk Quotients</t>
  </si>
  <si>
    <t xml:space="preserve">Row, banded, in furrow </t>
  </si>
  <si>
    <t>INPUT (Note: Be sure to enter units in mg!)</t>
  </si>
  <si>
    <t>mg a.i./kg-bw * kg-bw = mg a.i.</t>
  </si>
  <si>
    <t>Mg a.i. needed to achieve the adjusted LD50 for bird of assessed weight</t>
  </si>
  <si>
    <t>mg a.i./granule</t>
  </si>
  <si>
    <t xml:space="preserve">weight of granule (mg) x fraction of a.i. = mg a.i./granule </t>
  </si>
  <si>
    <t>Step 3.  Calculate number of granules with mass of a.i. equivalent to adjusted LD50 for bird of assessed weight</t>
  </si>
  <si>
    <t xml:space="preserve">No. of granules needed to achieve adjusted LD50 </t>
  </si>
  <si>
    <t>Estimation of the number of granules needed to achieve toxicity thresholds</t>
  </si>
  <si>
    <t>Foraging area (square feet) needed to achieve LOC exceedance assuming 100% feeding efficiency</t>
  </si>
  <si>
    <t>Foraging area (square feet) needed to achieve LOC exceedance  assuming 50% feeding efficiency</t>
  </si>
  <si>
    <t>Foraging area (square feet) needed to achieve LOC exceedance assuming 10% feeding efficiency</t>
  </si>
  <si>
    <t>Characterization of Granular LD50/Square Foot Results</t>
  </si>
  <si>
    <t xml:space="preserve">No. of granules needed to achieve endangered species LOC exceedance (1/10 adjusted LD50) </t>
  </si>
  <si>
    <t xml:space="preserve">No. of granules needed to achieve acute LOC exceedance (1/2 adjusted LD50) </t>
  </si>
  <si>
    <t>Mg a.i. needed to achieve endangered species LOC exceedance (1/10th adjusted LD50) for bird of assessed weight</t>
  </si>
  <si>
    <t>Mg a.i. needed to achieve acute LOC exceedance (1/2 adjusted LD50) for bird of assessed weight</t>
  </si>
  <si>
    <t>Foraging area (square feet) needed to achieve endangered species LOC exceedance assuming 100% feeding efficiency</t>
  </si>
  <si>
    <t>Foraging area (square feet) needed to achieve endangered species  LOC exceedance  assuming 50% feeding efficiency</t>
  </si>
  <si>
    <t>Foraging area (square feet) needed to achieve endangered species LOC exceedance assuming 10% feeding efficiency</t>
  </si>
  <si>
    <t xml:space="preserve">No. of granules needed to achieve Endangered Species LOC exceedance (1/10 adjusted LD50) </t>
  </si>
  <si>
    <t xml:space="preserve">No. of granules needed to achieve Acute LOC exceedance (1/2 adjusted LD50) </t>
  </si>
  <si>
    <t>% A.I. (leading zero must be entered for formulations &lt;1% a.i.):</t>
  </si>
  <si>
    <t>Technical Team Co-Chairs.</t>
  </si>
  <si>
    <t>Granivore</t>
  </si>
  <si>
    <t>LC50 (ppm)</t>
  </si>
  <si>
    <t>Adjusted
LD50</t>
  </si>
  <si>
    <t>Additional calculations were included to allow for additional characterization of the LD50-ft2.  A new sheet "Granular Characterization Calcs" estimates the number of granules needed to be consumed by a bird to achieve a dose that would trigger a level of concern.  The associated minimum foraging area with sufficient number of granules to achieve a dose that exceeds the AdjLD50 or 1/10th the AdjLD50 is also estimated for various assumptions of feeding efficiency (10%, 50%, or 100% of granules in an area are consumed).</t>
  </si>
  <si>
    <t xml:space="preserve">
12/7/2006, v. 1.3.1.</t>
  </si>
  <si>
    <t>8/1/2005, v. 1.2.3.</t>
  </si>
  <si>
    <t>7/18/2005, v. 1.2.2.</t>
  </si>
  <si>
    <t>A new sheet "Print Results" was added to facilitate cutting and pasting into MS Word documents.  For transparency, the results summary tables include toxicity and exposure values used in the RQ calculations.</t>
  </si>
  <si>
    <t xml:space="preserve">The % a.i. cell was formatted to percent.  The calculations of application rate (lbs a.i./Acre) in the upper bound Kenaga and the mean Kenaga sheets no longer reference a hidden cell that calculates </t>
  </si>
  <si>
    <t>Summary of Risk Quotient Calculations Based on Mean  Kenaga EECs</t>
  </si>
  <si>
    <t>Summary of Risk Quotient Calculations Based on Upper Bound Kenaga EECs</t>
  </si>
  <si>
    <t>Table X.  Mean Kenaga, Subacute Avian Dietary Based Risk Quotients</t>
  </si>
  <si>
    <t>Table X.  Mean Kenaga, Chronic Avian Dietary Based Risk Quotients</t>
  </si>
  <si>
    <t>Table X.  Mean Kenaga, Acute Mammalian Dietary Based Risk Quotients</t>
  </si>
  <si>
    <t>Table X.  Mean Kenaga, Chronic Mammalian Dietary Based Risk Quotients</t>
  </si>
  <si>
    <t>Table X.  Mean Kenaga, Chronic Mammalian Dose-Based Risk Quotients</t>
  </si>
  <si>
    <t>Table X. Upper Bound Kenaga, Acute Avian Dose-Based  Risk Quotients</t>
  </si>
  <si>
    <t>Table X.  Upper Bound Kenaga, Subacute Avian Dietary Based Risk Quotients</t>
  </si>
  <si>
    <t>Table X.  Upper Bound Kenaga, Chronic Avian Dietary Based Risk Quotients</t>
  </si>
  <si>
    <t xml:space="preserve">Table X. Upper Bound Kenaga, Acute  Mammalian Dose-Based  Risk Quotients </t>
  </si>
  <si>
    <t>Table X.  Upper Bound Kenaga, Acute Mammalian Dietary Based Risk Quotients</t>
  </si>
  <si>
    <t>Table X.  Upper Bound Kenaga, Chronic Mammalian Dietary Based Risk Quotients</t>
  </si>
  <si>
    <t>Table X.  Upper Bound Kenaga, Chronic Mammalian Dose-Based Risk Quotients</t>
  </si>
  <si>
    <t>Must enter percent a.i. specified on the label</t>
  </si>
  <si>
    <t>Percent of a.i. in formulated product</t>
  </si>
  <si>
    <t>7/7/2007 v. 1.3.1.</t>
  </si>
  <si>
    <t>For clarification, percent a.i. was made a user input in the Granular Characterization Calcs sheet instead of importing the value from the Inputs sheet.  No other changes were made to the spreadsheet.</t>
  </si>
  <si>
    <t>Birds</t>
  </si>
  <si>
    <t>What body weight range is assessed (grams)?</t>
  </si>
  <si>
    <t>Medium</t>
  </si>
  <si>
    <t>Chemical Identity and Application Information</t>
  </si>
  <si>
    <t>Avian Classes and Body Weights (grams)</t>
  </si>
  <si>
    <t>Herbivores/ insectivores (grams)</t>
  </si>
  <si>
    <t>Granivores(grams)</t>
  </si>
  <si>
    <t>% incorporated</t>
  </si>
  <si>
    <t>.</t>
  </si>
  <si>
    <t>Short grass EEC / NOAEC</t>
  </si>
  <si>
    <t>Avian Dose</t>
  </si>
  <si>
    <t>Dose based short grass EEC / (Adj-LD50 * LOC of 0.1)</t>
  </si>
  <si>
    <t>Dose based short grass EEC / Adj-NOAEL</t>
  </si>
  <si>
    <t>Number of days LOCs are excced</t>
  </si>
  <si>
    <t>Toxicity Endpoints</t>
  </si>
  <si>
    <t>Short grass EEC/NOAEC</t>
  </si>
  <si>
    <t>Short grass dose based EEC/Adj-LD50</t>
  </si>
  <si>
    <t>Short grass dose based EEC/(Adj-LD50 * LOC of 0.1)</t>
  </si>
  <si>
    <t>Dose based EEC - Birds</t>
  </si>
  <si>
    <t>Dosed based EEC - mammals</t>
  </si>
  <si>
    <t>Avian Acute RQs
Size Class (grams)</t>
  </si>
  <si>
    <t>Small mammal</t>
  </si>
  <si>
    <t>grams</t>
  </si>
  <si>
    <t>Medium mammal</t>
  </si>
  <si>
    <t>Large mammal</t>
  </si>
  <si>
    <t>Avian Acute "RQs"
Size class (grams)</t>
  </si>
  <si>
    <t>Mammalian Classes and Body weight (grams)</t>
  </si>
  <si>
    <t>Reference (MRID)</t>
  </si>
  <si>
    <t>Endpoint</t>
  </si>
  <si>
    <t>Toxicity value</t>
  </si>
  <si>
    <t>wgt class (grams)</t>
  </si>
  <si>
    <t>Parameter</t>
  </si>
  <si>
    <t xml:space="preserve">Value </t>
  </si>
  <si>
    <t>Bird</t>
  </si>
  <si>
    <t>Comment</t>
  </si>
  <si>
    <t>INPUT (0.02 kg and 0.015 kg are typically used for general assessments for birds and mammals, respectively).</t>
  </si>
  <si>
    <t>Calculated from the body weight entered in B13 and C13 and the LD50 entered in the "Inputs" sheet.</t>
  </si>
  <si>
    <t>mg a.i. needed to achieve adjusted LD50 (B/C14) / mg a.i. per granule (B/C20)</t>
  </si>
  <si>
    <t>mg a.i. needed to achieve 1/2 adjusted LD50 (B/C15) / mg a.i. per granule (B/C20)</t>
  </si>
  <si>
    <t>mg a.i. needed to achieve 1/10 adjusted LD50 (B/C16) / mg a.i. per granule (B/C20)</t>
  </si>
  <si>
    <t>mg a.i. needed to achieve LD50 in 20-gram bird (B/C16) / mg a.i.per sq. ft (B/C27)</t>
  </si>
  <si>
    <t>Foraging area needed to achieve LOC Exceedance assuming 100% feeding efficiency (B/C28) * 2 (i.e., twice the foraging area is needed for 50% feeding efficiency)</t>
  </si>
  <si>
    <t>Foraging area needed to achieve LOC Exceedance assuming 100% feeding efficiency (B/C28) * 10 (i.e., 10 times the foraging area is needed for 10% feeding efficiency)</t>
  </si>
  <si>
    <t>Assessed Species Inputs (optional, use defaults for RQs for national level assessments)</t>
  </si>
  <si>
    <t>Toxicity Value Reference (MRID)</t>
  </si>
  <si>
    <t>T-REX Version 1.4.1</t>
  </si>
  <si>
    <t>Avian Assessment</t>
  </si>
  <si>
    <t>Mammalian Assessment</t>
  </si>
  <si>
    <t>http://www.ipmcenters.org/cropprofiles/CP_form.cfm</t>
  </si>
  <si>
    <t>Chronic Study</t>
  </si>
  <si>
    <t>Acute Study</t>
  </si>
  <si>
    <t>Size (g) of mammal used in toxicity study
Default rat body weight is 350 grams</t>
  </si>
  <si>
    <t>Enter Your Last Name (letters only)</t>
  </si>
  <si>
    <t>10/09/2008, v. 1.4.1.</t>
  </si>
  <si>
    <r>
      <t xml:space="preserve">is 1.15, it </t>
    </r>
    <r>
      <rPr>
        <b/>
        <sz val="10"/>
        <rFont val="Arial"/>
        <family val="2"/>
      </rPr>
      <t>MUST</t>
    </r>
    <r>
      <rPr>
        <sz val="10"/>
        <rFont val="Arial"/>
        <family val="0"/>
      </rPr>
      <t xml:space="preserve"> also be entered if that default is desired.  If no value is provided, the model will exhibit warning statements in all outputs.</t>
    </r>
  </si>
  <si>
    <t>User can opt for alternative body weights from defaults for endpoints established with bobwhite and mallard</t>
  </si>
  <si>
    <t>T-REX was altered to allow the user to define the body weight of animal assessed.  Dark maroon cells were changed to white because of issues with preparing legible printouts and scanned documents.  
The LD50 / square foot equation for liquids was altered to allow for the calculation to be based on application rate in mass/area - previously, the calculations were only done on the basis of volume/area.
The calculation for the number of days LOCs are exceeded was corrected and simplified.  
The number of granules needed to be consumed to result in LOC exceedance was added for mammals; previous versions only included the calculation for birds.
Dose-based EECs and RQs were added for granivorous birds.
Body weight of animals used in the toxicity study may be changed if species other than laboratory rat is used</t>
  </si>
  <si>
    <t>instructions and background information.  User's Guide T-REX v1.4.1, June 30 2008, USEPA Office of Pesticide Programs, Washington DC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</si>
</sst>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mmm\-dd\-yyyy\-hhmm"/>
    <numFmt numFmtId="174" formatCode="0.00000000"/>
  </numFmts>
  <fonts count="50">
    <font>
      <sz val="10"/>
      <name val="Arial"/>
      <family val="0"/>
    </font>
    <font>
      <b/>
      <sz val="18"/>
      <name val="Arial"/>
      <family val="0"/>
    </font>
    <font>
      <b/>
      <sz val="12"/>
      <name val="Arial"/>
      <family val="0"/>
    </font>
    <font>
      <sz val="20"/>
      <name val="Arial"/>
      <family val="0"/>
    </font>
    <font>
      <u val="singleAccounting"/>
      <sz val="10"/>
      <name val="Arial"/>
      <family val="0"/>
    </font>
    <font>
      <b/>
      <u val="singleAccounting"/>
      <sz val="10"/>
      <name val="Arial"/>
      <family val="0"/>
    </font>
    <font>
      <b/>
      <sz val="10"/>
      <name val="Arial"/>
      <family val="0"/>
    </font>
    <font>
      <sz val="12"/>
      <name val="Arial"/>
      <family val="0"/>
    </font>
    <font>
      <sz val="8"/>
      <name val="Tahoma"/>
      <family val="0"/>
    </font>
    <font>
      <u val="single"/>
      <sz val="6"/>
      <color indexed="12"/>
      <name val="Arial"/>
      <family val="0"/>
    </font>
    <font>
      <u val="single"/>
      <sz val="6"/>
      <color indexed="36"/>
      <name val="Arial"/>
      <family val="0"/>
    </font>
    <font>
      <b/>
      <sz val="14"/>
      <name val="Arial"/>
      <family val="2"/>
    </font>
    <font>
      <b/>
      <sz val="8"/>
      <name val="Tahoma"/>
      <family val="0"/>
    </font>
    <font>
      <b/>
      <sz val="16"/>
      <name val="Arial"/>
      <family val="2"/>
    </font>
    <font>
      <sz val="16"/>
      <name val="Arial"/>
      <family val="2"/>
    </font>
    <font>
      <sz val="11.25"/>
      <name val="Arial"/>
      <family val="2"/>
    </font>
    <font>
      <b/>
      <u val="singleAccounting"/>
      <sz val="12"/>
      <name val="Arial"/>
      <family val="0"/>
    </font>
    <font>
      <sz val="10"/>
      <color indexed="29"/>
      <name val="Arial"/>
      <family val="0"/>
    </font>
    <font>
      <u val="singleAccounting"/>
      <sz val="9.5"/>
      <name val="Arial"/>
      <family val="0"/>
    </font>
    <font>
      <b/>
      <sz val="12"/>
      <name val="Tahoma"/>
      <family val="2"/>
    </font>
    <font>
      <sz val="12"/>
      <name val="Tahoma"/>
      <family val="2"/>
    </font>
    <font>
      <b/>
      <sz val="14"/>
      <name val="Tahoma"/>
      <family val="2"/>
    </font>
    <font>
      <sz val="10"/>
      <color indexed="9"/>
      <name val="Arial"/>
      <family val="2"/>
    </font>
    <font>
      <sz val="8"/>
      <name val="Arial"/>
      <family val="0"/>
    </font>
    <font>
      <b/>
      <sz val="8"/>
      <name val="Arial"/>
      <family val="2"/>
    </font>
    <font>
      <b/>
      <i/>
      <sz val="10"/>
      <name val="Arial"/>
      <family val="2"/>
    </font>
    <font>
      <i/>
      <sz val="10"/>
      <name val="Arial"/>
      <family val="0"/>
    </font>
    <font>
      <b/>
      <sz val="10"/>
      <name val="Tahoma"/>
      <family val="2"/>
    </font>
    <font>
      <u val="single"/>
      <sz val="10"/>
      <color indexed="12"/>
      <name val="Arial"/>
      <family val="0"/>
    </font>
    <font>
      <b/>
      <sz val="12"/>
      <color indexed="9"/>
      <name val="Arial"/>
      <family val="2"/>
    </font>
    <font>
      <sz val="10"/>
      <name val="Tahoma"/>
      <family val="2"/>
    </font>
    <font>
      <b/>
      <sz val="9"/>
      <name val="Arial"/>
      <family val="2"/>
    </font>
    <font>
      <b/>
      <sz val="9"/>
      <color indexed="13"/>
      <name val="Arial"/>
      <family val="2"/>
    </font>
    <font>
      <b/>
      <sz val="16"/>
      <color indexed="10"/>
      <name val="Arial"/>
      <family val="2"/>
    </font>
    <font>
      <sz val="10"/>
      <color indexed="10"/>
      <name val="Arial"/>
      <family val="2"/>
    </font>
    <font>
      <sz val="8"/>
      <color indexed="10"/>
      <name val="Arial"/>
      <family val="2"/>
    </font>
    <font>
      <sz val="6"/>
      <color indexed="10"/>
      <name val="Arial"/>
      <family val="2"/>
    </font>
    <font>
      <b/>
      <sz val="10"/>
      <color indexed="9"/>
      <name val="Arial"/>
      <family val="2"/>
    </font>
    <font>
      <sz val="12"/>
      <color indexed="10"/>
      <name val="Arial"/>
      <family val="2"/>
    </font>
    <font>
      <b/>
      <sz val="10"/>
      <color indexed="10"/>
      <name val="Arial"/>
      <family val="2"/>
    </font>
    <font>
      <b/>
      <sz val="12"/>
      <color indexed="34"/>
      <name val="Arial"/>
      <family val="2"/>
    </font>
    <font>
      <b/>
      <sz val="18"/>
      <color indexed="10"/>
      <name val="Arial"/>
      <family val="2"/>
    </font>
    <font>
      <b/>
      <sz val="20"/>
      <name val="Arial"/>
      <family val="2"/>
    </font>
    <font>
      <sz val="10"/>
      <name val="Times New Roman"/>
      <family val="1"/>
    </font>
    <font>
      <b/>
      <sz val="10"/>
      <name val="Times New Roman"/>
      <family val="1"/>
    </font>
    <font>
      <b/>
      <sz val="12"/>
      <name val="Times New Roman"/>
      <family val="1"/>
    </font>
    <font>
      <b/>
      <sz val="12"/>
      <color indexed="10"/>
      <name val="Arial"/>
      <family val="2"/>
    </font>
    <font>
      <sz val="12"/>
      <name val="Times New Roman"/>
      <family val="1"/>
    </font>
    <font>
      <sz val="8"/>
      <color indexed="9"/>
      <name val="Arial"/>
      <family val="2"/>
    </font>
    <font>
      <b/>
      <sz val="11"/>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46"/>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15"/>
        <bgColor indexed="64"/>
      </patternFill>
    </fill>
    <fill>
      <patternFill patternType="solid">
        <fgColor indexed="15"/>
        <bgColor indexed="64"/>
      </patternFill>
    </fill>
    <fill>
      <patternFill patternType="solid">
        <fgColor indexed="42"/>
        <bgColor indexed="64"/>
      </patternFill>
    </fill>
    <fill>
      <patternFill patternType="solid">
        <fgColor indexed="13"/>
        <bgColor indexed="64"/>
      </patternFill>
    </fill>
    <fill>
      <patternFill patternType="solid">
        <fgColor indexed="42"/>
        <bgColor indexed="64"/>
      </patternFill>
    </fill>
  </fills>
  <borders count="109">
    <border>
      <left/>
      <right/>
      <top/>
      <bottom/>
      <diagonal/>
    </border>
    <border>
      <left>
        <color indexed="63"/>
      </left>
      <right>
        <color indexed="63"/>
      </right>
      <top style="double">
        <color indexed="63"/>
      </top>
      <bottom>
        <color indexed="63"/>
      </bottom>
    </border>
    <border>
      <left>
        <color indexed="63"/>
      </left>
      <right>
        <color indexed="63"/>
      </right>
      <top>
        <color indexed="63"/>
      </top>
      <bottom style="medium"/>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medium"/>
      <bottom style="medium"/>
    </border>
    <border>
      <left style="thin"/>
      <right style="thin"/>
      <top>
        <color indexed="63"/>
      </top>
      <bottom style="medium"/>
    </border>
    <border>
      <left style="thin"/>
      <right>
        <color indexed="63"/>
      </right>
      <top style="thin"/>
      <bottom style="thin"/>
    </border>
    <border>
      <left style="thin"/>
      <right style="medium"/>
      <top style="medium"/>
      <bottom style="thin"/>
    </border>
    <border>
      <left>
        <color indexed="63"/>
      </left>
      <right>
        <color indexed="63"/>
      </right>
      <top style="double"/>
      <bottom style="medium"/>
    </border>
    <border>
      <left style="medium">
        <color indexed="34"/>
      </left>
      <right>
        <color indexed="63"/>
      </right>
      <top style="medium">
        <color indexed="34"/>
      </top>
      <bottom>
        <color indexed="63"/>
      </bottom>
    </border>
    <border>
      <left>
        <color indexed="63"/>
      </left>
      <right>
        <color indexed="63"/>
      </right>
      <top style="medium">
        <color indexed="34"/>
      </top>
      <bottom>
        <color indexed="63"/>
      </bottom>
    </border>
    <border>
      <left>
        <color indexed="63"/>
      </left>
      <right style="medium">
        <color indexed="34"/>
      </right>
      <top style="medium">
        <color indexed="34"/>
      </top>
      <bottom>
        <color indexed="63"/>
      </bottom>
    </border>
    <border>
      <left style="medium">
        <color indexed="34"/>
      </left>
      <right>
        <color indexed="63"/>
      </right>
      <top>
        <color indexed="63"/>
      </top>
      <bottom>
        <color indexed="63"/>
      </bottom>
    </border>
    <border>
      <left>
        <color indexed="63"/>
      </left>
      <right style="medium">
        <color indexed="34"/>
      </right>
      <top>
        <color indexed="63"/>
      </top>
      <bottom>
        <color indexed="63"/>
      </bottom>
    </border>
    <border>
      <left style="medium"/>
      <right>
        <color indexed="63"/>
      </right>
      <top style="medium"/>
      <bottom style="medium"/>
    </border>
    <border>
      <left>
        <color indexed="63"/>
      </left>
      <right style="medium"/>
      <top style="medium"/>
      <bottom style="thin"/>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medium"/>
    </border>
    <border>
      <left style="medium"/>
      <right style="thin"/>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style="double"/>
    </border>
    <border>
      <left style="thin"/>
      <right>
        <color indexed="63"/>
      </right>
      <top>
        <color indexed="63"/>
      </top>
      <bottom style="double"/>
    </border>
    <border>
      <left style="thin"/>
      <right style="medium"/>
      <top style="thin"/>
      <bottom style="double"/>
    </border>
    <border>
      <left style="thin"/>
      <right style="medium"/>
      <top>
        <color indexed="63"/>
      </top>
      <bottom style="medium"/>
    </border>
    <border>
      <left style="thin"/>
      <right style="thin"/>
      <top style="double"/>
      <bottom>
        <color indexed="63"/>
      </bottom>
    </border>
    <border>
      <left style="medium"/>
      <right style="thin"/>
      <top style="double"/>
      <bottom>
        <color indexed="63"/>
      </bottom>
    </border>
    <border>
      <left style="thin"/>
      <right style="medium"/>
      <top style="double"/>
      <bottom>
        <color indexed="63"/>
      </bottom>
    </border>
    <border>
      <left style="thin"/>
      <right style="thin"/>
      <top>
        <color indexed="63"/>
      </top>
      <bottom style="double"/>
    </border>
    <border>
      <left style="thin"/>
      <right style="thin"/>
      <top style="thin"/>
      <bottom style="double"/>
    </border>
    <border>
      <left>
        <color indexed="63"/>
      </left>
      <right style="thick"/>
      <top>
        <color indexed="63"/>
      </top>
      <bottom>
        <color indexed="63"/>
      </bottom>
    </border>
    <border>
      <left>
        <color indexed="63"/>
      </left>
      <right style="thick"/>
      <top style="thin"/>
      <bottom>
        <color indexed="63"/>
      </bottom>
    </border>
    <border>
      <left>
        <color indexed="63"/>
      </left>
      <right style="thick"/>
      <top>
        <color indexed="63"/>
      </top>
      <bottom style="medium"/>
    </border>
    <border>
      <left>
        <color indexed="63"/>
      </left>
      <right style="thick"/>
      <top style="medium"/>
      <bottom style="medium"/>
    </border>
    <border>
      <left style="thin"/>
      <right style="thin"/>
      <top style="double"/>
      <bottom style="thin"/>
    </border>
    <border>
      <left style="thin"/>
      <right>
        <color indexed="63"/>
      </right>
      <top style="double"/>
      <bottom style="thin"/>
    </border>
    <border>
      <left style="thin"/>
      <right style="medium"/>
      <top style="medium"/>
      <bottom>
        <color indexed="63"/>
      </bottom>
    </border>
    <border>
      <left style="thin"/>
      <right style="medium"/>
      <top>
        <color indexed="63"/>
      </top>
      <bottom style="thin"/>
    </border>
    <border>
      <left>
        <color indexed="63"/>
      </left>
      <right style="mediumDashed"/>
      <top>
        <color indexed="63"/>
      </top>
      <bottom style="thin"/>
    </border>
    <border>
      <left style="mediumDashed"/>
      <right style="thin"/>
      <top style="thin"/>
      <bottom style="thin"/>
    </border>
    <border>
      <left style="medium"/>
      <right style="medium"/>
      <top style="thin"/>
      <bottom style="medium"/>
    </border>
    <border>
      <left style="medium"/>
      <right style="thin"/>
      <top style="thin"/>
      <bottom>
        <color indexed="63"/>
      </bottom>
    </border>
    <border>
      <left style="medium"/>
      <right>
        <color indexed="63"/>
      </right>
      <top style="thin"/>
      <bottom style="medium"/>
    </border>
    <border>
      <left style="thin"/>
      <right style="mediumDashed"/>
      <top style="thin"/>
      <bottom>
        <color indexed="63"/>
      </bottom>
    </border>
    <border>
      <left>
        <color indexed="63"/>
      </left>
      <right style="mediumDashed"/>
      <top>
        <color indexed="63"/>
      </top>
      <bottom>
        <color indexed="63"/>
      </bottom>
    </border>
    <border>
      <left style="mediumDashed"/>
      <right style="thin"/>
      <top>
        <color indexed="63"/>
      </top>
      <bottom>
        <color indexed="63"/>
      </bottom>
    </border>
    <border>
      <left style="mediumDashed"/>
      <right style="thin"/>
      <top>
        <color indexed="63"/>
      </top>
      <bottom style="thin"/>
    </border>
    <border>
      <left style="thin"/>
      <right style="mediumDashed"/>
      <top>
        <color indexed="63"/>
      </top>
      <bottom style="medium"/>
    </border>
    <border>
      <left style="mediumDashed"/>
      <right style="thin"/>
      <top>
        <color indexed="63"/>
      </top>
      <bottom style="medium"/>
    </border>
    <border>
      <left style="medium"/>
      <right style="medium"/>
      <top style="medium"/>
      <bottom style="medium"/>
    </border>
    <border>
      <left style="thin"/>
      <right>
        <color indexed="63"/>
      </right>
      <top style="medium"/>
      <bottom style="thin"/>
    </border>
    <border>
      <left>
        <color indexed="63"/>
      </left>
      <right style="medium"/>
      <top style="thin"/>
      <bottom style="thin"/>
    </border>
    <border>
      <left>
        <color indexed="63"/>
      </left>
      <right style="thin"/>
      <top style="medium"/>
      <bottom style="thin"/>
    </border>
    <border>
      <left style="medium"/>
      <right style="thin"/>
      <top>
        <color indexed="63"/>
      </top>
      <bottom style="double"/>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thin"/>
      <bottom>
        <color indexed="63"/>
      </bottom>
    </border>
    <border>
      <left style="mediumDashed"/>
      <right>
        <color indexed="63"/>
      </right>
      <top style="thin"/>
      <bottom style="thin"/>
    </border>
    <border>
      <left style="medium"/>
      <right>
        <color indexed="63"/>
      </right>
      <top style="thin"/>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color indexed="63"/>
      </top>
      <bottom style="dotted"/>
    </border>
    <border>
      <left style="medium"/>
      <right>
        <color indexed="63"/>
      </right>
      <top style="dotted"/>
      <bottom>
        <color indexed="63"/>
      </bottom>
    </border>
  </borders>
  <cellStyleXfs count="3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9" fillId="0" borderId="0" applyNumberFormat="0" applyFill="0" applyBorder="0" applyAlignment="0" applyProtection="0"/>
    <xf numFmtId="0" fontId="0" fillId="0" borderId="0">
      <alignment/>
      <protection/>
    </xf>
    <xf numFmtId="10" fontId="0" fillId="0" borderId="0" applyFont="0" applyFill="0" applyBorder="0" applyAlignment="0" applyProtection="0"/>
    <xf numFmtId="0" fontId="0" fillId="0" borderId="1" applyNumberFormat="0" applyFont="0" applyBorder="0" applyAlignment="0" applyProtection="0"/>
  </cellStyleXfs>
  <cellXfs count="1149">
    <xf numFmtId="0" fontId="0" fillId="0" borderId="0" xfId="0" applyAlignment="1">
      <alignment/>
    </xf>
    <xf numFmtId="0" fontId="0" fillId="0" borderId="0" xfId="0" applyAlignment="1" applyProtection="1">
      <alignment/>
      <protection locked="0"/>
    </xf>
    <xf numFmtId="0" fontId="6" fillId="0" borderId="0" xfId="0" applyBorder="1" applyAlignment="1">
      <alignment/>
    </xf>
    <xf numFmtId="0" fontId="0" fillId="0" borderId="0" xfId="0" applyFont="1" applyAlignment="1" applyProtection="1">
      <alignment horizontal="center"/>
      <protection locked="0"/>
    </xf>
    <xf numFmtId="0" fontId="6" fillId="0" borderId="0" xfId="0" applyBorder="1" applyAlignment="1" applyProtection="1">
      <alignment/>
      <protection locked="0"/>
    </xf>
    <xf numFmtId="0" fontId="5" fillId="0" borderId="0" xfId="0"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Border="1" applyAlignment="1" applyProtection="1">
      <alignment/>
      <protection locked="0"/>
    </xf>
    <xf numFmtId="0" fontId="0" fillId="0" borderId="2" xfId="0" applyBorder="1" applyAlignment="1" applyProtection="1">
      <alignment/>
      <protection locked="0"/>
    </xf>
    <xf numFmtId="0" fontId="0" fillId="0" borderId="0" xfId="0" applyAlignment="1" applyProtection="1">
      <alignment horizontal="center"/>
      <protection locked="0"/>
    </xf>
    <xf numFmtId="0" fontId="0" fillId="2" borderId="0" xfId="0" applyFont="1" applyFill="1" applyAlignment="1" applyProtection="1">
      <alignment horizontal="center"/>
      <protection locked="0"/>
    </xf>
    <xf numFmtId="2" fontId="6" fillId="3" borderId="0" xfId="0" applyNumberFormat="1" applyFill="1" applyBorder="1" applyAlignment="1" applyProtection="1">
      <alignment/>
      <protection locked="0"/>
    </xf>
    <xf numFmtId="2" fontId="6" fillId="3" borderId="0" xfId="0" applyNumberFormat="1" applyFont="1" applyFill="1" applyBorder="1" applyAlignment="1" applyProtection="1">
      <alignment horizontal="center"/>
      <protection locked="0"/>
    </xf>
    <xf numFmtId="0" fontId="0" fillId="2" borderId="0" xfId="0" applyFill="1" applyAlignment="1" applyProtection="1">
      <alignment/>
      <protection locked="0"/>
    </xf>
    <xf numFmtId="0" fontId="0" fillId="3" borderId="0" xfId="0" applyFont="1" applyFill="1" applyAlignment="1" applyProtection="1">
      <alignment horizontal="center"/>
      <protection locked="0"/>
    </xf>
    <xf numFmtId="0" fontId="0" fillId="2" borderId="0" xfId="0" applyFill="1" applyBorder="1" applyAlignment="1" applyProtection="1">
      <alignment/>
      <protection locked="0"/>
    </xf>
    <xf numFmtId="0" fontId="0" fillId="0" borderId="0" xfId="0" applyAlignment="1" applyProtection="1">
      <alignment/>
      <protection locked="0"/>
    </xf>
    <xf numFmtId="0" fontId="13" fillId="0" borderId="3" xfId="0" applyFont="1" applyBorder="1" applyAlignment="1" applyProtection="1">
      <alignment/>
      <protection locked="0"/>
    </xf>
    <xf numFmtId="0" fontId="0" fillId="0" borderId="3" xfId="0" applyFont="1" applyBorder="1" applyAlignment="1" applyProtection="1">
      <alignment/>
      <protection locked="0"/>
    </xf>
    <xf numFmtId="0" fontId="0" fillId="0" borderId="3" xfId="0" applyFont="1" applyBorder="1" applyAlignment="1" applyProtection="1">
      <alignment horizontal="center"/>
      <protection locked="0"/>
    </xf>
    <xf numFmtId="0" fontId="0" fillId="0" borderId="3" xfId="0" applyBorder="1" applyAlignment="1" applyProtection="1">
      <alignment/>
      <protection locked="0"/>
    </xf>
    <xf numFmtId="0" fontId="0" fillId="0" borderId="3" xfId="0" applyFont="1" applyBorder="1" applyAlignment="1" applyProtection="1">
      <alignment horizontal="center"/>
      <protection locked="0"/>
    </xf>
    <xf numFmtId="0" fontId="0" fillId="2" borderId="3" xfId="0" applyFont="1" applyFill="1" applyBorder="1" applyAlignment="1" applyProtection="1">
      <alignment horizontal="left"/>
      <protection locked="0"/>
    </xf>
    <xf numFmtId="0" fontId="0" fillId="2" borderId="3" xfId="0" applyFill="1" applyBorder="1" applyAlignment="1" applyProtection="1">
      <alignment/>
      <protection locked="0"/>
    </xf>
    <xf numFmtId="0" fontId="6" fillId="0" borderId="0" xfId="0" applyFont="1" applyAlignment="1">
      <alignment/>
    </xf>
    <xf numFmtId="0" fontId="6" fillId="2" borderId="0" xfId="0" applyFont="1" applyFill="1" applyBorder="1" applyAlignment="1" applyProtection="1">
      <alignment horizontal="center"/>
      <protection locked="0"/>
    </xf>
    <xf numFmtId="0" fontId="0" fillId="2" borderId="0" xfId="0" applyFill="1" applyBorder="1" applyAlignment="1">
      <alignment horizontal="center"/>
    </xf>
    <xf numFmtId="0" fontId="0" fillId="2" borderId="0" xfId="0" applyFont="1" applyFill="1" applyBorder="1" applyAlignment="1" applyProtection="1">
      <alignment/>
      <protection locked="0"/>
    </xf>
    <xf numFmtId="1" fontId="6" fillId="2" borderId="0" xfId="0" applyNumberFormat="1" applyFont="1" applyFill="1" applyBorder="1" applyAlignment="1" applyProtection="1">
      <alignment horizontal="center"/>
      <protection locked="0"/>
    </xf>
    <xf numFmtId="0" fontId="0" fillId="0" borderId="0" xfId="0" applyBorder="1" applyAlignment="1">
      <alignment horizontal="center"/>
    </xf>
    <xf numFmtId="0" fontId="0" fillId="0" borderId="0" xfId="0" applyFont="1" applyBorder="1" applyAlignment="1" applyProtection="1">
      <alignment horizontal="center"/>
      <protection locked="0"/>
    </xf>
    <xf numFmtId="1" fontId="0" fillId="0" borderId="0" xfId="0" applyNumberFormat="1" applyAlignment="1" applyProtection="1">
      <alignment horizontal="center"/>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2" xfId="0" applyFill="1" applyBorder="1" applyAlignment="1">
      <alignment/>
    </xf>
    <xf numFmtId="0" fontId="0" fillId="4" borderId="8" xfId="0" applyFill="1" applyBorder="1" applyAlignment="1">
      <alignment/>
    </xf>
    <xf numFmtId="0" fontId="0" fillId="0" borderId="0" xfId="0" applyFont="1" applyBorder="1" applyAlignment="1" applyProtection="1">
      <alignment/>
      <protection locked="0"/>
    </xf>
    <xf numFmtId="0" fontId="0" fillId="0" borderId="0" xfId="0" applyBorder="1" applyAlignment="1">
      <alignment/>
    </xf>
    <xf numFmtId="0" fontId="0" fillId="0" borderId="0" xfId="0" applyAlignment="1" applyProtection="1">
      <alignment/>
      <protection/>
    </xf>
    <xf numFmtId="0" fontId="0" fillId="2" borderId="0" xfId="0" applyFill="1" applyAlignment="1">
      <alignment/>
    </xf>
    <xf numFmtId="1" fontId="0" fillId="0" borderId="9" xfId="0" applyNumberFormat="1" applyBorder="1" applyAlignment="1">
      <alignment/>
    </xf>
    <xf numFmtId="1" fontId="0" fillId="0" borderId="0" xfId="0" applyNumberFormat="1" applyBorder="1" applyAlignment="1">
      <alignment/>
    </xf>
    <xf numFmtId="1" fontId="0" fillId="0" borderId="10" xfId="0" applyNumberFormat="1" applyBorder="1" applyAlignment="1">
      <alignment/>
    </xf>
    <xf numFmtId="1" fontId="0" fillId="0" borderId="11" xfId="0" applyNumberFormat="1" applyBorder="1" applyAlignment="1">
      <alignment/>
    </xf>
    <xf numFmtId="1" fontId="0" fillId="0" borderId="12" xfId="0" applyNumberFormat="1" applyBorder="1" applyAlignment="1">
      <alignment/>
    </xf>
    <xf numFmtId="1" fontId="0" fillId="0" borderId="13" xfId="0" applyNumberFormat="1" applyBorder="1" applyAlignment="1">
      <alignment/>
    </xf>
    <xf numFmtId="0" fontId="0" fillId="0" borderId="14" xfId="0" applyBorder="1" applyAlignment="1">
      <alignment/>
    </xf>
    <xf numFmtId="0" fontId="0" fillId="0" borderId="15" xfId="0" applyBorder="1" applyAlignment="1">
      <alignment/>
    </xf>
    <xf numFmtId="0" fontId="0" fillId="2" borderId="16" xfId="0" applyFill="1" applyBorder="1" applyAlignment="1">
      <alignment horizontal="center"/>
    </xf>
    <xf numFmtId="0" fontId="0" fillId="2" borderId="15"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5" borderId="0" xfId="0" applyFill="1" applyBorder="1" applyAlignment="1">
      <alignment/>
    </xf>
    <xf numFmtId="0" fontId="0" fillId="2" borderId="0" xfId="0" applyFill="1" applyBorder="1" applyAlignment="1">
      <alignment/>
    </xf>
    <xf numFmtId="0" fontId="0" fillId="2" borderId="0" xfId="0" applyFill="1" applyBorder="1" applyAlignment="1">
      <alignment/>
    </xf>
    <xf numFmtId="0" fontId="6" fillId="6" borderId="0" xfId="27" applyFont="1" applyFill="1">
      <alignment/>
      <protection/>
    </xf>
    <xf numFmtId="0" fontId="6" fillId="6" borderId="0" xfId="27" applyFont="1" applyFill="1" applyBorder="1" applyAlignment="1">
      <alignment horizontal="center"/>
      <protection/>
    </xf>
    <xf numFmtId="1" fontId="0" fillId="6" borderId="0" xfId="27" applyNumberFormat="1" applyFill="1" applyBorder="1" applyAlignment="1">
      <alignment horizontal="center"/>
      <protection/>
    </xf>
    <xf numFmtId="2" fontId="0" fillId="6" borderId="0" xfId="27" applyNumberFormat="1" applyFill="1" applyBorder="1" applyAlignment="1">
      <alignment horizontal="center"/>
      <protection/>
    </xf>
    <xf numFmtId="0" fontId="0" fillId="0" borderId="0" xfId="0" applyAlignment="1">
      <alignment horizontal="center"/>
    </xf>
    <xf numFmtId="0" fontId="0" fillId="2" borderId="0" xfId="0" applyFill="1" applyAlignment="1">
      <alignment horizontal="center"/>
    </xf>
    <xf numFmtId="0" fontId="0" fillId="0" borderId="0" xfId="0" applyFill="1" applyBorder="1" applyAlignment="1">
      <alignment/>
    </xf>
    <xf numFmtId="0" fontId="0" fillId="6" borderId="0" xfId="0" applyFill="1" applyBorder="1" applyAlignment="1">
      <alignment/>
    </xf>
    <xf numFmtId="0" fontId="7" fillId="5" borderId="0" xfId="0" applyFont="1" applyFill="1" applyBorder="1" applyAlignment="1">
      <alignment/>
    </xf>
    <xf numFmtId="0" fontId="7" fillId="5" borderId="2" xfId="0" applyFont="1" applyFill="1" applyBorder="1" applyAlignment="1">
      <alignment/>
    </xf>
    <xf numFmtId="0" fontId="7" fillId="6" borderId="0" xfId="0" applyFont="1" applyFill="1" applyBorder="1" applyAlignment="1">
      <alignment/>
    </xf>
    <xf numFmtId="0" fontId="7" fillId="2" borderId="0" xfId="0" applyFont="1" applyFill="1" applyAlignment="1">
      <alignment/>
    </xf>
    <xf numFmtId="0" fontId="7" fillId="6" borderId="0" xfId="0" applyFont="1" applyFill="1" applyAlignment="1">
      <alignment/>
    </xf>
    <xf numFmtId="0" fontId="2" fillId="6" borderId="0" xfId="0" applyFont="1" applyFill="1" applyAlignment="1">
      <alignment horizontal="center"/>
    </xf>
    <xf numFmtId="1" fontId="7" fillId="6" borderId="0" xfId="0" applyNumberFormat="1" applyFont="1" applyFill="1" applyAlignment="1">
      <alignment horizontal="center"/>
    </xf>
    <xf numFmtId="0" fontId="7" fillId="6" borderId="0" xfId="0" applyFont="1" applyFill="1" applyAlignment="1">
      <alignment vertical="top"/>
    </xf>
    <xf numFmtId="0" fontId="2" fillId="6" borderId="0" xfId="0" applyFont="1" applyFill="1" applyBorder="1" applyAlignment="1">
      <alignment horizontal="center"/>
    </xf>
    <xf numFmtId="1" fontId="7" fillId="6" borderId="0" xfId="0" applyNumberFormat="1" applyFont="1" applyFill="1" applyBorder="1" applyAlignment="1">
      <alignment horizontal="center"/>
    </xf>
    <xf numFmtId="0" fontId="7" fillId="6" borderId="0" xfId="0" applyFont="1" applyFill="1" applyBorder="1" applyAlignment="1">
      <alignment horizontal="center"/>
    </xf>
    <xf numFmtId="0" fontId="6" fillId="6" borderId="0" xfId="27" applyFont="1" applyFill="1" applyAlignment="1">
      <alignment horizontal="right"/>
      <protection/>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2" borderId="2" xfId="0" applyFill="1" applyBorder="1" applyAlignment="1">
      <alignment/>
    </xf>
    <xf numFmtId="0" fontId="0" fillId="2" borderId="8" xfId="0" applyFill="1" applyBorder="1" applyAlignment="1">
      <alignment/>
    </xf>
    <xf numFmtId="0" fontId="6" fillId="2" borderId="0" xfId="0" applyFont="1" applyFill="1" applyBorder="1" applyAlignment="1">
      <alignment/>
    </xf>
    <xf numFmtId="0" fontId="6" fillId="2" borderId="0" xfId="0" applyFont="1" applyFill="1" applyBorder="1" applyAlignment="1">
      <alignment horizontal="right"/>
    </xf>
    <xf numFmtId="0" fontId="0" fillId="2" borderId="18" xfId="0" applyFill="1" applyBorder="1" applyAlignment="1">
      <alignment/>
    </xf>
    <xf numFmtId="0" fontId="0" fillId="6" borderId="18" xfId="0" applyFill="1" applyBorder="1" applyAlignment="1">
      <alignment/>
    </xf>
    <xf numFmtId="0" fontId="0" fillId="0" borderId="0" xfId="0" applyFill="1" applyAlignment="1">
      <alignment/>
    </xf>
    <xf numFmtId="0" fontId="2" fillId="6" borderId="0" xfId="27" applyFont="1" applyFill="1" applyBorder="1" applyAlignment="1">
      <alignment horizontal="center"/>
      <protection/>
    </xf>
    <xf numFmtId="0" fontId="7" fillId="6" borderId="0" xfId="27" applyFont="1" applyFill="1" applyBorder="1" applyAlignment="1">
      <alignment horizontal="center"/>
      <protection/>
    </xf>
    <xf numFmtId="0" fontId="0" fillId="2" borderId="0" xfId="0" applyFont="1" applyFill="1" applyBorder="1" applyAlignment="1">
      <alignment/>
    </xf>
    <xf numFmtId="0" fontId="7" fillId="2" borderId="0" xfId="0" applyFont="1" applyFill="1" applyBorder="1" applyAlignment="1">
      <alignment/>
    </xf>
    <xf numFmtId="0" fontId="7" fillId="2" borderId="0" xfId="0" applyFont="1" applyFill="1" applyBorder="1" applyAlignment="1">
      <alignment horizontal="center"/>
    </xf>
    <xf numFmtId="165" fontId="7" fillId="2" borderId="0" xfId="0" applyNumberFormat="1" applyFont="1" applyFill="1" applyBorder="1" applyAlignment="1">
      <alignment horizontal="center"/>
    </xf>
    <xf numFmtId="0" fontId="0" fillId="2" borderId="7" xfId="0" applyFill="1" applyBorder="1" applyAlignment="1">
      <alignment/>
    </xf>
    <xf numFmtId="0" fontId="0" fillId="2" borderId="19" xfId="0" applyFill="1" applyBorder="1" applyAlignment="1">
      <alignment horizontal="center"/>
    </xf>
    <xf numFmtId="0" fontId="6" fillId="2" borderId="0" xfId="0" applyFont="1" applyFill="1" applyBorder="1" applyAlignment="1">
      <alignment horizontal="center"/>
    </xf>
    <xf numFmtId="0" fontId="6" fillId="2" borderId="0" xfId="0" applyFont="1" applyFill="1" applyBorder="1" applyAlignment="1">
      <alignment/>
    </xf>
    <xf numFmtId="0" fontId="6" fillId="2" borderId="0" xfId="0" applyFont="1" applyFill="1" applyBorder="1" applyAlignment="1" applyProtection="1">
      <alignment horizontal="justify"/>
      <protection locked="0"/>
    </xf>
    <xf numFmtId="0" fontId="0" fillId="5" borderId="2" xfId="0" applyFill="1" applyBorder="1" applyAlignment="1">
      <alignment/>
    </xf>
    <xf numFmtId="0" fontId="0" fillId="6" borderId="0" xfId="0" applyFill="1" applyBorder="1" applyAlignment="1" applyProtection="1">
      <alignment/>
      <protection locked="0"/>
    </xf>
    <xf numFmtId="0" fontId="0" fillId="6" borderId="0" xfId="0" applyFill="1" applyBorder="1" applyAlignment="1" applyProtection="1">
      <alignment wrapText="1"/>
      <protection locked="0"/>
    </xf>
    <xf numFmtId="0" fontId="6" fillId="6" borderId="0" xfId="0" applyFont="1" applyFill="1" applyBorder="1" applyAlignment="1" applyProtection="1">
      <alignment horizontal="left" wrapText="1"/>
      <protection locked="0"/>
    </xf>
    <xf numFmtId="2" fontId="0" fillId="6" borderId="0" xfId="0" applyNumberFormat="1" applyFill="1" applyBorder="1" applyAlignment="1" applyProtection="1">
      <alignment/>
      <protection locked="0"/>
    </xf>
    <xf numFmtId="0" fontId="6" fillId="6" borderId="0" xfId="0" applyFont="1" applyFill="1" applyBorder="1" applyAlignment="1" applyProtection="1">
      <alignment horizontal="justify"/>
      <protection locked="0"/>
    </xf>
    <xf numFmtId="2" fontId="6" fillId="6" borderId="0" xfId="0" applyNumberFormat="1" applyFont="1" applyFill="1" applyBorder="1" applyAlignment="1" applyProtection="1">
      <alignment horizontal="center"/>
      <protection locked="0"/>
    </xf>
    <xf numFmtId="0" fontId="6" fillId="6" borderId="0" xfId="0" applyFont="1" applyFill="1" applyBorder="1" applyAlignment="1" applyProtection="1">
      <alignment/>
      <protection locked="0"/>
    </xf>
    <xf numFmtId="2" fontId="0" fillId="6" borderId="0" xfId="0" applyNumberFormat="1" applyFont="1" applyFill="1" applyBorder="1" applyAlignment="1" applyProtection="1">
      <alignment horizontal="center" wrapText="1"/>
      <protection locked="0"/>
    </xf>
    <xf numFmtId="0" fontId="0" fillId="6" borderId="0" xfId="0" applyFont="1" applyFill="1" applyBorder="1" applyAlignment="1" applyProtection="1">
      <alignment wrapText="1"/>
      <protection locked="0"/>
    </xf>
    <xf numFmtId="0" fontId="6" fillId="0" borderId="0" xfId="0" applyFont="1" applyAlignment="1" applyProtection="1">
      <alignment/>
      <protection/>
    </xf>
    <xf numFmtId="164" fontId="0" fillId="0" borderId="0" xfId="0" applyNumberFormat="1" applyAlignment="1" applyProtection="1">
      <alignment/>
      <protection/>
    </xf>
    <xf numFmtId="2" fontId="0" fillId="0" borderId="0" xfId="0" applyNumberFormat="1" applyAlignment="1" applyProtection="1">
      <alignment/>
      <protection/>
    </xf>
    <xf numFmtId="0" fontId="2" fillId="2" borderId="0" xfId="0" applyFont="1" applyFill="1" applyBorder="1" applyAlignment="1">
      <alignment/>
    </xf>
    <xf numFmtId="0" fontId="2" fillId="2" borderId="0" xfId="0" applyFont="1" applyFill="1" applyBorder="1" applyAlignment="1">
      <alignment/>
    </xf>
    <xf numFmtId="0" fontId="0" fillId="0" borderId="0" xfId="0" applyBorder="1" applyAlignment="1">
      <alignment/>
    </xf>
    <xf numFmtId="0" fontId="0" fillId="2" borderId="0" xfId="0" applyFill="1" applyBorder="1" applyAlignment="1">
      <alignment horizontal="right"/>
    </xf>
    <xf numFmtId="0" fontId="0" fillId="2" borderId="20" xfId="0" applyFill="1" applyBorder="1" applyAlignment="1">
      <alignment/>
    </xf>
    <xf numFmtId="0" fontId="0" fillId="2" borderId="21" xfId="0" applyFill="1" applyBorder="1" applyAlignment="1">
      <alignment/>
    </xf>
    <xf numFmtId="0" fontId="0" fillId="2" borderId="18" xfId="0" applyFill="1" applyBorder="1" applyAlignment="1">
      <alignment/>
    </xf>
    <xf numFmtId="0" fontId="0" fillId="2" borderId="22" xfId="0" applyFill="1" applyBorder="1" applyAlignment="1">
      <alignment/>
    </xf>
    <xf numFmtId="0" fontId="0" fillId="2" borderId="23" xfId="0" applyFill="1" applyBorder="1" applyAlignment="1">
      <alignment/>
    </xf>
    <xf numFmtId="0" fontId="2" fillId="2" borderId="4" xfId="0" applyFont="1" applyFill="1" applyBorder="1" applyAlignment="1">
      <alignment/>
    </xf>
    <xf numFmtId="0" fontId="0" fillId="2" borderId="5" xfId="0" applyFill="1" applyBorder="1" applyAlignment="1">
      <alignment horizontal="right"/>
    </xf>
    <xf numFmtId="0" fontId="6" fillId="2" borderId="5" xfId="0" applyFont="1" applyFill="1" applyBorder="1" applyAlignment="1">
      <alignment horizontal="center"/>
    </xf>
    <xf numFmtId="0" fontId="0" fillId="2" borderId="5" xfId="0" applyFill="1" applyBorder="1" applyAlignment="1">
      <alignment/>
    </xf>
    <xf numFmtId="0" fontId="0" fillId="2" borderId="6" xfId="0" applyFill="1" applyBorder="1" applyAlignment="1">
      <alignment/>
    </xf>
    <xf numFmtId="0" fontId="0" fillId="0" borderId="21" xfId="0" applyBorder="1" applyAlignment="1">
      <alignment/>
    </xf>
    <xf numFmtId="0" fontId="0" fillId="2" borderId="24" xfId="0" applyFill="1" applyBorder="1" applyAlignment="1">
      <alignment/>
    </xf>
    <xf numFmtId="0" fontId="0" fillId="0" borderId="0" xfId="0" applyFont="1" applyAlignment="1">
      <alignment/>
    </xf>
    <xf numFmtId="0" fontId="25" fillId="0" borderId="0" xfId="0" applyFont="1" applyAlignment="1">
      <alignment/>
    </xf>
    <xf numFmtId="0" fontId="6" fillId="0" borderId="25" xfId="0" applyFont="1" applyBorder="1" applyAlignment="1">
      <alignment/>
    </xf>
    <xf numFmtId="0" fontId="0" fillId="0" borderId="26" xfId="0" applyBorder="1" applyAlignment="1">
      <alignment/>
    </xf>
    <xf numFmtId="0" fontId="0" fillId="0" borderId="27" xfId="0" applyBorder="1" applyAlignment="1">
      <alignment/>
    </xf>
    <xf numFmtId="0" fontId="0" fillId="0" borderId="9" xfId="0" applyBorder="1" applyAlignment="1">
      <alignment/>
    </xf>
    <xf numFmtId="0" fontId="0" fillId="0" borderId="10" xfId="0" applyBorder="1" applyAlignment="1">
      <alignment/>
    </xf>
    <xf numFmtId="0" fontId="25"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Alignment="1" applyProtection="1">
      <alignment horizontal="center"/>
      <protection/>
    </xf>
    <xf numFmtId="1" fontId="0" fillId="0" borderId="0" xfId="0" applyNumberFormat="1" applyBorder="1" applyAlignment="1" applyProtection="1">
      <alignment horizontal="center"/>
      <protection/>
    </xf>
    <xf numFmtId="0" fontId="0" fillId="0" borderId="0" xfId="0" applyBorder="1" applyAlignment="1" applyProtection="1">
      <alignment/>
      <protection/>
    </xf>
    <xf numFmtId="0" fontId="6" fillId="0" borderId="0"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6" borderId="0" xfId="0" applyFont="1" applyFill="1" applyBorder="1" applyAlignment="1">
      <alignment horizontal="right"/>
    </xf>
    <xf numFmtId="0" fontId="0" fillId="6" borderId="0" xfId="0" applyFill="1" applyBorder="1" applyAlignment="1">
      <alignment horizontal="right"/>
    </xf>
    <xf numFmtId="0" fontId="0" fillId="6" borderId="0" xfId="0" applyFill="1" applyAlignment="1">
      <alignment/>
    </xf>
    <xf numFmtId="0" fontId="0" fillId="2" borderId="19" xfId="0" applyFill="1" applyBorder="1" applyAlignment="1">
      <alignment/>
    </xf>
    <xf numFmtId="0" fontId="0" fillId="2" borderId="12" xfId="0" applyFill="1" applyBorder="1" applyAlignment="1">
      <alignment/>
    </xf>
    <xf numFmtId="0" fontId="0" fillId="6" borderId="28" xfId="0" applyFill="1" applyBorder="1" applyAlignment="1">
      <alignment/>
    </xf>
    <xf numFmtId="0" fontId="0" fillId="2" borderId="27" xfId="0" applyFill="1" applyBorder="1" applyAlignment="1">
      <alignment/>
    </xf>
    <xf numFmtId="0" fontId="0" fillId="0" borderId="29" xfId="0" applyFont="1" applyBorder="1" applyAlignment="1" applyProtection="1">
      <alignment horizontal="center"/>
      <protection/>
    </xf>
    <xf numFmtId="0" fontId="0" fillId="2" borderId="18" xfId="0" applyFill="1" applyBorder="1" applyAlignment="1" applyProtection="1">
      <alignment/>
      <protection locked="0"/>
    </xf>
    <xf numFmtId="0" fontId="0" fillId="2" borderId="8" xfId="0" applyFill="1" applyBorder="1" applyAlignment="1" applyProtection="1">
      <alignment/>
      <protection locked="0"/>
    </xf>
    <xf numFmtId="0" fontId="2" fillId="2" borderId="0" xfId="0" applyFont="1" applyFill="1" applyAlignment="1" applyProtection="1">
      <alignment horizontal="right"/>
      <protection locked="0"/>
    </xf>
    <xf numFmtId="0" fontId="2" fillId="2" borderId="0" xfId="0" applyFont="1" applyFill="1" applyAlignment="1" applyProtection="1">
      <alignment/>
      <protection locked="0"/>
    </xf>
    <xf numFmtId="0" fontId="2" fillId="2" borderId="0" xfId="0" applyFont="1" applyFill="1" applyBorder="1" applyAlignment="1" applyProtection="1">
      <alignment/>
      <protection locked="0"/>
    </xf>
    <xf numFmtId="1" fontId="2" fillId="7" borderId="14" xfId="27" applyNumberFormat="1" applyFont="1" applyFill="1" applyBorder="1" applyAlignment="1" applyProtection="1">
      <alignment horizontal="center"/>
      <protection locked="0"/>
    </xf>
    <xf numFmtId="0" fontId="2" fillId="8" borderId="14" xfId="0" applyFont="1" applyFill="1" applyBorder="1" applyAlignment="1" applyProtection="1">
      <alignment horizontal="center" vertical="top"/>
      <protection locked="0"/>
    </xf>
    <xf numFmtId="0" fontId="2" fillId="7" borderId="30" xfId="27" applyFont="1" applyFill="1" applyBorder="1" applyAlignment="1" applyProtection="1">
      <alignment horizontal="center"/>
      <protection locked="0"/>
    </xf>
    <xf numFmtId="0" fontId="7" fillId="9" borderId="14" xfId="0" applyFont="1" applyFill="1" applyBorder="1" applyAlignment="1" applyProtection="1">
      <alignment horizontal="center"/>
      <protection locked="0"/>
    </xf>
    <xf numFmtId="0" fontId="7" fillId="9" borderId="30" xfId="0" applyFont="1" applyFill="1" applyBorder="1" applyAlignment="1" applyProtection="1">
      <alignment horizontal="center"/>
      <protection locked="0"/>
    </xf>
    <xf numFmtId="0" fontId="0" fillId="6" borderId="31" xfId="0" applyFill="1" applyBorder="1" applyAlignment="1" applyProtection="1">
      <alignment/>
      <protection locked="0"/>
    </xf>
    <xf numFmtId="0" fontId="2" fillId="9" borderId="15" xfId="0" applyFont="1" applyFill="1" applyBorder="1" applyAlignment="1" applyProtection="1">
      <alignment horizontal="center"/>
      <protection locked="0"/>
    </xf>
    <xf numFmtId="0" fontId="2" fillId="9" borderId="32" xfId="0" applyFont="1" applyFill="1" applyBorder="1" applyAlignment="1" applyProtection="1">
      <alignment horizontal="center"/>
      <protection locked="0"/>
    </xf>
    <xf numFmtId="0" fontId="6" fillId="10" borderId="0" xfId="0" applyFont="1" applyFill="1" applyBorder="1" applyAlignment="1">
      <alignment horizontal="center" vertical="top"/>
    </xf>
    <xf numFmtId="0" fontId="0" fillId="10" borderId="0" xfId="0" applyFill="1" applyBorder="1" applyAlignment="1">
      <alignment horizontal="center" vertical="top"/>
    </xf>
    <xf numFmtId="0" fontId="0" fillId="6" borderId="0" xfId="27" applyFill="1" applyBorder="1" applyAlignment="1">
      <alignment horizontal="center"/>
      <protection/>
    </xf>
    <xf numFmtId="2" fontId="0" fillId="2" borderId="0" xfId="0" applyNumberFormat="1" applyFill="1" applyBorder="1" applyAlignment="1">
      <alignment/>
    </xf>
    <xf numFmtId="0" fontId="0" fillId="6" borderId="0" xfId="27" applyFill="1" applyBorder="1">
      <alignment/>
      <protection/>
    </xf>
    <xf numFmtId="0" fontId="0" fillId="0" borderId="33" xfId="0" applyFont="1" applyBorder="1" applyAlignment="1" applyProtection="1">
      <alignment horizontal="center"/>
      <protection locked="0"/>
    </xf>
    <xf numFmtId="0" fontId="0" fillId="0" borderId="33" xfId="0" applyBorder="1" applyAlignment="1" applyProtection="1">
      <alignment/>
      <protection locked="0"/>
    </xf>
    <xf numFmtId="0" fontId="22" fillId="11" borderId="0" xfId="0" applyFont="1" applyFill="1" applyBorder="1" applyAlignment="1">
      <alignment/>
    </xf>
    <xf numFmtId="0" fontId="29" fillId="11" borderId="34" xfId="0" applyFont="1" applyFill="1" applyBorder="1" applyAlignment="1">
      <alignment/>
    </xf>
    <xf numFmtId="0" fontId="22" fillId="11" borderId="35" xfId="0" applyFont="1" applyFill="1" applyBorder="1" applyAlignment="1">
      <alignment/>
    </xf>
    <xf numFmtId="0" fontId="22" fillId="11" borderId="36" xfId="0" applyFont="1" applyFill="1" applyBorder="1" applyAlignment="1">
      <alignment/>
    </xf>
    <xf numFmtId="0" fontId="29" fillId="11" borderId="37" xfId="0" applyFont="1" applyFill="1" applyBorder="1" applyAlignment="1">
      <alignment/>
    </xf>
    <xf numFmtId="0" fontId="22" fillId="11" borderId="38" xfId="0" applyFont="1" applyFill="1" applyBorder="1" applyAlignment="1">
      <alignment/>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39" xfId="0" applyBorder="1" applyAlignment="1" applyProtection="1">
      <alignment/>
      <protection/>
    </xf>
    <xf numFmtId="0" fontId="0" fillId="0" borderId="20" xfId="0" applyBorder="1" applyAlignment="1" applyProtection="1">
      <alignment/>
      <protection/>
    </xf>
    <xf numFmtId="0" fontId="6" fillId="12" borderId="0" xfId="0" applyFont="1" applyFill="1" applyBorder="1" applyAlignment="1" applyProtection="1">
      <alignment/>
      <protection locked="0"/>
    </xf>
    <xf numFmtId="0" fontId="6" fillId="2" borderId="40" xfId="0" applyFont="1" applyFill="1" applyBorder="1" applyAlignment="1">
      <alignment horizontal="center"/>
    </xf>
    <xf numFmtId="1" fontId="0" fillId="4" borderId="18" xfId="0" applyNumberFormat="1" applyFill="1" applyBorder="1" applyAlignment="1">
      <alignment horizontal="center"/>
    </xf>
    <xf numFmtId="1" fontId="0" fillId="4" borderId="41" xfId="0" applyNumberFormat="1" applyFill="1" applyBorder="1" applyAlignment="1">
      <alignment horizontal="center"/>
    </xf>
    <xf numFmtId="1" fontId="0" fillId="4" borderId="8" xfId="0" applyNumberFormat="1" applyFill="1" applyBorder="1" applyAlignment="1">
      <alignment horizontal="center"/>
    </xf>
    <xf numFmtId="0" fontId="0" fillId="5" borderId="10" xfId="0" applyFill="1" applyBorder="1" applyAlignment="1">
      <alignment horizontal="center"/>
    </xf>
    <xf numFmtId="0" fontId="0" fillId="5" borderId="42" xfId="0" applyFill="1" applyBorder="1" applyAlignment="1">
      <alignment/>
    </xf>
    <xf numFmtId="0" fontId="0" fillId="5" borderId="43" xfId="0" applyFill="1" applyBorder="1" applyAlignment="1">
      <alignment horizontal="center"/>
    </xf>
    <xf numFmtId="0" fontId="0" fillId="5" borderId="19" xfId="0" applyFill="1" applyBorder="1" applyAlignment="1">
      <alignment horizontal="center"/>
    </xf>
    <xf numFmtId="0" fontId="2"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vertical="center"/>
      <protection/>
    </xf>
    <xf numFmtId="0" fontId="0" fillId="2" borderId="0" xfId="0" applyNumberFormat="1" applyFill="1" applyAlignment="1" applyProtection="1">
      <alignment/>
      <protection/>
    </xf>
    <xf numFmtId="0" fontId="7" fillId="0" borderId="0" xfId="0" applyFont="1" applyAlignment="1" applyProtection="1">
      <alignment/>
      <protection/>
    </xf>
    <xf numFmtId="0" fontId="0" fillId="0" borderId="0" xfId="0" applyAlignment="1" applyProtection="1">
      <alignment/>
      <protection/>
    </xf>
    <xf numFmtId="0" fontId="6" fillId="2" borderId="0" xfId="0" applyFont="1" applyFill="1" applyAlignment="1" applyProtection="1">
      <alignment/>
      <protection/>
    </xf>
    <xf numFmtId="0" fontId="0" fillId="0" borderId="0" xfId="26" applyFont="1" applyAlignment="1">
      <alignment/>
    </xf>
    <xf numFmtId="0" fontId="33" fillId="0" borderId="0" xfId="0" applyFont="1" applyAlignment="1" applyProtection="1">
      <alignment/>
      <protection locked="0"/>
    </xf>
    <xf numFmtId="0" fontId="34" fillId="0" borderId="0" xfId="0" applyFont="1" applyAlignment="1" applyProtection="1">
      <alignment/>
      <protection locked="0"/>
    </xf>
    <xf numFmtId="0" fontId="34" fillId="0" borderId="0" xfId="0" applyFont="1" applyAlignment="1" applyProtection="1">
      <alignment/>
      <protection locked="0"/>
    </xf>
    <xf numFmtId="0" fontId="35" fillId="0" borderId="0" xfId="0" applyFont="1" applyAlignment="1" applyProtection="1">
      <alignment/>
      <protection locked="0"/>
    </xf>
    <xf numFmtId="0" fontId="36" fillId="0" borderId="0" xfId="0" applyFont="1" applyAlignment="1" applyProtection="1">
      <alignment/>
      <protection locked="0"/>
    </xf>
    <xf numFmtId="1" fontId="0" fillId="0" borderId="14" xfId="0" applyNumberFormat="1" applyBorder="1" applyAlignment="1">
      <alignment/>
    </xf>
    <xf numFmtId="1" fontId="0" fillId="0" borderId="0" xfId="0" applyNumberFormat="1" applyAlignment="1">
      <alignment/>
    </xf>
    <xf numFmtId="0" fontId="34" fillId="2" borderId="0" xfId="0" applyFont="1" applyFill="1" applyAlignment="1" applyProtection="1">
      <alignment/>
      <protection locked="0"/>
    </xf>
    <xf numFmtId="0" fontId="0" fillId="2" borderId="0" xfId="0" applyFont="1" applyFill="1" applyAlignment="1">
      <alignment/>
    </xf>
    <xf numFmtId="0" fontId="0" fillId="2" borderId="0" xfId="0" applyFont="1" applyFill="1" applyAlignment="1" applyProtection="1">
      <alignment/>
      <protection locked="0"/>
    </xf>
    <xf numFmtId="0" fontId="22" fillId="2" borderId="0" xfId="0" applyFont="1" applyFill="1" applyAlignment="1" applyProtection="1">
      <alignment/>
      <protection locked="0"/>
    </xf>
    <xf numFmtId="0" fontId="22" fillId="6" borderId="0" xfId="0" applyFont="1" applyFill="1" applyAlignment="1" applyProtection="1">
      <alignment/>
      <protection locked="0"/>
    </xf>
    <xf numFmtId="0" fontId="22" fillId="6" borderId="0" xfId="0" applyFont="1" applyFill="1" applyAlignment="1" applyProtection="1">
      <alignment horizontal="center"/>
      <protection locked="0"/>
    </xf>
    <xf numFmtId="0" fontId="22" fillId="6" borderId="0" xfId="0" applyFont="1" applyFill="1" applyBorder="1" applyAlignment="1" applyProtection="1">
      <alignment/>
      <protection locked="0"/>
    </xf>
    <xf numFmtId="0" fontId="22" fillId="6" borderId="0" xfId="0" applyFont="1" applyFill="1" applyBorder="1" applyAlignment="1" applyProtection="1">
      <alignment wrapText="1"/>
      <protection locked="0"/>
    </xf>
    <xf numFmtId="0" fontId="37" fillId="6" borderId="0" xfId="0" applyFont="1" applyFill="1" applyBorder="1" applyAlignment="1" applyProtection="1">
      <alignment wrapText="1"/>
      <protection locked="0"/>
    </xf>
    <xf numFmtId="0" fontId="37" fillId="6" borderId="0" xfId="0" applyFont="1" applyFill="1" applyBorder="1" applyAlignment="1" applyProtection="1">
      <alignment horizontal="center" wrapText="1"/>
      <protection locked="0"/>
    </xf>
    <xf numFmtId="2" fontId="22" fillId="6" borderId="0" xfId="0" applyNumberFormat="1" applyFont="1" applyFill="1" applyBorder="1" applyAlignment="1" applyProtection="1">
      <alignment/>
      <protection locked="0"/>
    </xf>
    <xf numFmtId="0" fontId="22" fillId="6" borderId="0" xfId="0" applyFont="1" applyFill="1" applyBorder="1" applyAlignment="1" applyProtection="1">
      <alignment horizontal="center"/>
      <protection locked="0"/>
    </xf>
    <xf numFmtId="2" fontId="37" fillId="6" borderId="0" xfId="0" applyNumberFormat="1" applyFont="1" applyFill="1" applyBorder="1" applyAlignment="1" applyProtection="1">
      <alignment horizontal="center"/>
      <protection locked="0"/>
    </xf>
    <xf numFmtId="2" fontId="37" fillId="6" borderId="0" xfId="0" applyNumberFormat="1" applyFont="1" applyFill="1" applyBorder="1" applyAlignment="1" applyProtection="1">
      <alignment/>
      <protection locked="0"/>
    </xf>
    <xf numFmtId="2" fontId="22" fillId="6" borderId="0" xfId="0" applyNumberFormat="1" applyFont="1" applyFill="1" applyBorder="1" applyAlignment="1" applyProtection="1">
      <alignment horizontal="center" wrapText="1"/>
      <protection locked="0"/>
    </xf>
    <xf numFmtId="2" fontId="22" fillId="6" borderId="0" xfId="0" applyNumberFormat="1" applyFont="1" applyFill="1" applyBorder="1" applyAlignment="1" applyProtection="1">
      <alignment horizontal="center"/>
      <protection locked="0"/>
    </xf>
    <xf numFmtId="0" fontId="22" fillId="0" borderId="0" xfId="0" applyFont="1" applyAlignment="1" applyProtection="1">
      <alignment/>
      <protection locked="0"/>
    </xf>
    <xf numFmtId="0" fontId="5" fillId="0" borderId="0" xfId="0" applyFont="1" applyBorder="1" applyAlignment="1" applyProtection="1">
      <alignment/>
      <protection/>
    </xf>
    <xf numFmtId="0" fontId="5" fillId="0" borderId="0" xfId="0" applyBorder="1" applyAlignment="1" applyProtection="1">
      <alignment/>
      <protection/>
    </xf>
    <xf numFmtId="0" fontId="6" fillId="0" borderId="0" xfId="0" applyBorder="1" applyAlignment="1" applyProtection="1">
      <alignment/>
      <protection/>
    </xf>
    <xf numFmtId="0" fontId="6" fillId="0" borderId="0" xfId="0" applyFont="1" applyBorder="1" applyAlignment="1" applyProtection="1">
      <alignment/>
      <protection/>
    </xf>
    <xf numFmtId="0" fontId="6" fillId="0" borderId="5" xfId="0" applyFont="1" applyFill="1" applyBorder="1" applyAlignment="1" applyProtection="1">
      <alignment horizontal="right"/>
      <protection/>
    </xf>
    <xf numFmtId="2" fontId="6" fillId="0" borderId="5" xfId="0" applyNumberFormat="1" applyFont="1" applyFill="1" applyBorder="1" applyAlignment="1" applyProtection="1">
      <alignment horizontal="right"/>
      <protection/>
    </xf>
    <xf numFmtId="0" fontId="6" fillId="0" borderId="5" xfId="0" applyFont="1" applyFill="1" applyBorder="1" applyAlignment="1" applyProtection="1">
      <alignment/>
      <protection/>
    </xf>
    <xf numFmtId="0" fontId="6" fillId="0" borderId="2" xfId="0" applyFont="1" applyFill="1" applyBorder="1" applyAlignment="1" applyProtection="1">
      <alignment horizontal="right"/>
      <protection/>
    </xf>
    <xf numFmtId="0" fontId="6" fillId="0" borderId="21" xfId="0" applyFont="1" applyFill="1" applyBorder="1" applyAlignment="1" applyProtection="1">
      <alignment horizontal="center"/>
      <protection/>
    </xf>
    <xf numFmtId="2" fontId="6" fillId="0" borderId="21" xfId="0" applyNumberFormat="1" applyFont="1" applyFill="1" applyBorder="1" applyAlignment="1" applyProtection="1">
      <alignment horizontal="center"/>
      <protection/>
    </xf>
    <xf numFmtId="0" fontId="6" fillId="0" borderId="0" xfId="0" applyFont="1" applyFill="1" applyBorder="1" applyAlignment="1" applyProtection="1">
      <alignment horizontal="center"/>
      <protection locked="0"/>
    </xf>
    <xf numFmtId="0" fontId="6" fillId="0" borderId="0" xfId="0"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justify"/>
      <protection/>
    </xf>
    <xf numFmtId="2" fontId="6" fillId="0" borderId="0" xfId="0" applyNumberFormat="1" applyFont="1" applyFill="1" applyBorder="1" applyAlignment="1" applyProtection="1">
      <alignment horizontal="center"/>
      <protection/>
    </xf>
    <xf numFmtId="0" fontId="6" fillId="0" borderId="2" xfId="0" applyFont="1" applyFill="1" applyBorder="1" applyAlignment="1" applyProtection="1">
      <alignment horizontal="right"/>
      <protection locked="0"/>
    </xf>
    <xf numFmtId="0" fontId="6" fillId="0" borderId="5" xfId="0" applyFont="1" applyFill="1" applyBorder="1" applyAlignment="1" applyProtection="1">
      <alignment horizontal="right"/>
      <protection locked="0"/>
    </xf>
    <xf numFmtId="0" fontId="0" fillId="0" borderId="5" xfId="0" applyBorder="1" applyAlignment="1" applyProtection="1">
      <alignment/>
      <protection locked="0"/>
    </xf>
    <xf numFmtId="0" fontId="0" fillId="0" borderId="5" xfId="0" applyFont="1" applyBorder="1" applyAlignment="1" applyProtection="1">
      <alignment horizontal="center"/>
      <protection locked="0"/>
    </xf>
    <xf numFmtId="0" fontId="0" fillId="2" borderId="4" xfId="0" applyFill="1" applyBorder="1" applyAlignment="1">
      <alignment/>
    </xf>
    <xf numFmtId="9" fontId="2" fillId="9" borderId="44" xfId="0" applyNumberFormat="1" applyFont="1" applyFill="1" applyBorder="1" applyAlignment="1" applyProtection="1">
      <alignment horizontal="center"/>
      <protection locked="0"/>
    </xf>
    <xf numFmtId="0" fontId="38" fillId="0" borderId="0" xfId="0" applyFont="1" applyAlignment="1" applyProtection="1">
      <alignment/>
      <protection/>
    </xf>
    <xf numFmtId="0" fontId="39" fillId="0" borderId="0" xfId="0" applyFont="1" applyAlignment="1" applyProtection="1">
      <alignment/>
      <protection/>
    </xf>
    <xf numFmtId="0" fontId="39" fillId="0" borderId="0" xfId="0" applyFont="1" applyAlignment="1" applyProtection="1">
      <alignment/>
      <protection locked="0"/>
    </xf>
    <xf numFmtId="0" fontId="22" fillId="6" borderId="0" xfId="0" applyFont="1" applyFill="1" applyBorder="1" applyAlignment="1">
      <alignment/>
    </xf>
    <xf numFmtId="0" fontId="39" fillId="2" borderId="0" xfId="0" applyFont="1" applyFill="1" applyAlignment="1" applyProtection="1">
      <alignment/>
      <protection locked="0"/>
    </xf>
    <xf numFmtId="0" fontId="41" fillId="0" borderId="0" xfId="0" applyFont="1" applyAlignment="1" applyProtection="1">
      <alignment/>
      <protection/>
    </xf>
    <xf numFmtId="0" fontId="41" fillId="0" borderId="0" xfId="0" applyFont="1" applyAlignment="1" applyProtection="1">
      <alignment/>
      <protection locked="0"/>
    </xf>
    <xf numFmtId="0" fontId="43" fillId="0" borderId="0" xfId="0" applyFont="1" applyAlignment="1">
      <alignment/>
    </xf>
    <xf numFmtId="0" fontId="44" fillId="0" borderId="0" xfId="0" applyFont="1" applyAlignment="1">
      <alignment/>
    </xf>
    <xf numFmtId="0" fontId="44" fillId="0" borderId="44" xfId="0" applyFont="1" applyBorder="1" applyAlignment="1">
      <alignment horizontal="center"/>
    </xf>
    <xf numFmtId="2" fontId="43" fillId="0" borderId="44" xfId="0" applyNumberFormat="1" applyFont="1" applyBorder="1" applyAlignment="1">
      <alignment horizontal="center"/>
    </xf>
    <xf numFmtId="0" fontId="43" fillId="0" borderId="0" xfId="0" applyFont="1" applyBorder="1" applyAlignment="1">
      <alignment/>
    </xf>
    <xf numFmtId="2" fontId="43" fillId="0" borderId="0" xfId="0" applyNumberFormat="1" applyFont="1" applyBorder="1" applyAlignment="1">
      <alignment/>
    </xf>
    <xf numFmtId="1" fontId="43" fillId="0" borderId="44" xfId="0" applyNumberFormat="1" applyFont="1" applyBorder="1" applyAlignment="1">
      <alignment horizontal="center"/>
    </xf>
    <xf numFmtId="0" fontId="43" fillId="0" borderId="0" xfId="0" applyFont="1" applyFill="1" applyAlignment="1">
      <alignment/>
    </xf>
    <xf numFmtId="0" fontId="44" fillId="0" borderId="44" xfId="0" applyFont="1" applyBorder="1" applyAlignment="1">
      <alignment vertical="center"/>
    </xf>
    <xf numFmtId="0" fontId="43" fillId="0" borderId="0" xfId="0" applyFont="1" applyAlignment="1">
      <alignment horizontal="center"/>
    </xf>
    <xf numFmtId="2" fontId="43" fillId="0" borderId="44" xfId="0" applyNumberFormat="1" applyFont="1" applyBorder="1" applyAlignment="1">
      <alignment/>
    </xf>
    <xf numFmtId="164" fontId="43" fillId="0" borderId="44" xfId="0" applyNumberFormat="1" applyFont="1" applyBorder="1" applyAlignment="1">
      <alignment horizontal="center"/>
    </xf>
    <xf numFmtId="0" fontId="6" fillId="0" borderId="26" xfId="0" applyFont="1" applyFill="1" applyBorder="1" applyAlignment="1">
      <alignment wrapText="1"/>
    </xf>
    <xf numFmtId="0" fontId="43" fillId="0" borderId="44" xfId="0" applyFont="1" applyBorder="1" applyAlignment="1">
      <alignment wrapText="1"/>
    </xf>
    <xf numFmtId="0" fontId="0" fillId="0" borderId="26" xfId="0" applyFont="1" applyFill="1" applyBorder="1" applyAlignment="1">
      <alignment wrapText="1"/>
    </xf>
    <xf numFmtId="0" fontId="44" fillId="0" borderId="44" xfId="0" applyFont="1" applyBorder="1" applyAlignment="1">
      <alignment horizontal="center" vertical="center"/>
    </xf>
    <xf numFmtId="1" fontId="43" fillId="0" borderId="0" xfId="0" applyNumberFormat="1" applyFont="1" applyBorder="1" applyAlignment="1">
      <alignment horizontal="center"/>
    </xf>
    <xf numFmtId="2" fontId="43" fillId="0" borderId="0" xfId="0" applyNumberFormat="1" applyFont="1" applyBorder="1" applyAlignment="1">
      <alignment horizontal="center"/>
    </xf>
    <xf numFmtId="164" fontId="43" fillId="0" borderId="0" xfId="0" applyNumberFormat="1" applyFont="1" applyBorder="1" applyAlignment="1">
      <alignment horizontal="center"/>
    </xf>
    <xf numFmtId="0" fontId="43" fillId="0" borderId="44" xfId="0" applyFont="1" applyFill="1" applyBorder="1" applyAlignment="1">
      <alignment wrapText="1"/>
    </xf>
    <xf numFmtId="2" fontId="0" fillId="0" borderId="44" xfId="0" applyNumberFormat="1" applyFont="1" applyFill="1" applyBorder="1" applyAlignment="1">
      <alignment horizontal="center" vertical="top" wrapText="1"/>
    </xf>
    <xf numFmtId="0" fontId="0" fillId="0" borderId="26" xfId="0" applyFont="1" applyFill="1" applyBorder="1" applyAlignment="1">
      <alignment vertical="top" wrapText="1"/>
    </xf>
    <xf numFmtId="0" fontId="0" fillId="0" borderId="0" xfId="0" applyFont="1" applyFill="1" applyAlignment="1">
      <alignment/>
    </xf>
    <xf numFmtId="2" fontId="0" fillId="0" borderId="44" xfId="0" applyNumberFormat="1" applyFont="1" applyBorder="1" applyAlignment="1">
      <alignment horizontal="center" wrapText="1"/>
    </xf>
    <xf numFmtId="0" fontId="0" fillId="0" borderId="0" xfId="0" applyFont="1" applyFill="1" applyBorder="1" applyAlignment="1">
      <alignment wrapText="1"/>
    </xf>
    <xf numFmtId="2" fontId="0" fillId="0" borderId="0" xfId="0" applyNumberFormat="1" applyFont="1" applyFill="1" applyBorder="1" applyAlignment="1">
      <alignment horizontal="center" vertical="top" wrapText="1"/>
    </xf>
    <xf numFmtId="0" fontId="0" fillId="0" borderId="0" xfId="0" applyFont="1" applyFill="1" applyBorder="1" applyAlignment="1">
      <alignment vertical="top" wrapText="1"/>
    </xf>
    <xf numFmtId="0" fontId="0" fillId="0" borderId="45" xfId="0" applyFont="1" applyFill="1" applyBorder="1" applyAlignment="1">
      <alignment wrapText="1"/>
    </xf>
    <xf numFmtId="0" fontId="6" fillId="0" borderId="46" xfId="0" applyFont="1" applyFill="1" applyBorder="1" applyAlignment="1">
      <alignment vertical="top" wrapText="1"/>
    </xf>
    <xf numFmtId="0" fontId="0" fillId="0" borderId="46" xfId="0" applyFont="1" applyFill="1" applyBorder="1" applyAlignment="1">
      <alignment vertical="top" wrapText="1"/>
    </xf>
    <xf numFmtId="0" fontId="0" fillId="0" borderId="45" xfId="0" applyFont="1" applyBorder="1" applyAlignment="1">
      <alignment wrapText="1"/>
    </xf>
    <xf numFmtId="0" fontId="0" fillId="0" borderId="46" xfId="0" applyFont="1" applyBorder="1" applyAlignment="1">
      <alignment wrapText="1"/>
    </xf>
    <xf numFmtId="0" fontId="0" fillId="0" borderId="47" xfId="0" applyFont="1" applyFill="1" applyBorder="1" applyAlignment="1">
      <alignment wrapText="1"/>
    </xf>
    <xf numFmtId="0" fontId="0" fillId="0" borderId="48" xfId="0" applyFont="1" applyFill="1" applyBorder="1" applyAlignment="1">
      <alignment vertical="top" wrapText="1"/>
    </xf>
    <xf numFmtId="0" fontId="0" fillId="0" borderId="47" xfId="0" applyFont="1" applyBorder="1" applyAlignment="1">
      <alignment wrapText="1"/>
    </xf>
    <xf numFmtId="2" fontId="0" fillId="0" borderId="49" xfId="0" applyNumberFormat="1" applyFont="1" applyBorder="1" applyAlignment="1">
      <alignment horizontal="center" wrapText="1"/>
    </xf>
    <xf numFmtId="0" fontId="46" fillId="0" borderId="0" xfId="0" applyFont="1" applyAlignment="1" applyProtection="1">
      <alignment/>
      <protection/>
    </xf>
    <xf numFmtId="0" fontId="47" fillId="0" borderId="0" xfId="0" applyFont="1" applyAlignment="1">
      <alignment/>
    </xf>
    <xf numFmtId="2" fontId="43" fillId="0" borderId="44" xfId="0" applyNumberFormat="1" applyFont="1" applyFill="1" applyBorder="1" applyAlignment="1">
      <alignment horizontal="center" vertical="top" wrapText="1"/>
    </xf>
    <xf numFmtId="0" fontId="45" fillId="13" borderId="0" xfId="0" applyFont="1" applyFill="1" applyAlignment="1">
      <alignment/>
    </xf>
    <xf numFmtId="0" fontId="43" fillId="14" borderId="0" xfId="0" applyFont="1" applyFill="1" applyAlignment="1">
      <alignment/>
    </xf>
    <xf numFmtId="0" fontId="43" fillId="0" borderId="0" xfId="0" applyFont="1" applyAlignment="1">
      <alignment vertical="center"/>
    </xf>
    <xf numFmtId="0" fontId="0" fillId="0" borderId="0" xfId="0" applyBorder="1" applyAlignment="1">
      <alignment vertical="center"/>
    </xf>
    <xf numFmtId="2" fontId="0" fillId="0" borderId="44" xfId="0" applyNumberFormat="1" applyFont="1" applyFill="1" applyBorder="1" applyAlignment="1" applyProtection="1">
      <alignment horizontal="center" vertical="center" wrapText="1"/>
      <protection/>
    </xf>
    <xf numFmtId="2" fontId="0" fillId="0" borderId="49" xfId="0" applyNumberFormat="1" applyFont="1" applyFill="1" applyBorder="1" applyAlignment="1">
      <alignment horizontal="center" vertical="top" wrapText="1"/>
    </xf>
    <xf numFmtId="2" fontId="0" fillId="0" borderId="44" xfId="0" applyNumberFormat="1" applyFont="1" applyFill="1" applyBorder="1" applyAlignment="1" applyProtection="1">
      <alignment horizontal="center" vertical="top" wrapText="1"/>
      <protection/>
    </xf>
    <xf numFmtId="2" fontId="0" fillId="7" borderId="44" xfId="0" applyNumberFormat="1" applyFont="1" applyFill="1" applyBorder="1" applyAlignment="1" applyProtection="1">
      <alignment horizontal="center" vertical="top" wrapText="1"/>
      <protection locked="0"/>
    </xf>
    <xf numFmtId="14" fontId="6" fillId="0" borderId="0" xfId="0" applyNumberFormat="1" applyFont="1" applyFill="1" applyAlignment="1">
      <alignment wrapText="1"/>
    </xf>
    <xf numFmtId="14" fontId="6" fillId="0" borderId="0" xfId="0" applyNumberFormat="1" applyFont="1" applyAlignment="1">
      <alignment wrapText="1"/>
    </xf>
    <xf numFmtId="0" fontId="0" fillId="0" borderId="0" xfId="0" applyFill="1" applyAlignment="1">
      <alignment wrapText="1"/>
    </xf>
    <xf numFmtId="165" fontId="0" fillId="0" borderId="44" xfId="0" applyNumberFormat="1" applyFont="1" applyBorder="1" applyAlignment="1">
      <alignment horizontal="center" wrapText="1"/>
    </xf>
    <xf numFmtId="10" fontId="6" fillId="0" borderId="46" xfId="0" applyNumberFormat="1" applyFont="1" applyFill="1" applyBorder="1" applyAlignment="1">
      <alignment vertical="top" wrapText="1"/>
    </xf>
    <xf numFmtId="10" fontId="0" fillId="7" borderId="44" xfId="0" applyNumberFormat="1" applyFont="1" applyFill="1" applyBorder="1" applyAlignment="1" applyProtection="1">
      <alignment horizontal="center" vertical="top" wrapText="1"/>
      <protection locked="0"/>
    </xf>
    <xf numFmtId="14" fontId="6" fillId="0" borderId="0" xfId="0" applyNumberFormat="1" applyFont="1" applyFill="1" applyAlignment="1">
      <alignment/>
    </xf>
    <xf numFmtId="0" fontId="13" fillId="2" borderId="50" xfId="0" applyFont="1" applyFill="1" applyBorder="1" applyAlignment="1">
      <alignment/>
    </xf>
    <xf numFmtId="0" fontId="0" fillId="2" borderId="51" xfId="0" applyFill="1" applyBorder="1" applyAlignment="1">
      <alignment/>
    </xf>
    <xf numFmtId="0" fontId="0" fillId="6" borderId="51" xfId="0" applyFill="1" applyBorder="1" applyAlignment="1">
      <alignment/>
    </xf>
    <xf numFmtId="0" fontId="6" fillId="2" borderId="21" xfId="0" applyFont="1" applyFill="1" applyBorder="1" applyAlignment="1">
      <alignment/>
    </xf>
    <xf numFmtId="0" fontId="0" fillId="6" borderId="2" xfId="0" applyFill="1" applyBorder="1" applyAlignment="1">
      <alignment/>
    </xf>
    <xf numFmtId="0" fontId="6" fillId="2" borderId="52" xfId="0" applyFill="1" applyBorder="1" applyAlignment="1" applyProtection="1">
      <alignment horizontal="right"/>
      <protection/>
    </xf>
    <xf numFmtId="0" fontId="0" fillId="2" borderId="4" xfId="0" applyFont="1" applyFill="1" applyBorder="1" applyAlignment="1" applyProtection="1">
      <alignment horizontal="center"/>
      <protection locked="0"/>
    </xf>
    <xf numFmtId="0" fontId="6" fillId="2" borderId="52" xfId="0" applyFont="1" applyFill="1" applyBorder="1" applyAlignment="1" applyProtection="1">
      <alignment horizontal="right"/>
      <protection/>
    </xf>
    <xf numFmtId="0" fontId="0" fillId="2" borderId="21" xfId="0" applyFont="1" applyFill="1" applyBorder="1" applyAlignment="1" applyProtection="1">
      <alignment horizontal="center"/>
      <protection locked="0"/>
    </xf>
    <xf numFmtId="0" fontId="6" fillId="2" borderId="52" xfId="0" applyFont="1" applyFill="1" applyBorder="1" applyAlignment="1" applyProtection="1">
      <alignment horizontal="right"/>
      <protection/>
    </xf>
    <xf numFmtId="0" fontId="6" fillId="2" borderId="52" xfId="0" applyFont="1" applyFill="1" applyBorder="1" applyAlignment="1" applyProtection="1">
      <alignment horizontal="right" wrapText="1"/>
      <protection/>
    </xf>
    <xf numFmtId="0" fontId="0" fillId="2" borderId="4" xfId="0" applyFill="1" applyBorder="1" applyAlignment="1" applyProtection="1">
      <alignment/>
      <protection locked="0"/>
    </xf>
    <xf numFmtId="0" fontId="17" fillId="2" borderId="0" xfId="0" applyFont="1" applyFill="1" applyBorder="1" applyAlignment="1" applyProtection="1">
      <alignment horizontal="center"/>
      <protection hidden="1"/>
    </xf>
    <xf numFmtId="0" fontId="0" fillId="2" borderId="21" xfId="0" applyFill="1" applyBorder="1" applyAlignment="1" applyProtection="1">
      <alignment/>
      <protection locked="0"/>
    </xf>
    <xf numFmtId="0" fontId="0" fillId="2" borderId="0" xfId="0" applyFont="1" applyFill="1" applyBorder="1" applyAlignment="1" applyProtection="1">
      <alignment horizontal="center"/>
      <protection locked="0"/>
    </xf>
    <xf numFmtId="0" fontId="0" fillId="2" borderId="0" xfId="0" applyFill="1" applyBorder="1" applyAlignment="1" applyProtection="1">
      <alignment/>
      <protection/>
    </xf>
    <xf numFmtId="0" fontId="6" fillId="2" borderId="21" xfId="0" applyFont="1" applyFill="1" applyBorder="1" applyAlignment="1" applyProtection="1">
      <alignment horizontal="left" vertical="center"/>
      <protection/>
    </xf>
    <xf numFmtId="0" fontId="11" fillId="2" borderId="4" xfId="0" applyFont="1" applyFill="1" applyBorder="1" applyAlignment="1" applyProtection="1">
      <alignment horizontal="center" vertical="center"/>
      <protection/>
    </xf>
    <xf numFmtId="0" fontId="0" fillId="2" borderId="5" xfId="0" applyFill="1" applyBorder="1" applyAlignment="1" applyProtection="1">
      <alignment/>
      <protection/>
    </xf>
    <xf numFmtId="0" fontId="0" fillId="2" borderId="21" xfId="0" applyFill="1" applyBorder="1" applyAlignment="1" applyProtection="1">
      <alignment horizontal="left" vertical="center"/>
      <protection/>
    </xf>
    <xf numFmtId="0" fontId="0" fillId="2" borderId="21" xfId="0" applyFill="1" applyBorder="1" applyAlignment="1" applyProtection="1">
      <alignment/>
      <protection/>
    </xf>
    <xf numFmtId="0" fontId="23" fillId="2" borderId="5" xfId="0" applyFont="1" applyFill="1" applyBorder="1" applyAlignment="1">
      <alignment/>
    </xf>
    <xf numFmtId="0" fontId="6" fillId="2" borderId="21" xfId="0" applyFont="1" applyFill="1" applyBorder="1" applyAlignment="1" applyProtection="1">
      <alignment horizontal="right" vertical="center"/>
      <protection/>
    </xf>
    <xf numFmtId="0" fontId="6" fillId="2" borderId="53" xfId="0" applyFont="1" applyFill="1" applyBorder="1" applyAlignment="1" applyProtection="1">
      <alignment horizontal="right" vertical="center"/>
      <protection/>
    </xf>
    <xf numFmtId="0" fontId="2" fillId="6" borderId="0" xfId="0" applyFont="1" applyFill="1" applyBorder="1" applyAlignment="1" applyProtection="1">
      <alignment horizontal="center"/>
      <protection locked="0"/>
    </xf>
    <xf numFmtId="0" fontId="40" fillId="2" borderId="2" xfId="0" applyFont="1" applyFill="1" applyBorder="1" applyAlignment="1">
      <alignment/>
    </xf>
    <xf numFmtId="0" fontId="26" fillId="6" borderId="2" xfId="0" applyFont="1" applyFill="1" applyBorder="1" applyAlignment="1">
      <alignment vertical="top"/>
    </xf>
    <xf numFmtId="0" fontId="6" fillId="2" borderId="21" xfId="0" applyFont="1" applyFill="1" applyBorder="1" applyAlignment="1" applyProtection="1">
      <alignment horizontal="right"/>
      <protection/>
    </xf>
    <xf numFmtId="0" fontId="6" fillId="2" borderId="21" xfId="0" applyFont="1" applyFill="1" applyBorder="1" applyAlignment="1" applyProtection="1">
      <alignment horizontal="right" vertical="center" wrapText="1"/>
      <protection/>
    </xf>
    <xf numFmtId="2" fontId="2" fillId="2" borderId="44" xfId="0" applyNumberFormat="1" applyFont="1" applyFill="1" applyBorder="1" applyAlignment="1" applyProtection="1">
      <alignment horizontal="center" vertical="center"/>
      <protection locked="0"/>
    </xf>
    <xf numFmtId="0" fontId="31" fillId="2" borderId="7" xfId="0" applyFont="1" applyFill="1" applyBorder="1" applyAlignment="1" applyProtection="1">
      <alignment horizontal="center" vertical="center" wrapText="1"/>
      <protection/>
    </xf>
    <xf numFmtId="0" fontId="31" fillId="2" borderId="54"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protection/>
    </xf>
    <xf numFmtId="0" fontId="6" fillId="2" borderId="2" xfId="0" applyFont="1" applyFill="1" applyBorder="1" applyAlignment="1" applyProtection="1">
      <alignment wrapText="1"/>
      <protection/>
    </xf>
    <xf numFmtId="0" fontId="0" fillId="6" borderId="4" xfId="0" applyFill="1" applyBorder="1" applyAlignment="1">
      <alignment/>
    </xf>
    <xf numFmtId="0" fontId="0" fillId="6" borderId="5" xfId="0" applyFill="1" applyBorder="1" applyAlignment="1">
      <alignment/>
    </xf>
    <xf numFmtId="0" fontId="11" fillId="6" borderId="21" xfId="0" applyFont="1" applyFill="1" applyBorder="1" applyAlignment="1" applyProtection="1">
      <alignment horizontal="center" wrapText="1"/>
      <protection/>
    </xf>
    <xf numFmtId="0" fontId="6" fillId="6" borderId="0" xfId="0" applyFont="1" applyFill="1" applyBorder="1" applyAlignment="1">
      <alignment horizontal="center" vertical="center"/>
    </xf>
    <xf numFmtId="0" fontId="6" fillId="6" borderId="21" xfId="0" applyFont="1" applyFill="1" applyBorder="1" applyAlignment="1" applyProtection="1">
      <alignment horizontal="center" wrapText="1"/>
      <protection/>
    </xf>
    <xf numFmtId="0" fontId="6" fillId="6" borderId="21" xfId="0" applyFont="1" applyFill="1" applyBorder="1" applyAlignment="1" applyProtection="1">
      <alignment horizontal="right" wrapText="1"/>
      <protection/>
    </xf>
    <xf numFmtId="0" fontId="6" fillId="6" borderId="0" xfId="0" applyFont="1" applyFill="1" applyAlignment="1" applyProtection="1">
      <alignment horizontal="center"/>
      <protection/>
    </xf>
    <xf numFmtId="0" fontId="6" fillId="6" borderId="0" xfId="0" applyFont="1" applyFill="1" applyAlignment="1">
      <alignment horizontal="right"/>
    </xf>
    <xf numFmtId="0" fontId="6" fillId="6" borderId="21" xfId="0" applyFont="1" applyFill="1" applyBorder="1" applyAlignment="1" applyProtection="1">
      <alignment horizontal="right"/>
      <protection/>
    </xf>
    <xf numFmtId="0" fontId="0" fillId="2" borderId="0" xfId="0" applyFill="1" applyAlignment="1" applyProtection="1">
      <alignment wrapText="1"/>
      <protection locked="0"/>
    </xf>
    <xf numFmtId="0" fontId="0" fillId="6" borderId="0" xfId="0" applyFill="1" applyBorder="1" applyAlignment="1" applyProtection="1">
      <alignment horizontal="center"/>
      <protection locked="0"/>
    </xf>
    <xf numFmtId="0" fontId="0" fillId="6" borderId="21" xfId="0" applyFill="1" applyBorder="1" applyAlignment="1" applyProtection="1">
      <alignment vertical="center"/>
      <protection/>
    </xf>
    <xf numFmtId="0" fontId="0" fillId="6" borderId="0" xfId="0" applyFill="1" applyAlignment="1" applyProtection="1">
      <alignment/>
      <protection/>
    </xf>
    <xf numFmtId="0" fontId="0" fillId="6" borderId="7" xfId="0" applyFill="1" applyBorder="1" applyAlignment="1" applyProtection="1">
      <alignment vertical="center"/>
      <protection/>
    </xf>
    <xf numFmtId="0" fontId="6" fillId="6" borderId="2" xfId="0" applyFont="1" applyFill="1" applyBorder="1" applyAlignment="1" applyProtection="1">
      <alignment horizontal="right"/>
      <protection/>
    </xf>
    <xf numFmtId="0" fontId="6" fillId="6" borderId="2" xfId="0" applyFont="1" applyFill="1" applyBorder="1" applyAlignment="1" applyProtection="1">
      <alignment horizontal="center"/>
      <protection locked="0"/>
    </xf>
    <xf numFmtId="0" fontId="0" fillId="6" borderId="4" xfId="0" applyFill="1" applyBorder="1" applyAlignment="1">
      <alignment vertical="center"/>
    </xf>
    <xf numFmtId="0" fontId="6" fillId="6" borderId="5" xfId="0" applyFont="1" applyFill="1" applyBorder="1" applyAlignment="1" applyProtection="1">
      <alignment horizontal="right"/>
      <protection locked="0"/>
    </xf>
    <xf numFmtId="0" fontId="6" fillId="6" borderId="5" xfId="0" applyFont="1" applyFill="1" applyBorder="1" applyAlignment="1" applyProtection="1">
      <alignment horizontal="center"/>
      <protection locked="0"/>
    </xf>
    <xf numFmtId="0" fontId="13" fillId="2" borderId="7" xfId="0" applyFont="1" applyFill="1" applyBorder="1" applyAlignment="1">
      <alignment/>
    </xf>
    <xf numFmtId="0" fontId="6" fillId="6" borderId="2" xfId="0" applyFont="1" applyFill="1" applyBorder="1" applyAlignment="1">
      <alignment horizontal="center"/>
    </xf>
    <xf numFmtId="0" fontId="2" fillId="6" borderId="2" xfId="0" applyFont="1" applyFill="1" applyBorder="1" applyAlignment="1">
      <alignment horizontal="center"/>
    </xf>
    <xf numFmtId="0" fontId="6" fillId="2" borderId="2" xfId="0" applyFont="1" applyFill="1" applyBorder="1" applyAlignment="1">
      <alignment horizontal="center"/>
    </xf>
    <xf numFmtId="0" fontId="6" fillId="2" borderId="2" xfId="0" applyFont="1" applyFill="1" applyBorder="1" applyAlignment="1">
      <alignment/>
    </xf>
    <xf numFmtId="0" fontId="6" fillId="2" borderId="55" xfId="0" applyFill="1" applyBorder="1" applyAlignment="1" applyProtection="1">
      <alignment horizontal="right"/>
      <protection/>
    </xf>
    <xf numFmtId="0" fontId="6" fillId="6" borderId="9" xfId="0" applyFont="1" applyFill="1" applyBorder="1" applyAlignment="1" applyProtection="1">
      <alignment horizontal="right"/>
      <protection/>
    </xf>
    <xf numFmtId="0" fontId="6" fillId="2" borderId="18" xfId="0" applyFont="1" applyFill="1" applyBorder="1" applyAlignment="1" applyProtection="1">
      <alignment/>
      <protection/>
    </xf>
    <xf numFmtId="0" fontId="6" fillId="6" borderId="11" xfId="0" applyFont="1" applyFill="1" applyBorder="1" applyAlignment="1" applyProtection="1">
      <alignment horizontal="right"/>
      <protection/>
    </xf>
    <xf numFmtId="0" fontId="0" fillId="2" borderId="56" xfId="0" applyFill="1" applyBorder="1" applyAlignment="1" applyProtection="1">
      <alignment/>
      <protection/>
    </xf>
    <xf numFmtId="0" fontId="6" fillId="2" borderId="25" xfId="0" applyFont="1" applyFill="1" applyBorder="1" applyAlignment="1" applyProtection="1">
      <alignment horizontal="right"/>
      <protection/>
    </xf>
    <xf numFmtId="0" fontId="6" fillId="2" borderId="57" xfId="0" applyFont="1" applyFill="1" applyBorder="1" applyAlignment="1" applyProtection="1">
      <alignment/>
      <protection/>
    </xf>
    <xf numFmtId="0" fontId="6" fillId="2" borderId="5" xfId="0" applyFont="1" applyFill="1" applyBorder="1" applyAlignment="1" applyProtection="1">
      <alignment horizontal="right"/>
      <protection/>
    </xf>
    <xf numFmtId="0" fontId="6" fillId="2" borderId="58" xfId="0" applyFont="1" applyFill="1" applyBorder="1" applyAlignment="1" applyProtection="1">
      <alignment horizontal="right"/>
      <protection/>
    </xf>
    <xf numFmtId="2" fontId="6" fillId="2" borderId="6" xfId="0" applyNumberFormat="1" applyFont="1" applyFill="1" applyBorder="1" applyAlignment="1" applyProtection="1">
      <alignment horizontal="center"/>
      <protection/>
    </xf>
    <xf numFmtId="0" fontId="6" fillId="2" borderId="0" xfId="0" applyFont="1" applyFill="1" applyBorder="1" applyAlignment="1" applyProtection="1">
      <alignment horizontal="right"/>
      <protection/>
    </xf>
    <xf numFmtId="0" fontId="6" fillId="2" borderId="10" xfId="0" applyFont="1" applyFill="1" applyBorder="1" applyAlignment="1" applyProtection="1">
      <alignment horizontal="right"/>
      <protection/>
    </xf>
    <xf numFmtId="2" fontId="6" fillId="6" borderId="18" xfId="0" applyNumberFormat="1" applyFont="1" applyFill="1" applyBorder="1" applyAlignment="1" applyProtection="1">
      <alignment horizontal="center"/>
      <protection/>
    </xf>
    <xf numFmtId="2" fontId="6" fillId="2" borderId="18" xfId="0" applyNumberFormat="1" applyFont="1" applyFill="1" applyBorder="1" applyAlignment="1" applyProtection="1">
      <alignment horizontal="center"/>
      <protection/>
    </xf>
    <xf numFmtId="0" fontId="6" fillId="2" borderId="2" xfId="0" applyFont="1" applyFill="1" applyBorder="1" applyAlignment="1" applyProtection="1">
      <alignment horizontal="right"/>
      <protection/>
    </xf>
    <xf numFmtId="0" fontId="6" fillId="2" borderId="19" xfId="0" applyFont="1" applyFill="1" applyBorder="1" applyAlignment="1" applyProtection="1">
      <alignment horizontal="right"/>
      <protection/>
    </xf>
    <xf numFmtId="2" fontId="6" fillId="6" borderId="8" xfId="0" applyNumberFormat="1" applyFont="1" applyFill="1" applyBorder="1" applyAlignment="1" applyProtection="1">
      <alignment horizontal="center"/>
      <protection/>
    </xf>
    <xf numFmtId="2" fontId="6" fillId="6" borderId="6" xfId="0" applyNumberFormat="1" applyFont="1" applyFill="1" applyBorder="1" applyAlignment="1" applyProtection="1">
      <alignment horizontal="center"/>
      <protection/>
    </xf>
    <xf numFmtId="2" fontId="6" fillId="2" borderId="59" xfId="0" applyNumberFormat="1" applyFont="1" applyFill="1" applyBorder="1" applyAlignment="1" applyProtection="1">
      <alignment horizontal="center"/>
      <protection/>
    </xf>
    <xf numFmtId="2" fontId="6" fillId="2" borderId="8" xfId="0" applyNumberFormat="1" applyFont="1" applyFill="1" applyBorder="1" applyAlignment="1" applyProtection="1">
      <alignment horizontal="center"/>
      <protection/>
    </xf>
    <xf numFmtId="0" fontId="6" fillId="2" borderId="52" xfId="0" applyFont="1" applyFill="1" applyBorder="1" applyAlignment="1" applyProtection="1">
      <alignment horizontal="justify"/>
      <protection/>
    </xf>
    <xf numFmtId="2" fontId="6" fillId="3" borderId="18" xfId="0" applyNumberFormat="1" applyFont="1" applyFill="1" applyBorder="1" applyAlignment="1" applyProtection="1">
      <alignment horizontal="center"/>
      <protection/>
    </xf>
    <xf numFmtId="0" fontId="6" fillId="2" borderId="60" xfId="0" applyFont="1" applyFill="1" applyBorder="1" applyAlignment="1" applyProtection="1">
      <alignment horizontal="justify"/>
      <protection/>
    </xf>
    <xf numFmtId="2" fontId="6" fillId="3" borderId="8" xfId="0" applyNumberFormat="1" applyFont="1" applyFill="1" applyBorder="1" applyAlignment="1" applyProtection="1">
      <alignment horizontal="center"/>
      <protection/>
    </xf>
    <xf numFmtId="0" fontId="6" fillId="6" borderId="21" xfId="0" applyFont="1" applyFill="1" applyBorder="1" applyAlignment="1" applyProtection="1">
      <alignment horizontal="center" vertical="center" wrapText="1"/>
      <protection/>
    </xf>
    <xf numFmtId="1" fontId="6" fillId="6" borderId="14" xfId="0" applyNumberFormat="1" applyFont="1" applyFill="1" applyBorder="1" applyAlignment="1" applyProtection="1">
      <alignment horizontal="center"/>
      <protection/>
    </xf>
    <xf numFmtId="1" fontId="6" fillId="6" borderId="14" xfId="0" applyNumberFormat="1" applyFont="1" applyFill="1" applyBorder="1" applyAlignment="1" applyProtection="1">
      <alignment horizontal="center" vertical="center"/>
      <protection/>
    </xf>
    <xf numFmtId="11" fontId="6" fillId="6" borderId="18" xfId="0" applyNumberFormat="1" applyFont="1" applyFill="1" applyBorder="1" applyAlignment="1" applyProtection="1">
      <alignment horizontal="center"/>
      <protection/>
    </xf>
    <xf numFmtId="0" fontId="6" fillId="6" borderId="21" xfId="0" applyFont="1" applyFill="1" applyBorder="1" applyAlignment="1" applyProtection="1">
      <alignment horizontal="center" vertical="center"/>
      <protection/>
    </xf>
    <xf numFmtId="0" fontId="6" fillId="6" borderId="7" xfId="0" applyFont="1" applyFill="1" applyBorder="1" applyAlignment="1" applyProtection="1">
      <alignment horizontal="center" vertical="center"/>
      <protection/>
    </xf>
    <xf numFmtId="0" fontId="6" fillId="6" borderId="30" xfId="0" applyFont="1" applyFill="1" applyBorder="1" applyAlignment="1" applyProtection="1">
      <alignment horizontal="center" vertical="center"/>
      <protection/>
    </xf>
    <xf numFmtId="1" fontId="6" fillId="6" borderId="30" xfId="0" applyNumberFormat="1" applyFont="1" applyFill="1" applyBorder="1" applyAlignment="1" applyProtection="1">
      <alignment horizontal="center"/>
      <protection/>
    </xf>
    <xf numFmtId="1" fontId="6" fillId="6" borderId="30" xfId="0" applyNumberFormat="1" applyFont="1" applyFill="1" applyBorder="1" applyAlignment="1" applyProtection="1">
      <alignment horizontal="center" vertical="center"/>
      <protection/>
    </xf>
    <xf numFmtId="11" fontId="6" fillId="6" borderId="8" xfId="0" applyNumberFormat="1" applyFont="1" applyFill="1" applyBorder="1" applyAlignment="1" applyProtection="1">
      <alignment horizontal="center"/>
      <protection/>
    </xf>
    <xf numFmtId="2" fontId="6" fillId="6" borderId="9" xfId="0" applyNumberFormat="1" applyFont="1" applyFill="1" applyBorder="1" applyAlignment="1" applyProtection="1">
      <alignment horizontal="center" vertical="center"/>
      <protection/>
    </xf>
    <xf numFmtId="2" fontId="6" fillId="6" borderId="61" xfId="0" applyNumberFormat="1" applyFont="1" applyFill="1" applyBorder="1" applyAlignment="1" applyProtection="1">
      <alignment horizontal="center" vertical="center"/>
      <protection/>
    </xf>
    <xf numFmtId="0" fontId="6" fillId="2" borderId="52" xfId="0" applyFont="1" applyFill="1" applyBorder="1" applyAlignment="1" applyProtection="1">
      <alignment horizontal="left" vertical="center"/>
      <protection/>
    </xf>
    <xf numFmtId="0" fontId="6" fillId="2" borderId="52" xfId="0" applyFont="1" applyFill="1" applyBorder="1" applyAlignment="1" applyProtection="1">
      <alignment horizontal="left"/>
      <protection/>
    </xf>
    <xf numFmtId="0" fontId="6" fillId="2" borderId="7" xfId="0" applyFont="1" applyFill="1" applyBorder="1" applyAlignment="1" applyProtection="1">
      <alignment horizontal="left"/>
      <protection/>
    </xf>
    <xf numFmtId="0" fontId="6" fillId="2" borderId="52" xfId="0" applyFont="1" applyFill="1" applyBorder="1" applyAlignment="1" applyProtection="1">
      <alignment horizontal="justify"/>
      <protection/>
    </xf>
    <xf numFmtId="0" fontId="6" fillId="2" borderId="60" xfId="0" applyFont="1" applyFill="1" applyBorder="1" applyAlignment="1" applyProtection="1">
      <alignment horizontal="justify"/>
      <protection/>
    </xf>
    <xf numFmtId="0" fontId="6" fillId="15" borderId="6" xfId="0" applyFont="1" applyFill="1" applyBorder="1" applyAlignment="1" applyProtection="1">
      <alignment horizontal="center"/>
      <protection locked="0"/>
    </xf>
    <xf numFmtId="0" fontId="6" fillId="15" borderId="56" xfId="0" applyFont="1" applyFill="1" applyBorder="1" applyAlignment="1" applyProtection="1">
      <alignment horizontal="center"/>
      <protection locked="0"/>
    </xf>
    <xf numFmtId="0" fontId="6" fillId="16" borderId="4" xfId="0" applyFont="1" applyFill="1" applyBorder="1" applyAlignment="1" applyProtection="1">
      <alignment horizontal="center"/>
      <protection/>
    </xf>
    <xf numFmtId="0" fontId="6" fillId="16" borderId="62" xfId="0" applyFont="1" applyFill="1" applyBorder="1" applyAlignment="1" applyProtection="1">
      <alignment horizontal="center"/>
      <protection/>
    </xf>
    <xf numFmtId="0" fontId="6" fillId="16" borderId="62" xfId="0" applyFont="1" applyFill="1" applyBorder="1" applyAlignment="1" applyProtection="1">
      <alignment horizontal="center"/>
      <protection/>
    </xf>
    <xf numFmtId="0" fontId="6" fillId="16" borderId="6" xfId="0" applyFont="1" applyFill="1" applyBorder="1" applyAlignment="1" applyProtection="1">
      <alignment horizontal="center"/>
      <protection/>
    </xf>
    <xf numFmtId="0" fontId="6" fillId="16" borderId="63" xfId="0" applyFont="1" applyFill="1" applyBorder="1" applyAlignment="1" applyProtection="1">
      <alignment horizontal="center"/>
      <protection/>
    </xf>
    <xf numFmtId="0" fontId="6" fillId="16" borderId="15" xfId="0" applyFont="1" applyFill="1" applyBorder="1" applyAlignment="1" applyProtection="1">
      <alignment horizontal="center"/>
      <protection/>
    </xf>
    <xf numFmtId="0" fontId="6" fillId="16" borderId="15" xfId="0" applyFont="1" applyFill="1" applyBorder="1" applyAlignment="1" applyProtection="1">
      <alignment horizontal="center"/>
      <protection/>
    </xf>
    <xf numFmtId="0" fontId="6" fillId="16" borderId="56" xfId="0" applyFont="1" applyFill="1" applyBorder="1" applyAlignment="1" applyProtection="1">
      <alignment horizontal="center"/>
      <protection/>
    </xf>
    <xf numFmtId="0" fontId="6" fillId="15" borderId="64" xfId="0" applyFont="1" applyFill="1" applyBorder="1" applyAlignment="1" applyProtection="1">
      <alignment horizontal="center"/>
      <protection/>
    </xf>
    <xf numFmtId="0" fontId="6" fillId="15" borderId="15" xfId="0" applyFont="1" applyFill="1" applyBorder="1" applyAlignment="1" applyProtection="1">
      <alignment horizontal="center"/>
      <protection/>
    </xf>
    <xf numFmtId="0" fontId="6" fillId="16" borderId="16" xfId="0" applyFont="1" applyFill="1" applyBorder="1" applyAlignment="1" applyProtection="1">
      <alignment horizontal="center"/>
      <protection locked="0"/>
    </xf>
    <xf numFmtId="0" fontId="6" fillId="15" borderId="16" xfId="0" applyFont="1" applyFill="1" applyBorder="1" applyAlignment="1">
      <alignment horizontal="center"/>
    </xf>
    <xf numFmtId="0" fontId="6" fillId="15" borderId="57" xfId="0" applyFont="1" applyFill="1" applyBorder="1" applyAlignment="1">
      <alignment horizontal="center"/>
    </xf>
    <xf numFmtId="0" fontId="6" fillId="16" borderId="65" xfId="0" applyFont="1" applyFill="1" applyBorder="1" applyAlignment="1" applyProtection="1">
      <alignment horizontal="center"/>
      <protection locked="0"/>
    </xf>
    <xf numFmtId="0" fontId="2" fillId="15" borderId="65" xfId="0" applyFont="1" applyFill="1" applyBorder="1" applyAlignment="1" applyProtection="1">
      <alignment horizontal="center"/>
      <protection locked="0"/>
    </xf>
    <xf numFmtId="0" fontId="6" fillId="15" borderId="66" xfId="0" applyFont="1" applyFill="1" applyBorder="1" applyAlignment="1" applyProtection="1">
      <alignment horizontal="center"/>
      <protection locked="0"/>
    </xf>
    <xf numFmtId="0" fontId="6" fillId="15" borderId="67" xfId="0" applyFont="1" applyFill="1" applyBorder="1" applyAlignment="1" applyProtection="1">
      <alignment horizontal="center"/>
      <protection locked="0"/>
    </xf>
    <xf numFmtId="2" fontId="6" fillId="2" borderId="14" xfId="0" applyNumberFormat="1" applyFont="1" applyFill="1" applyBorder="1" applyAlignment="1" applyProtection="1">
      <alignment horizontal="center"/>
      <protection/>
    </xf>
    <xf numFmtId="2" fontId="6" fillId="2" borderId="30" xfId="0" applyNumberFormat="1" applyFont="1" applyFill="1" applyBorder="1" applyAlignment="1" applyProtection="1">
      <alignment horizontal="center"/>
      <protection/>
    </xf>
    <xf numFmtId="2" fontId="6" fillId="3" borderId="9" xfId="0" applyNumberFormat="1" applyFont="1" applyFill="1" applyBorder="1" applyAlignment="1" applyProtection="1">
      <alignment horizontal="center"/>
      <protection locked="0"/>
    </xf>
    <xf numFmtId="2" fontId="6" fillId="3" borderId="59" xfId="0" applyNumberFormat="1" applyFont="1" applyFill="1" applyBorder="1" applyAlignment="1" applyProtection="1">
      <alignment horizontal="center"/>
      <protection locked="0"/>
    </xf>
    <xf numFmtId="2" fontId="6" fillId="3" borderId="68" xfId="0" applyNumberFormat="1" applyFont="1" applyFill="1" applyBorder="1" applyAlignment="1" applyProtection="1">
      <alignment horizontal="center"/>
      <protection locked="0"/>
    </xf>
    <xf numFmtId="0" fontId="6" fillId="6" borderId="13" xfId="0" applyFont="1" applyFill="1" applyBorder="1" applyAlignment="1" applyProtection="1">
      <alignment horizontal="center"/>
      <protection/>
    </xf>
    <xf numFmtId="0" fontId="6" fillId="6" borderId="52" xfId="0" applyFont="1" applyFill="1" applyBorder="1" applyAlignment="1" applyProtection="1">
      <alignment/>
      <protection/>
    </xf>
    <xf numFmtId="0" fontId="6" fillId="6" borderId="10" xfId="0" applyFont="1" applyFill="1" applyBorder="1" applyAlignment="1" applyProtection="1">
      <alignment horizontal="center"/>
      <protection/>
    </xf>
    <xf numFmtId="1" fontId="6" fillId="2" borderId="14" xfId="0" applyNumberFormat="1" applyFont="1" applyFill="1" applyBorder="1" applyAlignment="1" applyProtection="1">
      <alignment horizontal="center"/>
      <protection/>
    </xf>
    <xf numFmtId="1" fontId="6" fillId="2" borderId="14" xfId="0" applyNumberFormat="1" applyFont="1" applyFill="1" applyBorder="1" applyAlignment="1" applyProtection="1">
      <alignment horizontal="center"/>
      <protection/>
    </xf>
    <xf numFmtId="1" fontId="6" fillId="6" borderId="14" xfId="0" applyNumberFormat="1" applyFont="1" applyFill="1" applyBorder="1" applyAlignment="1" applyProtection="1">
      <alignment horizontal="center"/>
      <protection/>
    </xf>
    <xf numFmtId="11" fontId="6" fillId="2" borderId="18" xfId="0" applyNumberFormat="1" applyFont="1" applyFill="1" applyBorder="1" applyAlignment="1" applyProtection="1">
      <alignment horizontal="center"/>
      <protection/>
    </xf>
    <xf numFmtId="0" fontId="6" fillId="6" borderId="53" xfId="0" applyFont="1" applyFill="1" applyBorder="1" applyAlignment="1" applyProtection="1">
      <alignment/>
      <protection/>
    </xf>
    <xf numFmtId="1" fontId="6" fillId="2" borderId="15" xfId="0" applyNumberFormat="1" applyFont="1" applyFill="1" applyBorder="1" applyAlignment="1" applyProtection="1">
      <alignment horizontal="center"/>
      <protection/>
    </xf>
    <xf numFmtId="1" fontId="6" fillId="2" borderId="15" xfId="0" applyNumberFormat="1" applyFont="1" applyFill="1" applyBorder="1" applyAlignment="1" applyProtection="1">
      <alignment horizontal="center"/>
      <protection/>
    </xf>
    <xf numFmtId="1" fontId="6" fillId="6" borderId="15" xfId="0" applyNumberFormat="1" applyFont="1" applyFill="1" applyBorder="1" applyAlignment="1" applyProtection="1">
      <alignment horizontal="center"/>
      <protection/>
    </xf>
    <xf numFmtId="11" fontId="6" fillId="2" borderId="56" xfId="0" applyNumberFormat="1" applyFont="1" applyFill="1" applyBorder="1" applyAlignment="1" applyProtection="1">
      <alignment horizontal="center"/>
      <protection/>
    </xf>
    <xf numFmtId="0" fontId="6" fillId="6" borderId="60" xfId="0" applyFont="1" applyFill="1" applyBorder="1" applyAlignment="1" applyProtection="1">
      <alignment/>
      <protection/>
    </xf>
    <xf numFmtId="0" fontId="6" fillId="6" borderId="19" xfId="0" applyFont="1" applyFill="1" applyBorder="1" applyAlignment="1" applyProtection="1">
      <alignment horizontal="center"/>
      <protection/>
    </xf>
    <xf numFmtId="1" fontId="6" fillId="2" borderId="30" xfId="0" applyNumberFormat="1" applyFont="1" applyFill="1" applyBorder="1" applyAlignment="1" applyProtection="1">
      <alignment horizontal="center"/>
      <protection/>
    </xf>
    <xf numFmtId="1" fontId="6" fillId="2" borderId="30" xfId="0" applyNumberFormat="1" applyFont="1" applyFill="1" applyBorder="1" applyAlignment="1" applyProtection="1">
      <alignment horizontal="center"/>
      <protection/>
    </xf>
    <xf numFmtId="1" fontId="6" fillId="6" borderId="30" xfId="0" applyNumberFormat="1" applyFont="1" applyFill="1" applyBorder="1" applyAlignment="1" applyProtection="1">
      <alignment horizontal="center"/>
      <protection/>
    </xf>
    <xf numFmtId="11" fontId="6" fillId="2" borderId="8" xfId="0" applyNumberFormat="1" applyFont="1" applyFill="1" applyBorder="1" applyAlignment="1" applyProtection="1">
      <alignment horizontal="center"/>
      <protection/>
    </xf>
    <xf numFmtId="0" fontId="0" fillId="2" borderId="0" xfId="0" applyFont="1" applyFill="1" applyAlignment="1" applyProtection="1">
      <alignment horizontal="center"/>
      <protection/>
    </xf>
    <xf numFmtId="0" fontId="6" fillId="6" borderId="9" xfId="0" applyFont="1" applyFill="1" applyBorder="1" applyAlignment="1" applyProtection="1">
      <alignment horizontal="center"/>
      <protection/>
    </xf>
    <xf numFmtId="0" fontId="6" fillId="6" borderId="12" xfId="0" applyFont="1" applyFill="1" applyBorder="1" applyAlignment="1" applyProtection="1">
      <alignment horizontal="center"/>
      <protection/>
    </xf>
    <xf numFmtId="0" fontId="6" fillId="6" borderId="0" xfId="0" applyFont="1" applyFill="1" applyBorder="1" applyAlignment="1" applyProtection="1">
      <alignment horizontal="center"/>
      <protection/>
    </xf>
    <xf numFmtId="2" fontId="6" fillId="2" borderId="16" xfId="0" applyNumberFormat="1" applyFont="1" applyFill="1" applyBorder="1" applyAlignment="1" applyProtection="1">
      <alignment horizontal="center"/>
      <protection/>
    </xf>
    <xf numFmtId="2" fontId="6" fillId="2" borderId="27" xfId="0" applyNumberFormat="1" applyFont="1" applyFill="1" applyBorder="1" applyAlignment="1" applyProtection="1">
      <alignment horizontal="center"/>
      <protection/>
    </xf>
    <xf numFmtId="1" fontId="6" fillId="6" borderId="9" xfId="0" applyNumberFormat="1" applyFont="1" applyFill="1" applyBorder="1" applyAlignment="1" applyProtection="1">
      <alignment horizontal="center"/>
      <protection/>
    </xf>
    <xf numFmtId="2" fontId="6" fillId="2" borderId="0" xfId="0" applyNumberFormat="1" applyFont="1" applyFill="1" applyBorder="1" applyAlignment="1" applyProtection="1">
      <alignment horizontal="center"/>
      <protection/>
    </xf>
    <xf numFmtId="2" fontId="6" fillId="2" borderId="15" xfId="0" applyNumberFormat="1" applyFont="1" applyFill="1" applyBorder="1" applyAlignment="1" applyProtection="1">
      <alignment horizontal="center"/>
      <protection/>
    </xf>
    <xf numFmtId="2" fontId="6" fillId="2" borderId="12" xfId="0" applyNumberFormat="1" applyFont="1" applyFill="1" applyBorder="1" applyAlignment="1" applyProtection="1">
      <alignment horizontal="center"/>
      <protection/>
    </xf>
    <xf numFmtId="0" fontId="6" fillId="6" borderId="2" xfId="0" applyFont="1" applyFill="1" applyBorder="1" applyAlignment="1" applyProtection="1">
      <alignment horizontal="center"/>
      <protection/>
    </xf>
    <xf numFmtId="2" fontId="6" fillId="2" borderId="2" xfId="0" applyNumberFormat="1" applyFont="1" applyFill="1" applyBorder="1" applyAlignment="1" applyProtection="1">
      <alignment horizontal="center"/>
      <protection/>
    </xf>
    <xf numFmtId="0" fontId="0" fillId="2" borderId="69" xfId="0" applyFont="1" applyFill="1" applyBorder="1" applyAlignment="1" applyProtection="1">
      <alignment/>
      <protection/>
    </xf>
    <xf numFmtId="0" fontId="0" fillId="2" borderId="18" xfId="0" applyFont="1" applyFill="1" applyBorder="1" applyAlignment="1" applyProtection="1">
      <alignment/>
      <protection/>
    </xf>
    <xf numFmtId="0" fontId="0" fillId="2" borderId="14" xfId="0" applyFont="1" applyFill="1" applyBorder="1" applyAlignment="1" applyProtection="1">
      <alignment/>
      <protection/>
    </xf>
    <xf numFmtId="0" fontId="6" fillId="6" borderId="0" xfId="0" applyFont="1" applyFill="1" applyBorder="1" applyAlignment="1" applyProtection="1">
      <alignment horizontal="justify"/>
      <protection/>
    </xf>
    <xf numFmtId="1" fontId="6" fillId="6" borderId="0" xfId="0" applyNumberFormat="1" applyFont="1" applyFill="1" applyBorder="1" applyAlignment="1" applyProtection="1">
      <alignment horizontal="center"/>
      <protection/>
    </xf>
    <xf numFmtId="0" fontId="0" fillId="6" borderId="0" xfId="0" applyFont="1" applyFill="1" applyBorder="1" applyAlignment="1" applyProtection="1">
      <alignment/>
      <protection/>
    </xf>
    <xf numFmtId="0" fontId="6" fillId="12" borderId="70" xfId="0" applyFont="1" applyFill="1" applyBorder="1" applyAlignment="1" applyProtection="1">
      <alignment horizontal="justify"/>
      <protection/>
    </xf>
    <xf numFmtId="2" fontId="6" fillId="2" borderId="69" xfId="0" applyNumberFormat="1" applyFont="1" applyFill="1" applyBorder="1" applyAlignment="1" applyProtection="1">
      <alignment horizontal="center"/>
      <protection locked="0"/>
    </xf>
    <xf numFmtId="2" fontId="6" fillId="2" borderId="71" xfId="0" applyNumberFormat="1" applyFont="1" applyFill="1" applyBorder="1" applyAlignment="1" applyProtection="1">
      <alignment horizontal="center"/>
      <protection locked="0"/>
    </xf>
    <xf numFmtId="0" fontId="6" fillId="12" borderId="52" xfId="0" applyFont="1" applyFill="1" applyBorder="1" applyAlignment="1" applyProtection="1">
      <alignment horizontal="justify"/>
      <protection/>
    </xf>
    <xf numFmtId="2" fontId="6" fillId="2" borderId="14" xfId="0" applyNumberFormat="1" applyFont="1" applyFill="1" applyBorder="1" applyAlignment="1" applyProtection="1">
      <alignment horizontal="center"/>
      <protection locked="0"/>
    </xf>
    <xf numFmtId="2" fontId="6" fillId="2" borderId="59" xfId="0" applyNumberFormat="1" applyFont="1" applyFill="1" applyBorder="1" applyAlignment="1" applyProtection="1">
      <alignment horizontal="center"/>
      <protection locked="0"/>
    </xf>
    <xf numFmtId="0" fontId="6" fillId="12" borderId="52" xfId="0" applyFont="1" applyFill="1" applyBorder="1" applyAlignment="1" applyProtection="1">
      <alignment/>
      <protection/>
    </xf>
    <xf numFmtId="0" fontId="6" fillId="12" borderId="60" xfId="0" applyFont="1" applyFill="1" applyBorder="1" applyAlignment="1" applyProtection="1">
      <alignment/>
      <protection/>
    </xf>
    <xf numFmtId="2" fontId="6" fillId="3" borderId="2" xfId="0" applyNumberFormat="1" applyFont="1" applyFill="1" applyBorder="1" applyAlignment="1" applyProtection="1">
      <alignment horizontal="center"/>
      <protection locked="0"/>
    </xf>
    <xf numFmtId="2" fontId="6" fillId="2" borderId="30" xfId="0" applyNumberFormat="1" applyFont="1" applyFill="1" applyBorder="1" applyAlignment="1" applyProtection="1">
      <alignment horizontal="center"/>
      <protection locked="0"/>
    </xf>
    <xf numFmtId="2" fontId="6" fillId="3" borderId="61" xfId="0" applyNumberFormat="1" applyFont="1" applyFill="1" applyBorder="1" applyAlignment="1" applyProtection="1">
      <alignment horizontal="center"/>
      <protection locked="0"/>
    </xf>
    <xf numFmtId="2" fontId="6" fillId="2" borderId="68" xfId="0" applyNumberFormat="1" applyFont="1" applyFill="1" applyBorder="1" applyAlignment="1" applyProtection="1">
      <alignment horizontal="center"/>
      <protection locked="0"/>
    </xf>
    <xf numFmtId="2" fontId="0" fillId="2" borderId="44" xfId="0" applyNumberFormat="1" applyFill="1" applyBorder="1" applyAlignment="1" applyProtection="1">
      <alignment/>
      <protection locked="0"/>
    </xf>
    <xf numFmtId="0" fontId="0" fillId="2" borderId="0" xfId="0" applyFont="1" applyFill="1" applyAlignment="1">
      <alignment/>
    </xf>
    <xf numFmtId="0" fontId="2" fillId="6" borderId="0" xfId="0" applyFont="1" applyFill="1" applyBorder="1" applyAlignment="1">
      <alignment/>
    </xf>
    <xf numFmtId="0" fontId="29" fillId="2" borderId="0" xfId="0" applyFont="1" applyFill="1" applyAlignment="1" applyProtection="1">
      <alignment/>
      <protection locked="0"/>
    </xf>
    <xf numFmtId="0" fontId="2" fillId="2" borderId="0" xfId="0" applyFont="1" applyFill="1" applyAlignment="1">
      <alignment/>
    </xf>
    <xf numFmtId="0" fontId="2" fillId="0" borderId="0" xfId="0" applyFont="1" applyAlignment="1">
      <alignment/>
    </xf>
    <xf numFmtId="0" fontId="6" fillId="6" borderId="44" xfId="0" applyFont="1" applyFill="1" applyBorder="1" applyAlignment="1" applyProtection="1">
      <alignment horizontal="left" wrapText="1"/>
      <protection/>
    </xf>
    <xf numFmtId="1" fontId="2" fillId="6" borderId="44" xfId="0" applyNumberFormat="1" applyFont="1" applyFill="1" applyBorder="1" applyAlignment="1" applyProtection="1">
      <alignment horizontal="center"/>
      <protection locked="0"/>
    </xf>
    <xf numFmtId="0" fontId="6" fillId="6" borderId="44" xfId="0" applyFont="1" applyFill="1" applyBorder="1" applyAlignment="1" applyProtection="1">
      <alignment horizontal="left"/>
      <protection/>
    </xf>
    <xf numFmtId="0" fontId="6" fillId="6" borderId="44" xfId="0" applyFont="1" applyFill="1" applyBorder="1" applyAlignment="1" applyProtection="1">
      <alignment horizontal="left" wrapText="1"/>
      <protection/>
    </xf>
    <xf numFmtId="0" fontId="2" fillId="6" borderId="44" xfId="0" applyFont="1" applyFill="1" applyBorder="1" applyAlignment="1" applyProtection="1">
      <alignment horizontal="center" vertical="center"/>
      <protection locked="0"/>
    </xf>
    <xf numFmtId="1" fontId="6" fillId="6" borderId="21" xfId="0" applyNumberFormat="1" applyFont="1" applyFill="1" applyBorder="1" applyAlignment="1" applyProtection="1">
      <alignment horizontal="center" vertical="center"/>
      <protection/>
    </xf>
    <xf numFmtId="0" fontId="6" fillId="2" borderId="45" xfId="0" applyFont="1" applyFill="1" applyBorder="1" applyAlignment="1" applyProtection="1">
      <alignment horizontal="justify"/>
      <protection/>
    </xf>
    <xf numFmtId="2" fontId="6" fillId="2" borderId="44" xfId="0" applyNumberFormat="1" applyFont="1" applyFill="1" applyBorder="1" applyAlignment="1" applyProtection="1">
      <alignment horizontal="center"/>
      <protection/>
    </xf>
    <xf numFmtId="2" fontId="6" fillId="2" borderId="46" xfId="0" applyNumberFormat="1" applyFont="1" applyFill="1" applyBorder="1" applyAlignment="1" applyProtection="1">
      <alignment horizontal="center"/>
      <protection/>
    </xf>
    <xf numFmtId="1" fontId="6" fillId="16" borderId="72" xfId="0" applyNumberFormat="1" applyFont="1" applyFill="1" applyBorder="1" applyAlignment="1" applyProtection="1">
      <alignment horizontal="center"/>
      <protection locked="0"/>
    </xf>
    <xf numFmtId="1" fontId="6" fillId="16" borderId="72" xfId="0" applyNumberFormat="1" applyFont="1" applyFill="1" applyBorder="1" applyAlignment="1" applyProtection="1">
      <alignment horizontal="center"/>
      <protection locked="0"/>
    </xf>
    <xf numFmtId="0" fontId="6" fillId="16" borderId="55" xfId="0" applyFont="1" applyFill="1" applyBorder="1" applyAlignment="1" applyProtection="1">
      <alignment horizontal="center"/>
      <protection/>
    </xf>
    <xf numFmtId="0" fontId="6" fillId="16" borderId="58" xfId="0" applyFont="1" applyFill="1" applyBorder="1" applyAlignment="1" applyProtection="1">
      <alignment horizontal="center"/>
      <protection/>
    </xf>
    <xf numFmtId="0" fontId="6" fillId="15" borderId="62" xfId="0" applyFont="1" applyFill="1" applyBorder="1" applyAlignment="1" applyProtection="1">
      <alignment horizontal="center"/>
      <protection/>
    </xf>
    <xf numFmtId="0" fontId="6" fillId="15" borderId="6" xfId="0" applyFont="1" applyFill="1" applyBorder="1" applyAlignment="1" applyProtection="1">
      <alignment horizontal="center"/>
      <protection/>
    </xf>
    <xf numFmtId="0" fontId="6" fillId="16" borderId="53" xfId="0" applyFont="1" applyFill="1" applyBorder="1" applyAlignment="1" applyProtection="1">
      <alignment horizontal="center"/>
      <protection/>
    </xf>
    <xf numFmtId="0" fontId="6" fillId="16" borderId="13" xfId="0" applyFont="1" applyFill="1" applyBorder="1" applyAlignment="1" applyProtection="1">
      <alignment horizontal="center"/>
      <protection/>
    </xf>
    <xf numFmtId="0" fontId="6" fillId="15" borderId="15" xfId="0" applyFont="1" applyFill="1" applyBorder="1" applyAlignment="1" applyProtection="1">
      <alignment horizontal="center"/>
      <protection/>
    </xf>
    <xf numFmtId="0" fontId="6" fillId="15" borderId="56" xfId="0" applyFont="1" applyFill="1" applyBorder="1" applyAlignment="1" applyProtection="1">
      <alignment horizontal="center"/>
      <protection/>
    </xf>
    <xf numFmtId="0" fontId="6" fillId="16" borderId="5" xfId="0" applyFont="1" applyFill="1" applyBorder="1" applyAlignment="1" applyProtection="1">
      <alignment horizontal="center"/>
      <protection/>
    </xf>
    <xf numFmtId="0" fontId="6" fillId="15" borderId="62" xfId="0" applyFont="1" applyFill="1" applyBorder="1" applyAlignment="1" applyProtection="1">
      <alignment horizontal="center"/>
      <protection/>
    </xf>
    <xf numFmtId="0" fontId="6" fillId="17" borderId="58" xfId="0" applyFont="1" applyFill="1" applyBorder="1" applyAlignment="1" applyProtection="1">
      <alignment horizontal="center"/>
      <protection/>
    </xf>
    <xf numFmtId="0" fontId="6" fillId="16" borderId="12" xfId="0" applyFont="1" applyFill="1" applyBorder="1" applyAlignment="1" applyProtection="1">
      <alignment horizontal="center"/>
      <protection/>
    </xf>
    <xf numFmtId="0" fontId="6" fillId="15" borderId="13" xfId="0" applyFont="1" applyFill="1" applyBorder="1" applyAlignment="1" applyProtection="1">
      <alignment horizontal="center"/>
      <protection/>
    </xf>
    <xf numFmtId="0" fontId="6" fillId="16" borderId="66" xfId="0" applyFont="1" applyFill="1" applyBorder="1" applyAlignment="1" applyProtection="1">
      <alignment horizontal="center"/>
      <protection locked="0"/>
    </xf>
    <xf numFmtId="0" fontId="6" fillId="16" borderId="17" xfId="0" applyFont="1" applyFill="1" applyBorder="1" applyAlignment="1" applyProtection="1">
      <alignment horizontal="center"/>
      <protection locked="0"/>
    </xf>
    <xf numFmtId="0" fontId="6" fillId="15" borderId="11" xfId="0" applyFont="1" applyFill="1" applyBorder="1" applyAlignment="1">
      <alignment horizontal="center"/>
    </xf>
    <xf numFmtId="0" fontId="6" fillId="15" borderId="11" xfId="0" applyFont="1" applyFill="1" applyBorder="1" applyAlignment="1">
      <alignment/>
    </xf>
    <xf numFmtId="0" fontId="6" fillId="15" borderId="56" xfId="0" applyFont="1" applyFill="1" applyBorder="1" applyAlignment="1">
      <alignment/>
    </xf>
    <xf numFmtId="0" fontId="6" fillId="15" borderId="73" xfId="0" applyFont="1" applyFill="1" applyBorder="1" applyAlignment="1" applyProtection="1">
      <alignment horizontal="center"/>
      <protection locked="0"/>
    </xf>
    <xf numFmtId="0" fontId="6" fillId="15" borderId="56" xfId="0" applyFont="1" applyFill="1" applyBorder="1" applyAlignment="1">
      <alignment horizontal="center"/>
    </xf>
    <xf numFmtId="0" fontId="22" fillId="2" borderId="74" xfId="0" applyFont="1" applyFill="1" applyBorder="1" applyAlignment="1" applyProtection="1">
      <alignment/>
      <protection locked="0"/>
    </xf>
    <xf numFmtId="0" fontId="29" fillId="2" borderId="74" xfId="0" applyFont="1" applyFill="1" applyBorder="1" applyAlignment="1" applyProtection="1">
      <alignment/>
      <protection locked="0"/>
    </xf>
    <xf numFmtId="0" fontId="22" fillId="2" borderId="74" xfId="0" applyFont="1" applyFill="1" applyBorder="1" applyAlignment="1" applyProtection="1">
      <alignment vertical="top" wrapText="1"/>
      <protection locked="0"/>
    </xf>
    <xf numFmtId="0" fontId="22" fillId="6" borderId="74" xfId="0" applyFont="1" applyFill="1" applyBorder="1" applyAlignment="1" applyProtection="1">
      <alignment horizontal="left" wrapText="1"/>
      <protection locked="0"/>
    </xf>
    <xf numFmtId="0" fontId="0" fillId="2" borderId="26" xfId="0" applyFill="1" applyBorder="1" applyAlignment="1">
      <alignment/>
    </xf>
    <xf numFmtId="0" fontId="22" fillId="2" borderId="75" xfId="0" applyFont="1" applyFill="1" applyBorder="1" applyAlignment="1" applyProtection="1">
      <alignment/>
      <protection locked="0"/>
    </xf>
    <xf numFmtId="0" fontId="22" fillId="2" borderId="76" xfId="0" applyFont="1" applyFill="1" applyBorder="1" applyAlignment="1" applyProtection="1">
      <alignment/>
      <protection locked="0"/>
    </xf>
    <xf numFmtId="0" fontId="0" fillId="0" borderId="0" xfId="0" applyAlignment="1" applyProtection="1">
      <alignment horizontal="left" wrapText="1"/>
      <protection/>
    </xf>
    <xf numFmtId="2" fontId="0" fillId="0" borderId="0" xfId="0" applyNumberFormat="1" applyAlignment="1" applyProtection="1">
      <alignment/>
      <protection locked="0"/>
    </xf>
    <xf numFmtId="0" fontId="0" fillId="4" borderId="0" xfId="0" applyFill="1" applyAlignment="1" applyProtection="1">
      <alignment horizontal="center"/>
      <protection/>
    </xf>
    <xf numFmtId="0" fontId="6" fillId="2" borderId="5" xfId="0" applyFont="1" applyFill="1" applyBorder="1" applyAlignment="1">
      <alignment/>
    </xf>
    <xf numFmtId="10" fontId="6" fillId="2" borderId="0" xfId="0" applyNumberFormat="1" applyFont="1" applyFill="1" applyBorder="1" applyAlignment="1">
      <alignment horizontal="center"/>
    </xf>
    <xf numFmtId="2" fontId="6" fillId="2" borderId="0" xfId="0" applyNumberFormat="1" applyFont="1" applyFill="1" applyBorder="1" applyAlignment="1">
      <alignment horizontal="center"/>
    </xf>
    <xf numFmtId="9" fontId="6" fillId="2" borderId="2" xfId="0" applyNumberFormat="1" applyFont="1" applyFill="1" applyBorder="1" applyAlignment="1">
      <alignment horizontal="center"/>
    </xf>
    <xf numFmtId="0" fontId="6" fillId="15" borderId="39" xfId="0" applyFont="1" applyFill="1" applyBorder="1" applyAlignment="1">
      <alignment/>
    </xf>
    <xf numFmtId="0" fontId="0" fillId="15" borderId="20" xfId="0" applyFill="1" applyBorder="1" applyAlignment="1">
      <alignment/>
    </xf>
    <xf numFmtId="0" fontId="0" fillId="15" borderId="29" xfId="0" applyFill="1" applyBorder="1" applyAlignment="1">
      <alignment/>
    </xf>
    <xf numFmtId="0" fontId="6" fillId="2" borderId="55" xfId="0" applyFill="1" applyBorder="1" applyAlignment="1" applyProtection="1">
      <alignment horizontal="right"/>
      <protection locked="0"/>
    </xf>
    <xf numFmtId="0" fontId="6" fillId="2" borderId="52" xfId="0" applyFont="1" applyFill="1" applyBorder="1" applyAlignment="1" applyProtection="1">
      <alignment horizontal="right"/>
      <protection locked="0"/>
    </xf>
    <xf numFmtId="0" fontId="6" fillId="2" borderId="52" xfId="0" applyFill="1" applyBorder="1" applyAlignment="1" applyProtection="1">
      <alignment horizontal="right"/>
      <protection locked="0"/>
    </xf>
    <xf numFmtId="0" fontId="6" fillId="2" borderId="52" xfId="0" applyFont="1" applyFill="1" applyBorder="1" applyAlignment="1" applyProtection="1">
      <alignment horizontal="right"/>
      <protection locked="0"/>
    </xf>
    <xf numFmtId="0" fontId="6" fillId="2" borderId="52" xfId="0" applyFill="1" applyBorder="1" applyAlignment="1">
      <alignment horizontal="right"/>
    </xf>
    <xf numFmtId="0" fontId="0" fillId="2" borderId="39" xfId="0" applyFill="1" applyBorder="1" applyAlignment="1" applyProtection="1">
      <alignment/>
      <protection locked="0"/>
    </xf>
    <xf numFmtId="0" fontId="0" fillId="2" borderId="20" xfId="0" applyFill="1" applyBorder="1" applyAlignment="1" applyProtection="1">
      <alignment/>
      <protection locked="0"/>
    </xf>
    <xf numFmtId="0" fontId="0" fillId="2" borderId="29" xfId="0" applyFont="1" applyFill="1" applyBorder="1" applyAlignment="1" applyProtection="1">
      <alignment horizontal="center"/>
      <protection locked="0"/>
    </xf>
    <xf numFmtId="0" fontId="6" fillId="2" borderId="52" xfId="0" applyFont="1" applyFill="1" applyBorder="1" applyAlignment="1" applyProtection="1">
      <alignment horizontal="justify"/>
      <protection locked="0"/>
    </xf>
    <xf numFmtId="0" fontId="6" fillId="2" borderId="60" xfId="0" applyFont="1" applyFill="1" applyBorder="1" applyAlignment="1" applyProtection="1">
      <alignment horizontal="justify"/>
      <protection locked="0"/>
    </xf>
    <xf numFmtId="0" fontId="6" fillId="15" borderId="18" xfId="0" applyFont="1" applyFill="1" applyBorder="1" applyAlignment="1" applyProtection="1">
      <alignment horizontal="center"/>
      <protection/>
    </xf>
    <xf numFmtId="0" fontId="6" fillId="6" borderId="21" xfId="0" applyFont="1" applyFill="1" applyBorder="1" applyAlignment="1" applyProtection="1">
      <alignment vertical="top" wrapText="1"/>
      <protection/>
    </xf>
    <xf numFmtId="2" fontId="6" fillId="6" borderId="16" xfId="0" applyNumberFormat="1" applyFont="1" applyFill="1" applyBorder="1" applyAlignment="1" applyProtection="1">
      <alignment horizontal="center" vertical="center"/>
      <protection/>
    </xf>
    <xf numFmtId="0" fontId="6" fillId="6" borderId="21" xfId="0" applyFont="1" applyFill="1" applyBorder="1" applyAlignment="1" applyProtection="1">
      <alignment vertical="center"/>
      <protection/>
    </xf>
    <xf numFmtId="2" fontId="6" fillId="6" borderId="14" xfId="0" applyNumberFormat="1" applyFont="1" applyFill="1" applyBorder="1" applyAlignment="1" applyProtection="1">
      <alignment horizontal="center" vertical="center"/>
      <protection/>
    </xf>
    <xf numFmtId="0" fontId="6" fillId="6" borderId="7" xfId="0" applyFont="1" applyFill="1" applyBorder="1" applyAlignment="1" applyProtection="1">
      <alignment/>
      <protection/>
    </xf>
    <xf numFmtId="2" fontId="6" fillId="6" borderId="30" xfId="0" applyNumberFormat="1" applyFont="1" applyFill="1" applyBorder="1" applyAlignment="1" applyProtection="1">
      <alignment horizontal="center" vertical="center"/>
      <protection/>
    </xf>
    <xf numFmtId="2" fontId="6" fillId="2" borderId="68" xfId="0" applyNumberFormat="1" applyFont="1" applyFill="1" applyBorder="1" applyAlignment="1" applyProtection="1">
      <alignment horizontal="center"/>
      <protection/>
    </xf>
    <xf numFmtId="1" fontId="6" fillId="6" borderId="0" xfId="0" applyNumberFormat="1" applyFont="1" applyFill="1" applyBorder="1" applyAlignment="1" applyProtection="1">
      <alignment horizontal="center" vertical="center"/>
      <protection/>
    </xf>
    <xf numFmtId="1" fontId="6" fillId="6" borderId="2" xfId="0" applyNumberFormat="1" applyFont="1" applyFill="1" applyBorder="1" applyAlignment="1" applyProtection="1">
      <alignment horizontal="center"/>
      <protection/>
    </xf>
    <xf numFmtId="0" fontId="6" fillId="6" borderId="21" xfId="0" applyFont="1" applyFill="1" applyBorder="1" applyAlignment="1" applyProtection="1">
      <alignment/>
      <protection/>
    </xf>
    <xf numFmtId="2" fontId="6" fillId="2" borderId="26" xfId="0" applyNumberFormat="1" applyFont="1" applyFill="1" applyBorder="1" applyAlignment="1" applyProtection="1">
      <alignment horizontal="center"/>
      <protection/>
    </xf>
    <xf numFmtId="2" fontId="6" fillId="2" borderId="57" xfId="0" applyNumberFormat="1" applyFont="1" applyFill="1" applyBorder="1" applyAlignment="1" applyProtection="1">
      <alignment horizontal="center"/>
      <protection/>
    </xf>
    <xf numFmtId="2" fontId="6" fillId="2" borderId="18" xfId="0" applyNumberFormat="1" applyFont="1" applyFill="1" applyBorder="1" applyAlignment="1" applyProtection="1">
      <alignment horizontal="center"/>
      <protection/>
    </xf>
    <xf numFmtId="0" fontId="6" fillId="6" borderId="63" xfId="0" applyFont="1" applyFill="1" applyBorder="1" applyAlignment="1" applyProtection="1">
      <alignment/>
      <protection/>
    </xf>
    <xf numFmtId="2" fontId="6" fillId="2" borderId="56" xfId="0" applyNumberFormat="1" applyFont="1" applyFill="1" applyBorder="1" applyAlignment="1" applyProtection="1">
      <alignment horizontal="center"/>
      <protection/>
    </xf>
    <xf numFmtId="0" fontId="6" fillId="15" borderId="5" xfId="0" applyFont="1" applyFill="1" applyBorder="1" applyAlignment="1" applyProtection="1">
      <alignment horizontal="center"/>
      <protection/>
    </xf>
    <xf numFmtId="0" fontId="6" fillId="17" borderId="6" xfId="0" applyFont="1" applyFill="1" applyBorder="1" applyAlignment="1" applyProtection="1">
      <alignment horizontal="center"/>
      <protection/>
    </xf>
    <xf numFmtId="0" fontId="6" fillId="15" borderId="12" xfId="0" applyFont="1" applyFill="1" applyBorder="1" applyAlignment="1" applyProtection="1">
      <alignment horizontal="center"/>
      <protection/>
    </xf>
    <xf numFmtId="0" fontId="6" fillId="12" borderId="70" xfId="0" applyFont="1" applyFill="1" applyBorder="1" applyAlignment="1" applyProtection="1">
      <alignment horizontal="justify"/>
      <protection locked="0"/>
    </xf>
    <xf numFmtId="0" fontId="6" fillId="12" borderId="52" xfId="0" applyFont="1" applyFill="1" applyBorder="1" applyAlignment="1" applyProtection="1">
      <alignment horizontal="justify"/>
      <protection locked="0"/>
    </xf>
    <xf numFmtId="0" fontId="6" fillId="12" borderId="52" xfId="0" applyFont="1" applyFill="1" applyBorder="1" applyAlignment="1" applyProtection="1">
      <alignment/>
      <protection locked="0"/>
    </xf>
    <xf numFmtId="0" fontId="6" fillId="12" borderId="60" xfId="0" applyFont="1" applyFill="1" applyBorder="1" applyAlignment="1" applyProtection="1">
      <alignment/>
      <protection locked="0"/>
    </xf>
    <xf numFmtId="1" fontId="6" fillId="6" borderId="12" xfId="0" applyNumberFormat="1" applyFont="1" applyFill="1" applyBorder="1" applyAlignment="1" applyProtection="1">
      <alignment horizontal="center"/>
      <protection/>
    </xf>
    <xf numFmtId="0" fontId="6" fillId="0" borderId="0" xfId="0" applyFont="1" applyBorder="1" applyAlignment="1" applyProtection="1">
      <alignment horizontal="right"/>
      <protection locked="0"/>
    </xf>
    <xf numFmtId="0" fontId="0" fillId="15" borderId="0" xfId="0" applyFill="1" applyAlignment="1" applyProtection="1">
      <alignment/>
      <protection locked="0"/>
    </xf>
    <xf numFmtId="1" fontId="2" fillId="15" borderId="72" xfId="0" applyNumberFormat="1" applyFont="1" applyFill="1" applyBorder="1" applyAlignment="1" applyProtection="1">
      <alignment horizontal="center" vertical="center"/>
      <protection locked="0"/>
    </xf>
    <xf numFmtId="0" fontId="6" fillId="15" borderId="11" xfId="0" applyFont="1" applyFill="1" applyBorder="1" applyAlignment="1">
      <alignment horizontal="right"/>
    </xf>
    <xf numFmtId="0" fontId="6" fillId="15" borderId="13" xfId="0" applyFont="1" applyFill="1" applyBorder="1" applyAlignment="1">
      <alignment horizontal="left"/>
    </xf>
    <xf numFmtId="0" fontId="0" fillId="2" borderId="0" xfId="0" applyFill="1" applyAlignment="1" applyProtection="1">
      <alignment horizontal="center" vertical="center"/>
      <protection/>
    </xf>
    <xf numFmtId="0" fontId="0" fillId="6" borderId="44" xfId="0" applyFont="1" applyFill="1" applyBorder="1" applyAlignment="1" applyProtection="1">
      <alignment wrapText="1"/>
      <protection locked="0"/>
    </xf>
    <xf numFmtId="0" fontId="0" fillId="0" borderId="44" xfId="0" applyBorder="1" applyAlignment="1">
      <alignment/>
    </xf>
    <xf numFmtId="0" fontId="0" fillId="2" borderId="44" xfId="0" applyFill="1" applyBorder="1" applyAlignment="1">
      <alignment/>
    </xf>
    <xf numFmtId="0" fontId="0" fillId="0" borderId="0" xfId="0" applyFill="1" applyAlignment="1" applyProtection="1">
      <alignment horizontal="center"/>
      <protection/>
    </xf>
    <xf numFmtId="0" fontId="6" fillId="6" borderId="0" xfId="0" applyFont="1" applyFill="1" applyAlignment="1" applyProtection="1">
      <alignment wrapText="1"/>
      <protection locked="0"/>
    </xf>
    <xf numFmtId="10" fontId="2" fillId="7" borderId="44" xfId="0" applyNumberFormat="1" applyFont="1" applyFill="1" applyBorder="1" applyAlignment="1" applyProtection="1">
      <alignment horizontal="center"/>
      <protection locked="0"/>
    </xf>
    <xf numFmtId="10" fontId="0" fillId="7" borderId="31" xfId="0" applyNumberFormat="1" applyFont="1" applyFill="1" applyBorder="1" applyAlignment="1" applyProtection="1">
      <alignment horizontal="center" vertical="top" wrapText="1"/>
      <protection locked="0"/>
    </xf>
    <xf numFmtId="0" fontId="6" fillId="0" borderId="15" xfId="0" applyFont="1" applyFill="1" applyBorder="1" applyAlignment="1">
      <alignment horizontal="center"/>
    </xf>
    <xf numFmtId="0" fontId="6" fillId="0" borderId="11" xfId="0" applyFont="1" applyFill="1" applyBorder="1" applyAlignment="1">
      <alignment horizontal="center"/>
    </xf>
    <xf numFmtId="0" fontId="0" fillId="0" borderId="48" xfId="0" applyFont="1" applyBorder="1" applyAlignment="1">
      <alignment wrapText="1"/>
    </xf>
    <xf numFmtId="2" fontId="0" fillId="2" borderId="16" xfId="0" applyNumberFormat="1" applyFont="1" applyFill="1" applyBorder="1" applyAlignment="1" applyProtection="1">
      <alignment horizontal="center" vertical="center"/>
      <protection/>
    </xf>
    <xf numFmtId="0" fontId="22" fillId="2" borderId="0" xfId="0" applyFont="1" applyFill="1" applyBorder="1" applyAlignment="1" applyProtection="1">
      <alignment/>
      <protection locked="0"/>
    </xf>
    <xf numFmtId="0" fontId="22" fillId="2" borderId="63" xfId="0" applyFont="1" applyFill="1" applyBorder="1" applyAlignment="1" applyProtection="1">
      <alignment/>
      <protection locked="0"/>
    </xf>
    <xf numFmtId="0" fontId="6" fillId="15" borderId="63" xfId="0" applyFont="1" applyFill="1" applyBorder="1" applyAlignment="1" applyProtection="1">
      <alignment/>
      <protection/>
    </xf>
    <xf numFmtId="0" fontId="6" fillId="15" borderId="12" xfId="0" applyFont="1" applyFill="1" applyBorder="1" applyAlignment="1">
      <alignment/>
    </xf>
    <xf numFmtId="0" fontId="24" fillId="15" borderId="0" xfId="0" applyFont="1" applyFill="1" applyAlignment="1">
      <alignment wrapText="1"/>
    </xf>
    <xf numFmtId="0" fontId="24" fillId="15" borderId="0" xfId="0" applyFont="1" applyFill="1" applyBorder="1" applyAlignment="1">
      <alignment wrapText="1"/>
    </xf>
    <xf numFmtId="0" fontId="6" fillId="15" borderId="44" xfId="0" applyFont="1" applyFill="1" applyBorder="1" applyAlignment="1">
      <alignment/>
    </xf>
    <xf numFmtId="0" fontId="0" fillId="6" borderId="2" xfId="0" applyFont="1" applyFill="1" applyBorder="1" applyAlignment="1" applyProtection="1">
      <alignment horizontal="center"/>
      <protection locked="0"/>
    </xf>
    <xf numFmtId="0" fontId="22" fillId="6" borderId="76" xfId="0" applyFont="1" applyFill="1" applyBorder="1" applyAlignment="1" applyProtection="1">
      <alignment/>
      <protection locked="0"/>
    </xf>
    <xf numFmtId="0" fontId="22" fillId="2" borderId="77" xfId="0" applyFont="1" applyFill="1" applyBorder="1" applyAlignment="1" applyProtection="1">
      <alignment/>
      <protection locked="0"/>
    </xf>
    <xf numFmtId="0" fontId="2" fillId="18" borderId="46" xfId="0" applyFont="1" applyFill="1" applyBorder="1" applyAlignment="1" applyProtection="1">
      <alignment horizontal="center"/>
      <protection locked="0"/>
    </xf>
    <xf numFmtId="0" fontId="6" fillId="15" borderId="0" xfId="0" applyFont="1" applyFill="1" applyBorder="1" applyAlignment="1">
      <alignment wrapText="1"/>
    </xf>
    <xf numFmtId="2" fontId="2" fillId="0" borderId="44" xfId="0" applyNumberFormat="1" applyFont="1" applyFill="1" applyBorder="1" applyAlignment="1" applyProtection="1">
      <alignment horizontal="center" vertical="center"/>
      <protection locked="0"/>
    </xf>
    <xf numFmtId="2" fontId="2" fillId="0" borderId="15" xfId="0" applyNumberFormat="1" applyFont="1" applyFill="1" applyBorder="1" applyAlignment="1">
      <alignment horizontal="center"/>
    </xf>
    <xf numFmtId="0" fontId="2" fillId="0" borderId="78" xfId="0" applyFont="1" applyFill="1" applyBorder="1" applyAlignment="1" applyProtection="1">
      <alignment horizontal="center"/>
      <protection/>
    </xf>
    <xf numFmtId="2" fontId="2" fillId="0" borderId="79" xfId="0" applyNumberFormat="1" applyFont="1" applyFill="1" applyBorder="1" applyAlignment="1">
      <alignment horizontal="center"/>
    </xf>
    <xf numFmtId="2" fontId="2" fillId="0" borderId="44" xfId="27" applyNumberFormat="1" applyFont="1" applyFill="1" applyBorder="1" applyAlignment="1">
      <alignment horizontal="center"/>
      <protection/>
    </xf>
    <xf numFmtId="2" fontId="2" fillId="0" borderId="44" xfId="0" applyNumberFormat="1" applyFont="1" applyFill="1" applyBorder="1" applyAlignment="1">
      <alignment horizontal="center"/>
    </xf>
    <xf numFmtId="0" fontId="2" fillId="2" borderId="64" xfId="0" applyFont="1" applyFill="1" applyBorder="1" applyAlignment="1">
      <alignment horizontal="center" wrapText="1"/>
    </xf>
    <xf numFmtId="0" fontId="2" fillId="2" borderId="62" xfId="0" applyFont="1" applyFill="1" applyBorder="1" applyAlignment="1">
      <alignment horizontal="center" wrapText="1"/>
    </xf>
    <xf numFmtId="0" fontId="2" fillId="2" borderId="10" xfId="0" applyFont="1" applyFill="1" applyBorder="1" applyAlignment="1">
      <alignment horizontal="center" wrapText="1"/>
    </xf>
    <xf numFmtId="0" fontId="2" fillId="2" borderId="80" xfId="0" applyFont="1" applyFill="1" applyBorder="1" applyAlignment="1">
      <alignment horizontal="center"/>
    </xf>
    <xf numFmtId="0" fontId="2" fillId="2" borderId="11" xfId="0" applyFont="1" applyFill="1" applyBorder="1" applyAlignment="1">
      <alignment horizontal="center"/>
    </xf>
    <xf numFmtId="0" fontId="2" fillId="2" borderId="15" xfId="0" applyFont="1" applyFill="1" applyBorder="1" applyAlignment="1">
      <alignment horizontal="center"/>
    </xf>
    <xf numFmtId="0" fontId="2" fillId="2" borderId="81" xfId="0" applyFont="1" applyFill="1" applyBorder="1" applyAlignment="1">
      <alignment horizontal="center"/>
    </xf>
    <xf numFmtId="0" fontId="0" fillId="6" borderId="4" xfId="0" applyFill="1" applyBorder="1" applyAlignment="1">
      <alignment/>
    </xf>
    <xf numFmtId="0" fontId="0" fillId="6" borderId="21" xfId="0" applyFill="1" applyBorder="1" applyAlignment="1">
      <alignment/>
    </xf>
    <xf numFmtId="0" fontId="0" fillId="6" borderId="63" xfId="0" applyFill="1" applyBorder="1" applyAlignment="1">
      <alignment/>
    </xf>
    <xf numFmtId="0" fontId="0" fillId="6" borderId="7" xfId="0" applyFill="1" applyBorder="1" applyAlignment="1">
      <alignment/>
    </xf>
    <xf numFmtId="0" fontId="2" fillId="6" borderId="4" xfId="27" applyFont="1" applyFill="1" applyBorder="1" applyAlignment="1">
      <alignment horizontal="center"/>
      <protection/>
    </xf>
    <xf numFmtId="0" fontId="2" fillId="6" borderId="63" xfId="27" applyFont="1" applyFill="1" applyBorder="1" applyAlignment="1">
      <alignment horizontal="center"/>
      <protection/>
    </xf>
    <xf numFmtId="0" fontId="2" fillId="6" borderId="21" xfId="27" applyFont="1" applyFill="1" applyBorder="1" applyAlignment="1">
      <alignment horizontal="center"/>
      <protection/>
    </xf>
    <xf numFmtId="0" fontId="2" fillId="6" borderId="21" xfId="0" applyFont="1" applyFill="1" applyBorder="1" applyAlignment="1">
      <alignment horizontal="center" vertical="top"/>
    </xf>
    <xf numFmtId="0" fontId="2" fillId="6" borderId="7" xfId="27" applyFont="1" applyFill="1" applyBorder="1" applyAlignment="1">
      <alignment horizontal="center"/>
      <protection/>
    </xf>
    <xf numFmtId="0" fontId="2" fillId="6" borderId="63" xfId="0" applyFont="1" applyFill="1" applyBorder="1" applyAlignment="1">
      <alignment horizontal="center" vertical="top"/>
    </xf>
    <xf numFmtId="0" fontId="2" fillId="6" borderId="52" xfId="27" applyFont="1" applyFill="1" applyBorder="1" applyAlignment="1">
      <alignment horizontal="center"/>
      <protection/>
    </xf>
    <xf numFmtId="0" fontId="2" fillId="6" borderId="52" xfId="0" applyFont="1" applyFill="1" applyBorder="1" applyAlignment="1">
      <alignment horizontal="center" vertical="top"/>
    </xf>
    <xf numFmtId="0" fontId="2" fillId="6" borderId="53" xfId="0" applyFont="1" applyFill="1" applyBorder="1" applyAlignment="1">
      <alignment horizontal="center" vertical="top"/>
    </xf>
    <xf numFmtId="0" fontId="2" fillId="6" borderId="53" xfId="27" applyFont="1" applyFill="1" applyBorder="1" applyAlignment="1">
      <alignment horizontal="center"/>
      <protection/>
    </xf>
    <xf numFmtId="0" fontId="2" fillId="6" borderId="60" xfId="27" applyFont="1" applyFill="1" applyBorder="1" applyAlignment="1">
      <alignment horizontal="center"/>
      <protection/>
    </xf>
    <xf numFmtId="0" fontId="0" fillId="2" borderId="52" xfId="0" applyFill="1" applyBorder="1" applyAlignment="1">
      <alignment horizontal="right"/>
    </xf>
    <xf numFmtId="0" fontId="0" fillId="2" borderId="60" xfId="0" applyFill="1" applyBorder="1" applyAlignment="1">
      <alignment horizontal="right"/>
    </xf>
    <xf numFmtId="0" fontId="0" fillId="6" borderId="8" xfId="0" applyFont="1" applyFill="1" applyBorder="1" applyAlignment="1">
      <alignment/>
    </xf>
    <xf numFmtId="0" fontId="7" fillId="6" borderId="11" xfId="0" applyFont="1" applyFill="1" applyBorder="1" applyAlignment="1" applyProtection="1">
      <alignment/>
      <protection locked="0"/>
    </xf>
    <xf numFmtId="0" fontId="7" fillId="6" borderId="12" xfId="0" applyFont="1" applyFill="1" applyBorder="1" applyAlignment="1" applyProtection="1">
      <alignment/>
      <protection locked="0"/>
    </xf>
    <xf numFmtId="0" fontId="28" fillId="6" borderId="9" xfId="26" applyFont="1" applyFill="1" applyBorder="1" applyAlignment="1" applyProtection="1">
      <alignment/>
      <protection locked="0"/>
    </xf>
    <xf numFmtId="0" fontId="7" fillId="6" borderId="0" xfId="0" applyFont="1" applyFill="1" applyBorder="1" applyAlignment="1" applyProtection="1">
      <alignment/>
      <protection locked="0"/>
    </xf>
    <xf numFmtId="0" fontId="28" fillId="6" borderId="9" xfId="26" applyFont="1" applyFill="1" applyBorder="1" applyAlignment="1" applyProtection="1">
      <alignment vertical="top"/>
      <protection locked="0"/>
    </xf>
    <xf numFmtId="0" fontId="7" fillId="6" borderId="2" xfId="0" applyFont="1" applyFill="1" applyBorder="1" applyAlignment="1" applyProtection="1">
      <alignment/>
      <protection locked="0"/>
    </xf>
    <xf numFmtId="0" fontId="2" fillId="6" borderId="58" xfId="0" applyFont="1" applyFill="1" applyBorder="1" applyAlignment="1">
      <alignment horizontal="right"/>
    </xf>
    <xf numFmtId="0" fontId="2" fillId="6" borderId="10" xfId="0" applyFont="1" applyFill="1" applyBorder="1" applyAlignment="1">
      <alignment horizontal="right"/>
    </xf>
    <xf numFmtId="0" fontId="2" fillId="6" borderId="13" xfId="0" applyFont="1" applyFill="1" applyBorder="1" applyAlignment="1">
      <alignment horizontal="right"/>
    </xf>
    <xf numFmtId="0" fontId="2" fillId="6" borderId="10" xfId="27" applyFont="1" applyFill="1" applyBorder="1" applyAlignment="1">
      <alignment horizontal="right"/>
      <protection/>
    </xf>
    <xf numFmtId="0" fontId="7" fillId="6" borderId="31" xfId="0" applyFont="1" applyFill="1" applyBorder="1" applyAlignment="1">
      <alignment/>
    </xf>
    <xf numFmtId="1" fontId="48" fillId="6" borderId="23" xfId="0" applyNumberFormat="1" applyFont="1" applyFill="1" applyBorder="1" applyAlignment="1">
      <alignment horizontal="center"/>
    </xf>
    <xf numFmtId="0" fontId="2" fillId="6" borderId="62" xfId="27" applyFont="1" applyFill="1" applyBorder="1" applyAlignment="1">
      <alignment horizontal="center" wrapText="1"/>
      <protection/>
    </xf>
    <xf numFmtId="0" fontId="2" fillId="6" borderId="15" xfId="27" applyFont="1" applyFill="1" applyBorder="1" applyAlignment="1">
      <alignment horizontal="center"/>
      <protection/>
    </xf>
    <xf numFmtId="0" fontId="2" fillId="6" borderId="6" xfId="27" applyFont="1" applyFill="1" applyBorder="1" applyAlignment="1">
      <alignment horizontal="center" wrapText="1"/>
      <protection/>
    </xf>
    <xf numFmtId="0" fontId="2" fillId="6" borderId="56" xfId="27" applyFont="1" applyFill="1" applyBorder="1" applyAlignment="1">
      <alignment horizontal="center"/>
      <protection/>
    </xf>
    <xf numFmtId="0" fontId="7" fillId="6" borderId="5" xfId="0" applyFont="1" applyFill="1" applyBorder="1" applyAlignment="1">
      <alignment/>
    </xf>
    <xf numFmtId="0" fontId="7" fillId="6" borderId="12" xfId="0" applyFont="1" applyFill="1" applyBorder="1" applyAlignment="1">
      <alignment/>
    </xf>
    <xf numFmtId="165" fontId="7" fillId="2" borderId="18" xfId="0" applyNumberFormat="1" applyFont="1" applyFill="1" applyBorder="1" applyAlignment="1" applyProtection="1">
      <alignment horizontal="center"/>
      <protection locked="0"/>
    </xf>
    <xf numFmtId="165" fontId="7" fillId="2" borderId="68" xfId="0" applyNumberFormat="1" applyFont="1" applyFill="1" applyBorder="1" applyAlignment="1" applyProtection="1">
      <alignment horizontal="center"/>
      <protection locked="0"/>
    </xf>
    <xf numFmtId="2" fontId="7" fillId="2" borderId="9" xfId="0" applyNumberFormat="1" applyFont="1" applyFill="1" applyBorder="1" applyAlignment="1">
      <alignment horizontal="center"/>
    </xf>
    <xf numFmtId="2" fontId="7" fillId="2" borderId="14" xfId="0" applyNumberFormat="1" applyFont="1" applyFill="1" applyBorder="1" applyAlignment="1">
      <alignment horizontal="center"/>
    </xf>
    <xf numFmtId="2" fontId="7" fillId="2" borderId="59" xfId="0" applyNumberFormat="1" applyFont="1" applyFill="1" applyBorder="1" applyAlignment="1">
      <alignment horizontal="center"/>
    </xf>
    <xf numFmtId="2" fontId="7" fillId="2" borderId="11" xfId="0" applyNumberFormat="1" applyFont="1" applyFill="1" applyBorder="1" applyAlignment="1">
      <alignment horizontal="center"/>
    </xf>
    <xf numFmtId="2" fontId="7" fillId="2" borderId="15" xfId="0" applyNumberFormat="1" applyFont="1" applyFill="1" applyBorder="1" applyAlignment="1">
      <alignment horizontal="center"/>
    </xf>
    <xf numFmtId="2" fontId="7" fillId="2" borderId="81" xfId="0" applyNumberFormat="1" applyFont="1" applyFill="1" applyBorder="1" applyAlignment="1">
      <alignment horizontal="center"/>
    </xf>
    <xf numFmtId="2" fontId="7" fillId="2" borderId="61" xfId="0" applyNumberFormat="1" applyFont="1" applyFill="1" applyBorder="1" applyAlignment="1">
      <alignment horizontal="center"/>
    </xf>
    <xf numFmtId="2" fontId="7" fillId="2" borderId="30" xfId="0" applyNumberFormat="1" applyFont="1" applyFill="1" applyBorder="1" applyAlignment="1">
      <alignment horizontal="center"/>
    </xf>
    <xf numFmtId="2" fontId="7" fillId="2" borderId="68" xfId="0" applyNumberFormat="1" applyFont="1" applyFill="1" applyBorder="1" applyAlignment="1">
      <alignment horizontal="center"/>
    </xf>
    <xf numFmtId="0" fontId="2" fillId="2" borderId="44" xfId="0" applyFont="1" applyFill="1" applyBorder="1" applyAlignment="1">
      <alignment horizontal="center"/>
    </xf>
    <xf numFmtId="0" fontId="2" fillId="2" borderId="82" xfId="0" applyFont="1" applyFill="1" applyBorder="1" applyAlignment="1">
      <alignment horizontal="center"/>
    </xf>
    <xf numFmtId="0" fontId="2" fillId="2" borderId="83" xfId="0" applyFont="1" applyFill="1" applyBorder="1" applyAlignment="1">
      <alignment horizontal="center"/>
    </xf>
    <xf numFmtId="0" fontId="2" fillId="2" borderId="56" xfId="0" applyFont="1" applyFill="1" applyBorder="1" applyAlignment="1">
      <alignment horizontal="center"/>
    </xf>
    <xf numFmtId="2" fontId="6" fillId="2" borderId="0" xfId="0" applyNumberFormat="1" applyFont="1" applyFill="1" applyBorder="1" applyAlignment="1" applyProtection="1">
      <alignment horizontal="center"/>
      <protection locked="0"/>
    </xf>
    <xf numFmtId="2" fontId="2" fillId="7" borderId="44" xfId="0" applyNumberFormat="1" applyFont="1" applyFill="1" applyBorder="1" applyAlignment="1" applyProtection="1">
      <alignment horizontal="center"/>
      <protection locked="0"/>
    </xf>
    <xf numFmtId="2" fontId="2" fillId="9" borderId="44" xfId="0" applyNumberFormat="1" applyFont="1" applyFill="1" applyBorder="1" applyAlignment="1" applyProtection="1">
      <alignment horizontal="center"/>
      <protection locked="0"/>
    </xf>
    <xf numFmtId="2" fontId="2" fillId="9" borderId="44" xfId="0" applyNumberFormat="1" applyFont="1" applyFill="1" applyBorder="1" applyAlignment="1" applyProtection="1">
      <alignment horizontal="center" vertical="center"/>
      <protection locked="0"/>
    </xf>
    <xf numFmtId="0" fontId="6" fillId="9" borderId="44" xfId="0" applyFont="1" applyFill="1" applyBorder="1" applyAlignment="1">
      <alignment/>
    </xf>
    <xf numFmtId="2" fontId="2" fillId="9" borderId="46" xfId="0" applyNumberFormat="1" applyFont="1" applyFill="1" applyBorder="1" applyAlignment="1" applyProtection="1">
      <alignment horizontal="center"/>
      <protection locked="0"/>
    </xf>
    <xf numFmtId="2" fontId="2" fillId="7" borderId="46" xfId="0" applyNumberFormat="1" applyFont="1" applyFill="1" applyBorder="1" applyAlignment="1" applyProtection="1">
      <alignment horizontal="center"/>
      <protection locked="0"/>
    </xf>
    <xf numFmtId="0" fontId="46" fillId="2" borderId="0" xfId="0" applyFont="1" applyFill="1" applyBorder="1" applyAlignment="1">
      <alignment vertical="center" wrapText="1"/>
    </xf>
    <xf numFmtId="0" fontId="6" fillId="6" borderId="0" xfId="0" applyFont="1" applyFill="1" applyBorder="1" applyAlignment="1" applyProtection="1">
      <alignment horizontal="center" vertical="center"/>
      <protection/>
    </xf>
    <xf numFmtId="1" fontId="6" fillId="6" borderId="0" xfId="0" applyNumberFormat="1" applyFont="1" applyFill="1" applyBorder="1" applyAlignment="1" applyProtection="1">
      <alignment horizontal="center"/>
      <protection/>
    </xf>
    <xf numFmtId="11" fontId="6" fillId="6" borderId="0" xfId="0" applyNumberFormat="1" applyFont="1" applyFill="1" applyBorder="1" applyAlignment="1" applyProtection="1">
      <alignment horizontal="center"/>
      <protection/>
    </xf>
    <xf numFmtId="1" fontId="6" fillId="6" borderId="10" xfId="0" applyNumberFormat="1" applyFont="1" applyFill="1" applyBorder="1" applyAlignment="1" applyProtection="1">
      <alignment horizontal="center"/>
      <protection/>
    </xf>
    <xf numFmtId="2" fontId="6" fillId="2" borderId="45" xfId="0" applyNumberFormat="1" applyFont="1" applyFill="1" applyBorder="1" applyAlignment="1" applyProtection="1">
      <alignment horizontal="center"/>
      <protection/>
    </xf>
    <xf numFmtId="0" fontId="6" fillId="6" borderId="0" xfId="0" applyFont="1" applyFill="1" applyBorder="1" applyAlignment="1" applyProtection="1">
      <alignment/>
      <protection/>
    </xf>
    <xf numFmtId="2" fontId="6" fillId="6" borderId="0" xfId="0" applyNumberFormat="1" applyFont="1" applyFill="1" applyBorder="1" applyAlignment="1" applyProtection="1">
      <alignment horizontal="center" vertical="center"/>
      <protection/>
    </xf>
    <xf numFmtId="11" fontId="6" fillId="2" borderId="0" xfId="0" applyNumberFormat="1" applyFont="1" applyFill="1" applyBorder="1" applyAlignment="1" applyProtection="1">
      <alignment horizontal="center"/>
      <protection/>
    </xf>
    <xf numFmtId="0" fontId="36" fillId="0" borderId="0" xfId="0" applyFont="1" applyBorder="1" applyAlignment="1" applyProtection="1">
      <alignment/>
      <protection locked="0"/>
    </xf>
    <xf numFmtId="1" fontId="6" fillId="2" borderId="58" xfId="0" applyNumberFormat="1" applyFont="1" applyFill="1" applyBorder="1" applyAlignment="1" applyProtection="1">
      <alignment horizontal="center"/>
      <protection/>
    </xf>
    <xf numFmtId="1" fontId="6" fillId="2" borderId="10" xfId="0" applyNumberFormat="1" applyFont="1" applyFill="1" applyBorder="1" applyAlignment="1" applyProtection="1">
      <alignment horizontal="center"/>
      <protection/>
    </xf>
    <xf numFmtId="1" fontId="6" fillId="2" borderId="19" xfId="0" applyNumberFormat="1" applyFont="1" applyFill="1" applyBorder="1" applyAlignment="1" applyProtection="1">
      <alignment horizontal="center"/>
      <protection/>
    </xf>
    <xf numFmtId="1" fontId="6" fillId="6" borderId="19" xfId="0" applyNumberFormat="1" applyFont="1" applyFill="1" applyBorder="1" applyAlignment="1" applyProtection="1">
      <alignment horizontal="center"/>
      <protection/>
    </xf>
    <xf numFmtId="2" fontId="6" fillId="2" borderId="84" xfId="0" applyNumberFormat="1" applyFont="1" applyFill="1" applyBorder="1" applyAlignment="1" applyProtection="1">
      <alignment horizontal="center"/>
      <protection/>
    </xf>
    <xf numFmtId="2" fontId="6" fillId="2" borderId="48" xfId="0" applyNumberFormat="1" applyFont="1" applyFill="1" applyBorder="1" applyAlignment="1" applyProtection="1">
      <alignment horizontal="center"/>
      <protection/>
    </xf>
    <xf numFmtId="2" fontId="0" fillId="7" borderId="31" xfId="0" applyNumberFormat="1" applyFont="1" applyFill="1" applyBorder="1" applyAlignment="1" applyProtection="1">
      <alignment horizontal="center" vertical="top" wrapText="1"/>
      <protection locked="0"/>
    </xf>
    <xf numFmtId="0" fontId="2" fillId="6" borderId="44" xfId="0" applyFont="1" applyFill="1" applyBorder="1" applyAlignment="1" applyProtection="1">
      <alignment horizontal="center"/>
      <protection locked="0"/>
    </xf>
    <xf numFmtId="2" fontId="6" fillId="3" borderId="9" xfId="0" applyNumberFormat="1" applyFont="1" applyFill="1" applyBorder="1" applyAlignment="1" applyProtection="1">
      <alignment horizontal="center"/>
      <protection/>
    </xf>
    <xf numFmtId="2" fontId="6" fillId="3" borderId="59" xfId="0" applyNumberFormat="1" applyFont="1" applyFill="1" applyBorder="1" applyAlignment="1" applyProtection="1">
      <alignment horizontal="center"/>
      <protection/>
    </xf>
    <xf numFmtId="2" fontId="6" fillId="3" borderId="30" xfId="0" applyNumberFormat="1" applyFont="1" applyFill="1" applyBorder="1" applyAlignment="1" applyProtection="1">
      <alignment horizontal="center"/>
      <protection/>
    </xf>
    <xf numFmtId="2" fontId="6" fillId="3" borderId="68" xfId="0" applyNumberFormat="1" applyFont="1" applyFill="1" applyBorder="1" applyAlignment="1" applyProtection="1">
      <alignment horizontal="center"/>
      <protection/>
    </xf>
    <xf numFmtId="2" fontId="6" fillId="2" borderId="14" xfId="0" applyNumberFormat="1" applyFont="1" applyFill="1" applyBorder="1" applyAlignment="1" applyProtection="1">
      <alignment horizontal="center"/>
      <protection/>
    </xf>
    <xf numFmtId="2" fontId="6" fillId="2" borderId="59" xfId="0" applyNumberFormat="1" applyFont="1" applyFill="1" applyBorder="1" applyAlignment="1" applyProtection="1">
      <alignment horizontal="center"/>
      <protection/>
    </xf>
    <xf numFmtId="2" fontId="6" fillId="2" borderId="30" xfId="0" applyNumberFormat="1" applyFont="1" applyFill="1" applyBorder="1" applyAlignment="1" applyProtection="1">
      <alignment horizontal="center"/>
      <protection/>
    </xf>
    <xf numFmtId="2" fontId="6" fillId="2" borderId="68" xfId="0" applyNumberFormat="1" applyFont="1" applyFill="1" applyBorder="1" applyAlignment="1" applyProtection="1">
      <alignment horizontal="center"/>
      <protection/>
    </xf>
    <xf numFmtId="2" fontId="6" fillId="3" borderId="2" xfId="0" applyNumberFormat="1" applyFont="1" applyFill="1" applyBorder="1" applyAlignment="1" applyProtection="1">
      <alignment horizontal="center"/>
      <protection/>
    </xf>
    <xf numFmtId="2" fontId="6" fillId="3" borderId="29" xfId="0" applyNumberFormat="1" applyFont="1" applyFill="1" applyBorder="1" applyAlignment="1" applyProtection="1">
      <alignment horizontal="center"/>
      <protection/>
    </xf>
    <xf numFmtId="0" fontId="6" fillId="16" borderId="66" xfId="0" applyFont="1" applyFill="1" applyBorder="1" applyAlignment="1" applyProtection="1">
      <alignment horizontal="center"/>
      <protection/>
    </xf>
    <xf numFmtId="0" fontId="6" fillId="16" borderId="17" xfId="0" applyFont="1" applyFill="1" applyBorder="1" applyAlignment="1" applyProtection="1">
      <alignment horizontal="center"/>
      <protection/>
    </xf>
    <xf numFmtId="0" fontId="6" fillId="16" borderId="65" xfId="0" applyFont="1" applyFill="1" applyBorder="1" applyAlignment="1" applyProtection="1">
      <alignment horizontal="center"/>
      <protection/>
    </xf>
    <xf numFmtId="0" fontId="6" fillId="6" borderId="0" xfId="0" applyFont="1" applyFill="1" applyBorder="1" applyAlignment="1" applyProtection="1">
      <alignment horizontal="center"/>
      <protection/>
    </xf>
    <xf numFmtId="0" fontId="6" fillId="15" borderId="11" xfId="0" applyFont="1" applyFill="1" applyBorder="1" applyAlignment="1" applyProtection="1">
      <alignment horizontal="right"/>
      <protection/>
    </xf>
    <xf numFmtId="0" fontId="6" fillId="15" borderId="13" xfId="0" applyFont="1" applyFill="1" applyBorder="1" applyAlignment="1" applyProtection="1">
      <alignment horizontal="left"/>
      <protection/>
    </xf>
    <xf numFmtId="0" fontId="6" fillId="15" borderId="11" xfId="0" applyFont="1" applyFill="1" applyBorder="1" applyAlignment="1" applyProtection="1">
      <alignment/>
      <protection/>
    </xf>
    <xf numFmtId="0" fontId="6" fillId="15" borderId="56" xfId="0" applyFont="1" applyFill="1" applyBorder="1" applyAlignment="1" applyProtection="1">
      <alignment/>
      <protection/>
    </xf>
    <xf numFmtId="0" fontId="6" fillId="15" borderId="66" xfId="0" applyFont="1" applyFill="1" applyBorder="1" applyAlignment="1" applyProtection="1">
      <alignment horizontal="center"/>
      <protection/>
    </xf>
    <xf numFmtId="0" fontId="6" fillId="15" borderId="73" xfId="0" applyFont="1" applyFill="1" applyBorder="1" applyAlignment="1" applyProtection="1">
      <alignment horizontal="center"/>
      <protection/>
    </xf>
    <xf numFmtId="0" fontId="6" fillId="15" borderId="67" xfId="0" applyFont="1" applyFill="1" applyBorder="1" applyAlignment="1" applyProtection="1">
      <alignment horizontal="center"/>
      <protection/>
    </xf>
    <xf numFmtId="2" fontId="6" fillId="3" borderId="0" xfId="0" applyNumberFormat="1" applyFont="1" applyFill="1" applyBorder="1" applyAlignment="1" applyProtection="1">
      <alignment horizontal="center"/>
      <protection/>
    </xf>
    <xf numFmtId="2" fontId="6" fillId="2" borderId="69" xfId="0" applyNumberFormat="1" applyFont="1" applyFill="1" applyBorder="1" applyAlignment="1" applyProtection="1">
      <alignment horizontal="center"/>
      <protection/>
    </xf>
    <xf numFmtId="2" fontId="6" fillId="2" borderId="71" xfId="0" applyNumberFormat="1" applyFont="1" applyFill="1" applyBorder="1" applyAlignment="1" applyProtection="1">
      <alignment horizontal="center"/>
      <protection/>
    </xf>
    <xf numFmtId="2" fontId="6" fillId="3" borderId="61" xfId="0" applyNumberFormat="1" applyFont="1" applyFill="1" applyBorder="1" applyAlignment="1" applyProtection="1">
      <alignment horizontal="center"/>
      <protection/>
    </xf>
    <xf numFmtId="0" fontId="6" fillId="15" borderId="11" xfId="0" applyFont="1" applyFill="1" applyBorder="1" applyAlignment="1" applyProtection="1">
      <alignment horizontal="center"/>
      <protection/>
    </xf>
    <xf numFmtId="0" fontId="6" fillId="6" borderId="0" xfId="0" applyFont="1" applyFill="1" applyBorder="1" applyAlignment="1" applyProtection="1">
      <alignment/>
      <protection/>
    </xf>
    <xf numFmtId="2" fontId="6" fillId="6" borderId="0" xfId="0" applyNumberFormat="1" applyFont="1" applyFill="1" applyBorder="1" applyAlignment="1" applyProtection="1">
      <alignment horizontal="center"/>
      <protection/>
    </xf>
    <xf numFmtId="0" fontId="6" fillId="16" borderId="16" xfId="0" applyFont="1" applyFill="1" applyBorder="1" applyAlignment="1" applyProtection="1">
      <alignment horizontal="center"/>
      <protection/>
    </xf>
    <xf numFmtId="0" fontId="6" fillId="15" borderId="16" xfId="0" applyFont="1" applyFill="1" applyBorder="1" applyAlignment="1" applyProtection="1">
      <alignment horizontal="center"/>
      <protection/>
    </xf>
    <xf numFmtId="0" fontId="6" fillId="15" borderId="57" xfId="0" applyFont="1" applyFill="1" applyBorder="1" applyAlignment="1" applyProtection="1">
      <alignment horizontal="center"/>
      <protection/>
    </xf>
    <xf numFmtId="1" fontId="6" fillId="16" borderId="72" xfId="0" applyNumberFormat="1" applyFont="1" applyFill="1" applyBorder="1" applyAlignment="1" applyProtection="1">
      <alignment horizontal="center"/>
      <protection/>
    </xf>
    <xf numFmtId="1" fontId="6" fillId="16" borderId="72" xfId="0" applyNumberFormat="1" applyFont="1" applyFill="1" applyBorder="1" applyAlignment="1" applyProtection="1">
      <alignment horizontal="center"/>
      <protection/>
    </xf>
    <xf numFmtId="0" fontId="2" fillId="15" borderId="22" xfId="0" applyFont="1" applyFill="1" applyBorder="1" applyAlignment="1" applyProtection="1">
      <alignment/>
      <protection/>
    </xf>
    <xf numFmtId="0" fontId="0" fillId="15" borderId="23" xfId="0" applyFill="1" applyBorder="1" applyAlignment="1" applyProtection="1">
      <alignment/>
      <protection/>
    </xf>
    <xf numFmtId="0" fontId="0" fillId="15" borderId="28" xfId="0" applyFill="1" applyBorder="1" applyAlignment="1" applyProtection="1">
      <alignment/>
      <protection/>
    </xf>
    <xf numFmtId="0" fontId="6" fillId="2" borderId="22" xfId="0" applyFont="1" applyFill="1" applyBorder="1" applyAlignment="1" applyProtection="1">
      <alignment horizontal="center"/>
      <protection/>
    </xf>
    <xf numFmtId="0" fontId="6" fillId="2" borderId="23" xfId="0" applyFont="1" applyFill="1" applyBorder="1" applyAlignment="1" applyProtection="1">
      <alignment horizontal="center"/>
      <protection/>
    </xf>
    <xf numFmtId="0" fontId="0" fillId="2" borderId="28" xfId="0" applyFill="1" applyBorder="1" applyAlignment="1" applyProtection="1">
      <alignment/>
      <protection/>
    </xf>
    <xf numFmtId="0" fontId="6" fillId="2" borderId="85" xfId="0" applyFont="1" applyFill="1" applyBorder="1" applyAlignment="1" applyProtection="1">
      <alignment horizontal="center"/>
      <protection/>
    </xf>
    <xf numFmtId="1" fontId="6" fillId="2" borderId="0" xfId="0" applyNumberFormat="1" applyFont="1" applyFill="1" applyBorder="1" applyAlignment="1" applyProtection="1">
      <alignment horizontal="center"/>
      <protection/>
    </xf>
    <xf numFmtId="0" fontId="6" fillId="2" borderId="52" xfId="0" applyFont="1" applyFill="1" applyBorder="1" applyAlignment="1" applyProtection="1">
      <alignment horizontal="center"/>
      <protection/>
    </xf>
    <xf numFmtId="0" fontId="6" fillId="2" borderId="53" xfId="0" applyFont="1" applyFill="1" applyBorder="1" applyAlignment="1" applyProtection="1">
      <alignment horizontal="center"/>
      <protection/>
    </xf>
    <xf numFmtId="0" fontId="6" fillId="2" borderId="12"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6" fillId="2" borderId="60" xfId="0" applyFont="1" applyFill="1" applyBorder="1" applyAlignment="1" applyProtection="1">
      <alignment horizontal="center"/>
      <protection/>
    </xf>
    <xf numFmtId="0" fontId="6" fillId="2" borderId="2" xfId="0" applyFont="1" applyFill="1" applyBorder="1" applyAlignment="1" applyProtection="1">
      <alignment horizontal="center"/>
      <protection/>
    </xf>
    <xf numFmtId="0" fontId="2" fillId="15" borderId="4" xfId="0" applyFont="1" applyFill="1" applyBorder="1" applyAlignment="1" applyProtection="1">
      <alignment/>
      <protection/>
    </xf>
    <xf numFmtId="0" fontId="2" fillId="15" borderId="5" xfId="0" applyFont="1" applyFill="1" applyBorder="1" applyAlignment="1" applyProtection="1">
      <alignment/>
      <protection/>
    </xf>
    <xf numFmtId="0" fontId="0" fillId="15" borderId="6" xfId="0" applyFill="1" applyBorder="1" applyAlignment="1" applyProtection="1">
      <alignment/>
      <protection/>
    </xf>
    <xf numFmtId="0" fontId="6" fillId="15" borderId="21" xfId="0" applyFont="1" applyFill="1" applyBorder="1" applyAlignment="1" applyProtection="1">
      <alignment horizontal="center"/>
      <protection/>
    </xf>
    <xf numFmtId="0" fontId="0" fillId="15" borderId="0" xfId="0" applyFill="1" applyBorder="1" applyAlignment="1" applyProtection="1">
      <alignment/>
      <protection/>
    </xf>
    <xf numFmtId="0" fontId="0" fillId="15" borderId="18" xfId="0" applyFill="1" applyBorder="1" applyAlignment="1" applyProtection="1">
      <alignment/>
      <protection/>
    </xf>
    <xf numFmtId="0" fontId="0" fillId="6" borderId="51" xfId="0" applyFill="1" applyBorder="1" applyAlignment="1" applyProtection="1">
      <alignment/>
      <protection/>
    </xf>
    <xf numFmtId="0" fontId="0" fillId="6" borderId="40" xfId="0" applyFill="1" applyBorder="1" applyAlignment="1" applyProtection="1">
      <alignment/>
      <protection/>
    </xf>
    <xf numFmtId="0" fontId="6" fillId="6" borderId="86" xfId="0" applyFont="1" applyFill="1" applyBorder="1" applyAlignment="1" applyProtection="1">
      <alignment horizontal="center"/>
      <protection/>
    </xf>
    <xf numFmtId="0" fontId="6" fillId="6" borderId="21" xfId="0" applyFont="1" applyFill="1" applyBorder="1" applyAlignment="1" applyProtection="1">
      <alignment horizontal="center"/>
      <protection/>
    </xf>
    <xf numFmtId="2" fontId="6" fillId="6" borderId="0" xfId="0" applyNumberFormat="1" applyFont="1" applyFill="1" applyBorder="1" applyAlignment="1" applyProtection="1">
      <alignment horizontal="center"/>
      <protection/>
    </xf>
    <xf numFmtId="2" fontId="0" fillId="6" borderId="18" xfId="0" applyNumberFormat="1" applyFill="1" applyBorder="1" applyAlignment="1" applyProtection="1">
      <alignment/>
      <protection/>
    </xf>
    <xf numFmtId="0" fontId="2" fillId="6" borderId="50" xfId="0" applyFont="1" applyFill="1" applyBorder="1" applyAlignment="1" applyProtection="1">
      <alignment/>
      <protection/>
    </xf>
    <xf numFmtId="0" fontId="6" fillId="6" borderId="63" xfId="0" applyFont="1" applyFill="1" applyBorder="1" applyAlignment="1" applyProtection="1">
      <alignment horizontal="center"/>
      <protection/>
    </xf>
    <xf numFmtId="0" fontId="0" fillId="6" borderId="56" xfId="0" applyFill="1" applyBorder="1" applyAlignment="1" applyProtection="1">
      <alignment/>
      <protection/>
    </xf>
    <xf numFmtId="2" fontId="6" fillId="6" borderId="18" xfId="0" applyNumberFormat="1" applyFont="1" applyFill="1" applyBorder="1" applyAlignment="1" applyProtection="1">
      <alignment horizontal="center"/>
      <protection/>
    </xf>
    <xf numFmtId="2" fontId="6" fillId="6" borderId="56" xfId="0" applyNumberFormat="1" applyFont="1" applyFill="1" applyBorder="1" applyAlignment="1" applyProtection="1">
      <alignment horizontal="center"/>
      <protection/>
    </xf>
    <xf numFmtId="0" fontId="6" fillId="6" borderId="7" xfId="0" applyFont="1" applyFill="1" applyBorder="1" applyAlignment="1" applyProtection="1">
      <alignment horizontal="center"/>
      <protection/>
    </xf>
    <xf numFmtId="2" fontId="6" fillId="6" borderId="8" xfId="0" applyNumberFormat="1" applyFont="1" applyFill="1" applyBorder="1" applyAlignment="1" applyProtection="1">
      <alignment horizontal="center"/>
      <protection/>
    </xf>
    <xf numFmtId="2" fontId="2" fillId="2" borderId="16" xfId="0" applyNumberFormat="1" applyFont="1" applyFill="1" applyBorder="1" applyAlignment="1" applyProtection="1">
      <alignment horizontal="center"/>
      <protection/>
    </xf>
    <xf numFmtId="2" fontId="2" fillId="2" borderId="87" xfId="0" applyNumberFormat="1" applyFont="1" applyFill="1" applyBorder="1" applyAlignment="1" applyProtection="1">
      <alignment horizontal="center"/>
      <protection/>
    </xf>
    <xf numFmtId="2" fontId="2" fillId="2" borderId="27" xfId="0" applyNumberFormat="1" applyFont="1" applyFill="1" applyBorder="1" applyAlignment="1" applyProtection="1">
      <alignment horizontal="center"/>
      <protection/>
    </xf>
    <xf numFmtId="2" fontId="2" fillId="2" borderId="18" xfId="0" applyNumberFormat="1" applyFont="1" applyFill="1" applyBorder="1" applyAlignment="1" applyProtection="1">
      <alignment horizontal="center"/>
      <protection/>
    </xf>
    <xf numFmtId="2" fontId="2" fillId="2" borderId="14" xfId="0" applyNumberFormat="1" applyFont="1" applyFill="1" applyBorder="1" applyAlignment="1" applyProtection="1">
      <alignment horizontal="center"/>
      <protection/>
    </xf>
    <xf numFmtId="2" fontId="2" fillId="2" borderId="88" xfId="0" applyNumberFormat="1" applyFont="1" applyFill="1" applyBorder="1" applyAlignment="1" applyProtection="1">
      <alignment horizontal="center"/>
      <protection/>
    </xf>
    <xf numFmtId="2" fontId="2" fillId="2" borderId="89" xfId="0" applyNumberFormat="1" applyFont="1" applyFill="1" applyBorder="1" applyAlignment="1" applyProtection="1">
      <alignment horizontal="center"/>
      <protection/>
    </xf>
    <xf numFmtId="2" fontId="2" fillId="2" borderId="15" xfId="0" applyNumberFormat="1" applyFont="1" applyFill="1" applyBorder="1" applyAlignment="1" applyProtection="1">
      <alignment horizontal="center"/>
      <protection/>
    </xf>
    <xf numFmtId="2" fontId="2" fillId="2" borderId="82" xfId="0" applyNumberFormat="1" applyFont="1" applyFill="1" applyBorder="1" applyAlignment="1" applyProtection="1">
      <alignment horizontal="center"/>
      <protection/>
    </xf>
    <xf numFmtId="2" fontId="2" fillId="2" borderId="90" xfId="0" applyNumberFormat="1" applyFont="1" applyFill="1" applyBorder="1" applyAlignment="1" applyProtection="1">
      <alignment horizontal="center"/>
      <protection/>
    </xf>
    <xf numFmtId="2" fontId="2" fillId="2" borderId="56" xfId="0" applyNumberFormat="1" applyFont="1" applyFill="1" applyBorder="1" applyAlignment="1" applyProtection="1">
      <alignment horizontal="center"/>
      <protection/>
    </xf>
    <xf numFmtId="2" fontId="2" fillId="2" borderId="30" xfId="0" applyNumberFormat="1" applyFont="1" applyFill="1" applyBorder="1" applyAlignment="1" applyProtection="1">
      <alignment horizontal="center"/>
      <protection/>
    </xf>
    <xf numFmtId="2" fontId="2" fillId="2" borderId="91" xfId="0" applyNumberFormat="1" applyFont="1" applyFill="1" applyBorder="1" applyAlignment="1" applyProtection="1">
      <alignment horizontal="center"/>
      <protection/>
    </xf>
    <xf numFmtId="2" fontId="2" fillId="2" borderId="92" xfId="0" applyNumberFormat="1" applyFont="1" applyFill="1" applyBorder="1" applyAlignment="1" applyProtection="1">
      <alignment horizontal="center"/>
      <protection/>
    </xf>
    <xf numFmtId="2" fontId="2" fillId="2" borderId="68" xfId="0" applyNumberFormat="1" applyFont="1" applyFill="1" applyBorder="1" applyAlignment="1" applyProtection="1">
      <alignment horizontal="center"/>
      <protection/>
    </xf>
    <xf numFmtId="0" fontId="2" fillId="6" borderId="44" xfId="0" applyFont="1" applyFill="1" applyBorder="1" applyAlignment="1">
      <alignment horizontal="center"/>
    </xf>
    <xf numFmtId="0" fontId="11" fillId="2" borderId="63" xfId="0" applyFont="1" applyFill="1" applyBorder="1" applyAlignment="1" applyProtection="1">
      <alignment horizontal="center" vertical="center"/>
      <protection/>
    </xf>
    <xf numFmtId="0" fontId="49" fillId="9" borderId="44" xfId="0" applyFont="1" applyFill="1" applyBorder="1" applyAlignment="1" applyProtection="1">
      <alignment horizontal="center" vertical="center"/>
      <protection locked="0"/>
    </xf>
    <xf numFmtId="0" fontId="6" fillId="9" borderId="44" xfId="0" applyFont="1" applyFill="1" applyBorder="1" applyAlignment="1" applyProtection="1">
      <alignment horizontal="center" vertical="center"/>
      <protection locked="0"/>
    </xf>
    <xf numFmtId="0" fontId="0" fillId="2" borderId="93" xfId="0" applyFill="1" applyBorder="1" applyAlignment="1" applyProtection="1">
      <alignment vertical="top"/>
      <protection locked="0"/>
    </xf>
    <xf numFmtId="173" fontId="0" fillId="2" borderId="93" xfId="0" applyNumberFormat="1" applyFill="1" applyBorder="1" applyAlignment="1">
      <alignment horizontal="left"/>
    </xf>
    <xf numFmtId="0" fontId="0" fillId="2" borderId="93" xfId="0" applyFill="1" applyBorder="1" applyAlignment="1" applyProtection="1">
      <alignment horizontal="left" vertical="top" wrapText="1"/>
      <protection locked="0"/>
    </xf>
    <xf numFmtId="0" fontId="42" fillId="2" borderId="25" xfId="0" applyFont="1" applyFill="1" applyBorder="1" applyAlignment="1">
      <alignment vertical="top"/>
    </xf>
    <xf numFmtId="0" fontId="0" fillId="2" borderId="26" xfId="0" applyFill="1" applyBorder="1" applyAlignment="1">
      <alignment vertical="top"/>
    </xf>
    <xf numFmtId="0" fontId="6" fillId="2" borderId="9" xfId="0" applyFont="1" applyFill="1" applyBorder="1" applyAlignment="1">
      <alignment vertical="top"/>
    </xf>
    <xf numFmtId="0" fontId="0" fillId="2" borderId="0" xfId="0" applyFill="1" applyBorder="1" applyAlignment="1">
      <alignment vertical="top"/>
    </xf>
    <xf numFmtId="0" fontId="0" fillId="2" borderId="10" xfId="0" applyFill="1" applyBorder="1" applyAlignment="1">
      <alignment/>
    </xf>
    <xf numFmtId="0" fontId="11" fillId="2" borderId="9" xfId="0" applyFont="1" applyFill="1" applyBorder="1" applyAlignment="1">
      <alignment vertical="top"/>
    </xf>
    <xf numFmtId="0" fontId="11" fillId="2" borderId="9" xfId="0" applyFont="1" applyFill="1" applyBorder="1" applyAlignment="1">
      <alignment vertical="top"/>
    </xf>
    <xf numFmtId="0" fontId="0" fillId="2" borderId="9" xfId="0" applyFill="1" applyBorder="1" applyAlignment="1">
      <alignment/>
    </xf>
    <xf numFmtId="0" fontId="0" fillId="2" borderId="11" xfId="0" applyFill="1" applyBorder="1" applyAlignment="1">
      <alignment/>
    </xf>
    <xf numFmtId="0" fontId="2" fillId="2" borderId="12" xfId="0" applyFont="1" applyFill="1" applyBorder="1" applyAlignment="1">
      <alignment wrapText="1"/>
    </xf>
    <xf numFmtId="0" fontId="0" fillId="2" borderId="13" xfId="0" applyFill="1" applyBorder="1" applyAlignment="1">
      <alignment/>
    </xf>
    <xf numFmtId="0" fontId="0" fillId="2" borderId="0" xfId="0" applyFont="1" applyFill="1" applyAlignment="1" applyProtection="1">
      <alignment/>
      <protection locked="0"/>
    </xf>
    <xf numFmtId="0" fontId="22" fillId="2" borderId="74" xfId="0" applyFont="1" applyFill="1" applyBorder="1" applyAlignment="1" applyProtection="1">
      <alignment/>
      <protection/>
    </xf>
    <xf numFmtId="0" fontId="22" fillId="2" borderId="0" xfId="0" applyFont="1" applyFill="1" applyAlignment="1" applyProtection="1">
      <alignment/>
      <protection/>
    </xf>
    <xf numFmtId="0" fontId="6" fillId="2" borderId="15" xfId="0" applyFont="1" applyFill="1" applyBorder="1" applyAlignment="1">
      <alignment/>
    </xf>
    <xf numFmtId="0" fontId="6" fillId="6" borderId="52" xfId="0" applyFont="1" applyFill="1" applyBorder="1" applyAlignment="1" applyProtection="1">
      <alignment horizontal="center"/>
      <protection/>
    </xf>
    <xf numFmtId="1" fontId="0" fillId="7" borderId="31" xfId="0" applyNumberFormat="1" applyFont="1" applyFill="1" applyBorder="1" applyAlignment="1" applyProtection="1">
      <alignment horizontal="center" vertical="top" wrapText="1"/>
      <protection locked="0"/>
    </xf>
    <xf numFmtId="1" fontId="0" fillId="7" borderId="44" xfId="0" applyNumberFormat="1" applyFont="1" applyFill="1" applyBorder="1" applyAlignment="1" applyProtection="1">
      <alignment horizontal="center" vertical="top" wrapText="1"/>
      <protection locked="0"/>
    </xf>
    <xf numFmtId="0" fontId="2" fillId="15" borderId="21" xfId="0" applyFont="1" applyFill="1" applyBorder="1" applyAlignment="1">
      <alignment/>
    </xf>
    <xf numFmtId="0" fontId="0" fillId="0" borderId="0" xfId="0" applyBorder="1" applyAlignment="1">
      <alignment/>
    </xf>
    <xf numFmtId="0" fontId="6" fillId="19" borderId="94" xfId="0" applyFont="1" applyFill="1" applyBorder="1" applyAlignment="1" applyProtection="1">
      <alignment horizontal="center" vertical="center"/>
      <protection locked="0"/>
    </xf>
    <xf numFmtId="0" fontId="0" fillId="19" borderId="40" xfId="0" applyFont="1" applyFill="1" applyBorder="1" applyAlignment="1" applyProtection="1">
      <alignment horizontal="center" vertical="center"/>
      <protection locked="0"/>
    </xf>
    <xf numFmtId="0" fontId="49" fillId="2" borderId="45" xfId="0" applyFont="1" applyFill="1" applyBorder="1" applyAlignment="1" applyProtection="1">
      <alignment horizontal="left" vertical="center" wrapText="1"/>
      <protection/>
    </xf>
    <xf numFmtId="0" fontId="0" fillId="0" borderId="44" xfId="0" applyBorder="1" applyAlignment="1">
      <alignment/>
    </xf>
    <xf numFmtId="0" fontId="2" fillId="15" borderId="12" xfId="0" applyFont="1" applyFill="1" applyBorder="1" applyAlignment="1">
      <alignment wrapText="1"/>
    </xf>
    <xf numFmtId="0" fontId="7" fillId="15" borderId="12" xfId="0" applyFont="1" applyFill="1" applyBorder="1" applyAlignment="1">
      <alignment wrapText="1"/>
    </xf>
    <xf numFmtId="0" fontId="7" fillId="0" borderId="12" xfId="0" applyFont="1" applyBorder="1" applyAlignment="1">
      <alignment wrapText="1"/>
    </xf>
    <xf numFmtId="0" fontId="0" fillId="2" borderId="2" xfId="0" applyFill="1" applyBorder="1" applyAlignment="1" applyProtection="1">
      <alignment wrapText="1"/>
      <protection/>
    </xf>
    <xf numFmtId="0" fontId="0" fillId="2" borderId="8" xfId="0" applyFill="1" applyBorder="1" applyAlignment="1">
      <alignment horizontal="right"/>
    </xf>
    <xf numFmtId="0" fontId="32" fillId="2" borderId="2" xfId="0" applyFont="1" applyFill="1" applyBorder="1" applyAlignment="1" applyProtection="1">
      <alignment horizontal="left" vertical="center" wrapText="1"/>
      <protection/>
    </xf>
    <xf numFmtId="0" fontId="0" fillId="2" borderId="0" xfId="0" applyFill="1" applyBorder="1" applyAlignment="1" applyProtection="1">
      <alignment horizontal="left" vertical="center" wrapText="1"/>
      <protection/>
    </xf>
    <xf numFmtId="0" fontId="6" fillId="6" borderId="0" xfId="0" applyFont="1" applyFill="1" applyAlignment="1" applyProtection="1">
      <alignment horizontal="center" vertical="center"/>
      <protection/>
    </xf>
    <xf numFmtId="0" fontId="0" fillId="2" borderId="0" xfId="0" applyFill="1" applyAlignment="1" applyProtection="1">
      <alignment horizontal="center" vertical="center"/>
      <protection/>
    </xf>
    <xf numFmtId="10" fontId="6" fillId="18" borderId="25" xfId="0" applyNumberFormat="1" applyFont="1" applyFill="1" applyBorder="1" applyAlignment="1" applyProtection="1">
      <alignment horizontal="center"/>
      <protection locked="0"/>
    </xf>
    <xf numFmtId="10" fontId="6" fillId="19" borderId="57" xfId="0" applyNumberFormat="1" applyFont="1" applyFill="1" applyBorder="1" applyAlignment="1" applyProtection="1">
      <alignment horizontal="center"/>
      <protection locked="0"/>
    </xf>
    <xf numFmtId="0" fontId="6" fillId="2" borderId="7" xfId="0" applyFont="1" applyFill="1" applyBorder="1" applyAlignment="1">
      <alignment horizontal="right"/>
    </xf>
    <xf numFmtId="0" fontId="0" fillId="2" borderId="0" xfId="0" applyFill="1" applyBorder="1" applyAlignment="1" applyProtection="1">
      <alignment/>
      <protection/>
    </xf>
    <xf numFmtId="0" fontId="32" fillId="2" borderId="0" xfId="0" applyFont="1" applyFill="1" applyBorder="1" applyAlignment="1" applyProtection="1">
      <alignment horizontal="left" vertical="center" wrapText="1"/>
      <protection/>
    </xf>
    <xf numFmtId="0" fontId="32" fillId="2" borderId="5" xfId="0" applyFont="1" applyFill="1" applyBorder="1" applyAlignment="1" applyProtection="1">
      <alignment horizontal="left" vertical="center" wrapText="1"/>
      <protection/>
    </xf>
    <xf numFmtId="0" fontId="0" fillId="2" borderId="5" xfId="0" applyFill="1" applyBorder="1" applyAlignment="1" applyProtection="1">
      <alignment horizontal="left" vertical="center" wrapText="1"/>
      <protection/>
    </xf>
    <xf numFmtId="0" fontId="0" fillId="0" borderId="0" xfId="0" applyFill="1" applyAlignment="1">
      <alignment wrapText="1"/>
    </xf>
    <xf numFmtId="0" fontId="0" fillId="0" borderId="5" xfId="0" applyBorder="1" applyAlignment="1">
      <alignment horizontal="center"/>
    </xf>
    <xf numFmtId="14" fontId="6" fillId="0" borderId="0" xfId="0" applyNumberFormat="1" applyFont="1" applyFill="1" applyAlignment="1">
      <alignment vertical="center"/>
    </xf>
    <xf numFmtId="0" fontId="0" fillId="0" borderId="0" xfId="0" applyAlignment="1">
      <alignment vertical="center"/>
    </xf>
    <xf numFmtId="0" fontId="0" fillId="0" borderId="0" xfId="0" applyNumberFormat="1" applyFill="1" applyAlignment="1">
      <alignment wrapText="1"/>
    </xf>
    <xf numFmtId="0" fontId="0" fillId="0" borderId="0" xfId="0" applyAlignment="1">
      <alignment wrapText="1"/>
    </xf>
    <xf numFmtId="172" fontId="6" fillId="4" borderId="2" xfId="0" applyNumberFormat="1" applyFont="1" applyFill="1" applyBorder="1" applyAlignment="1">
      <alignment horizontal="center"/>
    </xf>
    <xf numFmtId="0" fontId="6" fillId="0" borderId="2" xfId="0" applyFont="1" applyBorder="1" applyAlignment="1">
      <alignment horizontal="center"/>
    </xf>
    <xf numFmtId="0" fontId="11" fillId="4" borderId="5" xfId="0" applyFont="1" applyFill="1" applyBorder="1" applyAlignment="1">
      <alignment horizontal="center"/>
    </xf>
    <xf numFmtId="0" fontId="6" fillId="18" borderId="31" xfId="0" applyFont="1" applyFill="1" applyBorder="1" applyAlignment="1" applyProtection="1">
      <alignment horizontal="center"/>
      <protection locked="0"/>
    </xf>
    <xf numFmtId="0" fontId="6" fillId="19" borderId="95" xfId="0" applyFont="1" applyFill="1" applyBorder="1" applyAlignment="1" applyProtection="1">
      <alignment horizontal="center"/>
      <protection locked="0"/>
    </xf>
    <xf numFmtId="0" fontId="6" fillId="16" borderId="94" xfId="0" applyFont="1" applyFill="1" applyBorder="1" applyAlignment="1" applyProtection="1">
      <alignment horizontal="center"/>
      <protection locked="0"/>
    </xf>
    <xf numFmtId="0" fontId="0" fillId="15" borderId="51" xfId="0" applyFill="1" applyBorder="1" applyAlignment="1">
      <alignment horizontal="center"/>
    </xf>
    <xf numFmtId="0" fontId="0" fillId="0" borderId="51" xfId="0" applyBorder="1" applyAlignment="1">
      <alignment/>
    </xf>
    <xf numFmtId="0" fontId="0" fillId="0" borderId="96" xfId="0" applyBorder="1" applyAlignment="1">
      <alignment/>
    </xf>
    <xf numFmtId="0" fontId="7" fillId="15" borderId="0" xfId="0" applyFont="1" applyFill="1" applyAlignment="1" applyProtection="1">
      <alignment/>
      <protection/>
    </xf>
    <xf numFmtId="0" fontId="11" fillId="0" borderId="0" xfId="0" applyFont="1" applyBorder="1" applyAlignment="1" applyProtection="1">
      <alignment vertical="center"/>
      <protection locked="0"/>
    </xf>
    <xf numFmtId="0" fontId="11" fillId="0" borderId="0" xfId="0" applyFont="1" applyBorder="1" applyAlignment="1">
      <alignment vertical="center"/>
    </xf>
    <xf numFmtId="0" fontId="11" fillId="0" borderId="2" xfId="0" applyFont="1" applyBorder="1" applyAlignment="1">
      <alignment vertical="center"/>
    </xf>
    <xf numFmtId="0" fontId="13" fillId="15" borderId="55" xfId="0" applyFont="1" applyFill="1" applyBorder="1" applyAlignment="1" applyProtection="1">
      <alignment vertical="center"/>
      <protection/>
    </xf>
    <xf numFmtId="0" fontId="14" fillId="15" borderId="53" xfId="0" applyFont="1" applyFill="1" applyBorder="1" applyAlignment="1" applyProtection="1">
      <alignment vertical="center"/>
      <protection/>
    </xf>
    <xf numFmtId="0" fontId="6" fillId="2" borderId="0" xfId="0" applyFont="1" applyFill="1" applyBorder="1" applyAlignment="1" applyProtection="1">
      <alignment horizontal="right"/>
      <protection/>
    </xf>
    <xf numFmtId="0" fontId="0" fillId="2" borderId="10" xfId="0" applyFill="1" applyBorder="1" applyAlignment="1" applyProtection="1">
      <alignment/>
      <protection/>
    </xf>
    <xf numFmtId="0" fontId="6" fillId="2" borderId="2" xfId="0" applyFont="1" applyFill="1" applyBorder="1" applyAlignment="1" applyProtection="1">
      <alignment horizontal="right"/>
      <protection/>
    </xf>
    <xf numFmtId="0" fontId="0" fillId="2" borderId="19" xfId="0" applyFill="1" applyBorder="1" applyAlignment="1" applyProtection="1">
      <alignment/>
      <protection/>
    </xf>
    <xf numFmtId="0" fontId="13" fillId="2" borderId="4" xfId="0" applyFont="1" applyFill="1" applyBorder="1" applyAlignment="1" applyProtection="1">
      <alignment vertical="center"/>
      <protection/>
    </xf>
    <xf numFmtId="0" fontId="0" fillId="2" borderId="21" xfId="0" applyFill="1" applyBorder="1" applyAlignment="1" applyProtection="1">
      <alignment vertical="center"/>
      <protection/>
    </xf>
    <xf numFmtId="0" fontId="0" fillId="2" borderId="7" xfId="0" applyFill="1" applyBorder="1" applyAlignment="1" applyProtection="1">
      <alignment vertical="center"/>
      <protection/>
    </xf>
    <xf numFmtId="0" fontId="6" fillId="2" borderId="5" xfId="0" applyFont="1" applyFill="1" applyBorder="1" applyAlignment="1" applyProtection="1">
      <alignment horizontal="right"/>
      <protection/>
    </xf>
    <xf numFmtId="0" fontId="0" fillId="2" borderId="58" xfId="0" applyFill="1" applyBorder="1" applyAlignment="1" applyProtection="1">
      <alignment/>
      <protection/>
    </xf>
    <xf numFmtId="0" fontId="6" fillId="2" borderId="64" xfId="0" applyFont="1" applyFill="1" applyBorder="1" applyAlignment="1" applyProtection="1">
      <alignment horizontal="center" vertical="center"/>
      <protection/>
    </xf>
    <xf numFmtId="0" fontId="0" fillId="2" borderId="6" xfId="0" applyFont="1" applyFill="1" applyBorder="1" applyAlignment="1" applyProtection="1">
      <alignment horizontal="center" vertical="center"/>
      <protection/>
    </xf>
    <xf numFmtId="0" fontId="6" fillId="6" borderId="9" xfId="0" applyFont="1" applyFill="1" applyBorder="1" applyAlignment="1" applyProtection="1">
      <alignment horizontal="center"/>
      <protection/>
    </xf>
    <xf numFmtId="0" fontId="6" fillId="2" borderId="18" xfId="0" applyFont="1" applyFill="1" applyBorder="1" applyAlignment="1" applyProtection="1">
      <alignment horizontal="center"/>
      <protection/>
    </xf>
    <xf numFmtId="0" fontId="6" fillId="0" borderId="2" xfId="0" applyFont="1" applyFill="1" applyBorder="1" applyAlignment="1" applyProtection="1">
      <alignment horizontal="center"/>
      <protection/>
    </xf>
    <xf numFmtId="0" fontId="6" fillId="2" borderId="0" xfId="0" applyFont="1" applyFill="1" applyBorder="1" applyAlignment="1" applyProtection="1">
      <alignment horizontal="center"/>
      <protection locked="0"/>
    </xf>
    <xf numFmtId="0" fontId="0" fillId="2" borderId="0" xfId="0" applyFill="1" applyBorder="1" applyAlignment="1">
      <alignment horizontal="center"/>
    </xf>
    <xf numFmtId="0" fontId="13" fillId="15" borderId="55" xfId="0" applyFont="1" applyFill="1" applyBorder="1" applyAlignment="1" applyProtection="1">
      <alignment horizontal="left" vertical="center" wrapText="1"/>
      <protection/>
    </xf>
    <xf numFmtId="0" fontId="0" fillId="15" borderId="52" xfId="0" applyFill="1" applyBorder="1" applyAlignment="1" applyProtection="1">
      <alignment horizontal="left" vertical="center" wrapText="1"/>
      <protection/>
    </xf>
    <xf numFmtId="0" fontId="0" fillId="15" borderId="97" xfId="0"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6" fillId="0" borderId="0" xfId="0" applyFont="1" applyFill="1" applyBorder="1" applyAlignment="1" applyProtection="1">
      <alignment horizontal="center"/>
      <protection locked="0"/>
    </xf>
    <xf numFmtId="0" fontId="0" fillId="0" borderId="0" xfId="0" applyFill="1" applyBorder="1" applyAlignment="1">
      <alignment horizontal="center"/>
    </xf>
    <xf numFmtId="0" fontId="11" fillId="15" borderId="4" xfId="0" applyFont="1" applyFill="1" applyBorder="1" applyAlignment="1" applyProtection="1">
      <alignment horizontal="left" vertical="center"/>
      <protection/>
    </xf>
    <xf numFmtId="0" fontId="0" fillId="15" borderId="5" xfId="0" applyFill="1" applyBorder="1" applyAlignment="1" applyProtection="1">
      <alignment horizontal="left" vertical="center"/>
      <protection/>
    </xf>
    <xf numFmtId="0" fontId="0" fillId="15" borderId="6" xfId="0" applyFill="1" applyBorder="1" applyAlignment="1" applyProtection="1">
      <alignment horizontal="left" vertical="center"/>
      <protection/>
    </xf>
    <xf numFmtId="0" fontId="0" fillId="15" borderId="7" xfId="0" applyFill="1" applyBorder="1" applyAlignment="1" applyProtection="1">
      <alignment horizontal="left" vertical="center"/>
      <protection/>
    </xf>
    <xf numFmtId="0" fontId="0" fillId="15" borderId="2" xfId="0" applyFill="1" applyBorder="1" applyAlignment="1" applyProtection="1">
      <alignment horizontal="left" vertical="center"/>
      <protection/>
    </xf>
    <xf numFmtId="0" fontId="0" fillId="15" borderId="8" xfId="0" applyFill="1" applyBorder="1" applyAlignment="1" applyProtection="1">
      <alignment horizontal="left" vertical="center"/>
      <protection/>
    </xf>
    <xf numFmtId="0" fontId="0" fillId="2" borderId="10" xfId="0" applyFill="1" applyBorder="1" applyAlignment="1" applyProtection="1">
      <alignment horizontal="right"/>
      <protection/>
    </xf>
    <xf numFmtId="0" fontId="13" fillId="2" borderId="4" xfId="0" applyFont="1" applyFill="1" applyBorder="1" applyAlignment="1" applyProtection="1">
      <alignment horizontal="left" vertical="center"/>
      <protection/>
    </xf>
    <xf numFmtId="0" fontId="0" fillId="2" borderId="21" xfId="0" applyFill="1" applyBorder="1" applyAlignment="1" applyProtection="1">
      <alignment/>
      <protection/>
    </xf>
    <xf numFmtId="0" fontId="0" fillId="2" borderId="7" xfId="0" applyFill="1" applyBorder="1" applyAlignment="1" applyProtection="1">
      <alignment/>
      <protection/>
    </xf>
    <xf numFmtId="0" fontId="6" fillId="15" borderId="25" xfId="0" applyFont="1" applyFill="1" applyBorder="1" applyAlignment="1" applyProtection="1">
      <alignment horizontal="center"/>
      <protection locked="0"/>
    </xf>
    <xf numFmtId="0" fontId="0" fillId="15" borderId="26" xfId="0" applyFill="1" applyBorder="1" applyAlignment="1">
      <alignment horizontal="center"/>
    </xf>
    <xf numFmtId="0" fontId="0" fillId="15" borderId="57" xfId="0" applyFill="1" applyBorder="1" applyAlignment="1">
      <alignment horizontal="center"/>
    </xf>
    <xf numFmtId="0" fontId="2" fillId="15" borderId="94" xfId="0" applyFont="1" applyFill="1" applyBorder="1" applyAlignment="1" applyProtection="1">
      <alignment horizontal="center" vertical="center" wrapText="1"/>
      <protection locked="0"/>
    </xf>
    <xf numFmtId="0" fontId="0" fillId="15" borderId="51" xfId="0" applyFill="1" applyBorder="1" applyAlignment="1">
      <alignment horizontal="center" vertical="center"/>
    </xf>
    <xf numFmtId="0" fontId="0" fillId="15" borderId="40" xfId="0" applyFill="1" applyBorder="1" applyAlignment="1">
      <alignment horizontal="center" vertical="center"/>
    </xf>
    <xf numFmtId="0" fontId="1" fillId="15" borderId="55" xfId="0" applyFont="1" applyFill="1" applyBorder="1" applyAlignment="1" applyProtection="1">
      <alignment horizontal="left" vertical="center" wrapText="1"/>
      <protection/>
    </xf>
    <xf numFmtId="0" fontId="0" fillId="15" borderId="97" xfId="0" applyFill="1" applyBorder="1" applyAlignment="1" applyProtection="1">
      <alignment horizontal="left"/>
      <protection/>
    </xf>
    <xf numFmtId="0" fontId="6" fillId="15" borderId="25" xfId="0" applyFont="1" applyFill="1" applyBorder="1" applyAlignment="1" applyProtection="1">
      <alignment horizontal="center"/>
      <protection/>
    </xf>
    <xf numFmtId="0" fontId="0" fillId="15" borderId="26" xfId="0" applyFill="1" applyBorder="1" applyAlignment="1" applyProtection="1">
      <alignment horizontal="center"/>
      <protection/>
    </xf>
    <xf numFmtId="0" fontId="0" fillId="15" borderId="57" xfId="0" applyFill="1" applyBorder="1" applyAlignment="1" applyProtection="1">
      <alignment horizontal="center"/>
      <protection/>
    </xf>
    <xf numFmtId="0" fontId="6" fillId="16" borderId="94" xfId="0" applyFont="1" applyFill="1" applyBorder="1" applyAlignment="1" applyProtection="1">
      <alignment horizontal="center"/>
      <protection/>
    </xf>
    <xf numFmtId="0" fontId="0" fillId="15" borderId="51" xfId="0" applyFill="1" applyBorder="1" applyAlignment="1" applyProtection="1">
      <alignment horizontal="center"/>
      <protection/>
    </xf>
    <xf numFmtId="0" fontId="0" fillId="15" borderId="40" xfId="0" applyFill="1" applyBorder="1" applyAlignment="1" applyProtection="1">
      <alignment horizontal="center"/>
      <protection/>
    </xf>
    <xf numFmtId="0" fontId="13" fillId="2" borderId="55" xfId="0" applyFont="1" applyFill="1" applyBorder="1" applyAlignment="1" applyProtection="1">
      <alignment horizontal="left" wrapText="1"/>
      <protection/>
    </xf>
    <xf numFmtId="0" fontId="0" fillId="2" borderId="52" xfId="0" applyFill="1" applyBorder="1" applyAlignment="1" applyProtection="1">
      <alignment horizontal="left" wrapText="1"/>
      <protection/>
    </xf>
    <xf numFmtId="0" fontId="0" fillId="2" borderId="97" xfId="0" applyFill="1" applyBorder="1" applyAlignment="1" applyProtection="1">
      <alignment horizontal="left" wrapText="1"/>
      <protection/>
    </xf>
    <xf numFmtId="0" fontId="6" fillId="16" borderId="25" xfId="0" applyFont="1" applyFill="1" applyBorder="1" applyAlignment="1" applyProtection="1">
      <alignment horizontal="center"/>
      <protection/>
    </xf>
    <xf numFmtId="0" fontId="0" fillId="15" borderId="27" xfId="0" applyFill="1" applyBorder="1" applyAlignment="1" applyProtection="1">
      <alignment horizontal="center"/>
      <protection/>
    </xf>
    <xf numFmtId="0" fontId="2" fillId="15" borderId="64" xfId="0" applyFont="1" applyFill="1" applyBorder="1" applyAlignment="1" applyProtection="1">
      <alignment horizontal="center" vertical="center"/>
      <protection locked="0"/>
    </xf>
    <xf numFmtId="0" fontId="0" fillId="15" borderId="6" xfId="0" applyFill="1" applyBorder="1" applyAlignment="1">
      <alignment vertical="center"/>
    </xf>
    <xf numFmtId="0" fontId="0" fillId="15" borderId="11" xfId="0" applyFill="1" applyBorder="1" applyAlignment="1">
      <alignment vertical="center"/>
    </xf>
    <xf numFmtId="0" fontId="0" fillId="15" borderId="56" xfId="0" applyFill="1" applyBorder="1" applyAlignment="1">
      <alignment vertical="center"/>
    </xf>
    <xf numFmtId="0" fontId="0" fillId="15" borderId="52" xfId="0" applyFill="1" applyBorder="1" applyAlignment="1" applyProtection="1">
      <alignment horizontal="left"/>
      <protection/>
    </xf>
    <xf numFmtId="0" fontId="6" fillId="6" borderId="0" xfId="0" applyFont="1" applyFill="1" applyBorder="1" applyAlignment="1" applyProtection="1">
      <alignment horizontal="center"/>
      <protection/>
    </xf>
    <xf numFmtId="0" fontId="0" fillId="6" borderId="0" xfId="0" applyFill="1" applyBorder="1" applyAlignment="1" applyProtection="1">
      <alignment horizontal="center"/>
      <protection/>
    </xf>
    <xf numFmtId="0" fontId="13" fillId="6" borderId="0" xfId="0" applyFont="1" applyFill="1" applyBorder="1" applyAlignment="1" applyProtection="1">
      <alignment horizontal="left" vertical="center" wrapText="1"/>
      <protection/>
    </xf>
    <xf numFmtId="0" fontId="0" fillId="6" borderId="0" xfId="0" applyFill="1" applyBorder="1" applyAlignment="1" applyProtection="1">
      <alignment horizontal="left" vertical="center" wrapText="1"/>
      <protection/>
    </xf>
    <xf numFmtId="0" fontId="6" fillId="15" borderId="64" xfId="0" applyFont="1" applyFill="1" applyBorder="1" applyAlignment="1" applyProtection="1">
      <alignment horizontal="center"/>
      <protection/>
    </xf>
    <xf numFmtId="0" fontId="0" fillId="15" borderId="58" xfId="0" applyFill="1" applyBorder="1" applyAlignment="1" applyProtection="1">
      <alignment horizontal="center"/>
      <protection/>
    </xf>
    <xf numFmtId="0" fontId="0" fillId="15" borderId="6" xfId="0" applyFill="1" applyBorder="1" applyAlignment="1" applyProtection="1">
      <alignment horizontal="center"/>
      <protection/>
    </xf>
    <xf numFmtId="0" fontId="1" fillId="2" borderId="55" xfId="0" applyFont="1" applyFill="1" applyBorder="1" applyAlignment="1" applyProtection="1">
      <alignment horizontal="left" vertical="center" wrapText="1"/>
      <protection/>
    </xf>
    <xf numFmtId="0" fontId="0" fillId="2" borderId="52" xfId="0" applyFill="1" applyBorder="1" applyAlignment="1" applyProtection="1">
      <alignment horizontal="left" vertical="center"/>
      <protection/>
    </xf>
    <xf numFmtId="0" fontId="0" fillId="2" borderId="97" xfId="0" applyFill="1" applyBorder="1" applyAlignment="1" applyProtection="1">
      <alignment horizontal="left" vertical="center"/>
      <protection/>
    </xf>
    <xf numFmtId="0" fontId="0" fillId="2" borderId="52" xfId="0" applyFill="1" applyBorder="1" applyAlignment="1" applyProtection="1">
      <alignment horizontal="left" vertical="center" wrapText="1"/>
      <protection/>
    </xf>
    <xf numFmtId="0" fontId="0" fillId="2" borderId="97" xfId="0" applyFill="1" applyBorder="1" applyAlignment="1" applyProtection="1">
      <alignment horizontal="left" vertical="center" wrapText="1"/>
      <protection/>
    </xf>
    <xf numFmtId="0" fontId="1" fillId="15" borderId="55" xfId="0" applyFont="1" applyFill="1" applyBorder="1" applyAlignment="1" applyProtection="1">
      <alignment horizontal="center" vertical="center" wrapText="1"/>
      <protection locked="0"/>
    </xf>
    <xf numFmtId="0" fontId="0" fillId="15" borderId="52" xfId="0" applyFill="1" applyBorder="1" applyAlignment="1">
      <alignment horizontal="center" vertical="center"/>
    </xf>
    <xf numFmtId="0" fontId="0" fillId="15" borderId="97" xfId="0" applyFill="1" applyBorder="1" applyAlignment="1">
      <alignment horizontal="center" vertical="center"/>
    </xf>
    <xf numFmtId="0" fontId="6" fillId="15" borderId="64" xfId="0" applyFont="1" applyFill="1" applyBorder="1" applyAlignment="1" applyProtection="1">
      <alignment horizontal="center"/>
      <protection locked="0"/>
    </xf>
    <xf numFmtId="0" fontId="0" fillId="15" borderId="58" xfId="0" applyFill="1" applyBorder="1" applyAlignment="1">
      <alignment horizontal="center"/>
    </xf>
    <xf numFmtId="0" fontId="0" fillId="15" borderId="6" xfId="0" applyFill="1" applyBorder="1" applyAlignment="1">
      <alignment horizontal="center"/>
    </xf>
    <xf numFmtId="0" fontId="0" fillId="15" borderId="52" xfId="0" applyFill="1" applyBorder="1" applyAlignment="1">
      <alignment horizontal="center" vertical="center" wrapText="1"/>
    </xf>
    <xf numFmtId="0" fontId="0" fillId="15" borderId="97" xfId="0" applyFill="1" applyBorder="1" applyAlignment="1">
      <alignment horizontal="center" vertical="center" wrapText="1"/>
    </xf>
    <xf numFmtId="0" fontId="1" fillId="15" borderId="4" xfId="0" applyFont="1" applyFill="1" applyBorder="1" applyAlignment="1" applyProtection="1">
      <alignment horizontal="center" vertical="center" wrapText="1"/>
      <protection/>
    </xf>
    <xf numFmtId="0" fontId="0" fillId="15" borderId="52" xfId="0" applyFill="1" applyBorder="1" applyAlignment="1" applyProtection="1">
      <alignment/>
      <protection/>
    </xf>
    <xf numFmtId="0" fontId="0" fillId="15" borderId="97" xfId="0" applyFill="1" applyBorder="1" applyAlignment="1" applyProtection="1">
      <alignment/>
      <protection/>
    </xf>
    <xf numFmtId="0" fontId="0" fillId="15" borderId="40" xfId="0" applyFill="1" applyBorder="1" applyAlignment="1">
      <alignment horizontal="center"/>
    </xf>
    <xf numFmtId="0" fontId="6" fillId="16" borderId="25" xfId="0" applyFont="1" applyFill="1" applyBorder="1" applyAlignment="1" applyProtection="1">
      <alignment horizontal="center"/>
      <protection locked="0"/>
    </xf>
    <xf numFmtId="0" fontId="0" fillId="15" borderId="27" xfId="0" applyFill="1" applyBorder="1" applyAlignment="1">
      <alignment horizontal="center"/>
    </xf>
    <xf numFmtId="0" fontId="2" fillId="15" borderId="0" xfId="0" applyFont="1" applyFill="1" applyAlignment="1" applyProtection="1">
      <alignment/>
      <protection/>
    </xf>
    <xf numFmtId="0" fontId="1" fillId="15" borderId="55" xfId="0" applyFont="1" applyFill="1" applyBorder="1" applyAlignment="1" applyProtection="1">
      <alignment horizontal="center" wrapText="1"/>
      <protection locked="0"/>
    </xf>
    <xf numFmtId="0" fontId="0" fillId="15" borderId="52" xfId="0" applyFill="1" applyBorder="1" applyAlignment="1">
      <alignment horizontal="center" wrapText="1"/>
    </xf>
    <xf numFmtId="0" fontId="0" fillId="15" borderId="97" xfId="0" applyFill="1" applyBorder="1" applyAlignment="1">
      <alignment horizontal="center" wrapText="1"/>
    </xf>
    <xf numFmtId="0" fontId="2" fillId="15" borderId="64" xfId="0" applyFont="1" applyFill="1" applyBorder="1" applyAlignment="1" applyProtection="1">
      <alignment horizontal="center" vertical="center"/>
      <protection/>
    </xf>
    <xf numFmtId="0" fontId="0" fillId="15" borderId="6" xfId="0" applyFill="1" applyBorder="1" applyAlignment="1" applyProtection="1">
      <alignment vertical="center"/>
      <protection/>
    </xf>
    <xf numFmtId="0" fontId="0" fillId="15" borderId="11" xfId="0" applyFill="1" applyBorder="1" applyAlignment="1" applyProtection="1">
      <alignment vertical="center"/>
      <protection/>
    </xf>
    <xf numFmtId="0" fontId="0" fillId="15" borderId="56" xfId="0" applyFill="1" applyBorder="1" applyAlignment="1" applyProtection="1">
      <alignment vertical="center"/>
      <protection/>
    </xf>
    <xf numFmtId="0" fontId="0" fillId="0" borderId="51" xfId="0" applyBorder="1" applyAlignment="1" applyProtection="1">
      <alignment horizontal="center"/>
      <protection/>
    </xf>
    <xf numFmtId="0" fontId="0" fillId="0" borderId="40" xfId="0" applyBorder="1" applyAlignment="1" applyProtection="1">
      <alignment horizontal="center"/>
      <protection/>
    </xf>
    <xf numFmtId="0" fontId="11" fillId="15" borderId="4" xfId="0" applyFont="1" applyFill="1" applyBorder="1" applyAlignment="1" applyProtection="1">
      <alignment horizontal="left" vertical="center"/>
      <protection locked="0"/>
    </xf>
    <xf numFmtId="0" fontId="0" fillId="15" borderId="5" xfId="0" applyFill="1" applyBorder="1" applyAlignment="1">
      <alignment horizontal="left" vertical="center"/>
    </xf>
    <xf numFmtId="0" fontId="0" fillId="15" borderId="6" xfId="0" applyFill="1" applyBorder="1" applyAlignment="1">
      <alignment horizontal="left" vertical="center"/>
    </xf>
    <xf numFmtId="0" fontId="0" fillId="15" borderId="7" xfId="0" applyFill="1" applyBorder="1" applyAlignment="1">
      <alignment horizontal="left" vertical="center"/>
    </xf>
    <xf numFmtId="0" fontId="0" fillId="15" borderId="2" xfId="0" applyFill="1" applyBorder="1" applyAlignment="1">
      <alignment horizontal="left" vertical="center"/>
    </xf>
    <xf numFmtId="0" fontId="0" fillId="15" borderId="8" xfId="0" applyFill="1" applyBorder="1" applyAlignment="1">
      <alignment horizontal="left" vertical="center"/>
    </xf>
    <xf numFmtId="0" fontId="6" fillId="2" borderId="5" xfId="0" applyFont="1" applyFill="1" applyBorder="1" applyAlignment="1" applyProtection="1">
      <alignment horizontal="right"/>
      <protection locked="0"/>
    </xf>
    <xf numFmtId="0" fontId="0" fillId="2" borderId="58" xfId="0" applyFill="1" applyBorder="1" applyAlignment="1">
      <alignment/>
    </xf>
    <xf numFmtId="0" fontId="2" fillId="15" borderId="94" xfId="0" applyFont="1" applyFill="1" applyBorder="1" applyAlignment="1" applyProtection="1">
      <alignment horizontal="center" vertical="center" wrapText="1"/>
      <protection/>
    </xf>
    <xf numFmtId="0" fontId="0" fillId="15" borderId="51" xfId="0" applyFill="1" applyBorder="1" applyAlignment="1" applyProtection="1">
      <alignment horizontal="center" vertical="center"/>
      <protection/>
    </xf>
    <xf numFmtId="0" fontId="0" fillId="15" borderId="40" xfId="0" applyFill="1" applyBorder="1" applyAlignment="1" applyProtection="1">
      <alignment horizontal="center" vertical="center"/>
      <protection/>
    </xf>
    <xf numFmtId="0" fontId="1" fillId="15" borderId="55" xfId="0" applyFont="1" applyFill="1" applyBorder="1" applyAlignment="1" applyProtection="1">
      <alignment horizontal="center" wrapText="1"/>
      <protection/>
    </xf>
    <xf numFmtId="0" fontId="0" fillId="15" borderId="52" xfId="0" applyFill="1" applyBorder="1" applyAlignment="1" applyProtection="1">
      <alignment horizontal="center" wrapText="1"/>
      <protection/>
    </xf>
    <xf numFmtId="0" fontId="0" fillId="15" borderId="97" xfId="0" applyFill="1" applyBorder="1" applyAlignment="1" applyProtection="1">
      <alignment horizontal="center" wrapText="1"/>
      <protection/>
    </xf>
    <xf numFmtId="0" fontId="13" fillId="15" borderId="55" xfId="0" applyFont="1" applyFill="1" applyBorder="1" applyAlignment="1" applyProtection="1">
      <alignment vertical="center" wrapText="1"/>
      <protection locked="0"/>
    </xf>
    <xf numFmtId="0" fontId="14" fillId="15" borderId="53" xfId="0" applyFont="1" applyFill="1" applyBorder="1" applyAlignment="1">
      <alignment vertical="center"/>
    </xf>
    <xf numFmtId="0" fontId="6" fillId="2" borderId="0" xfId="0" applyFont="1" applyFill="1" applyBorder="1" applyAlignment="1" applyProtection="1">
      <alignment horizontal="right"/>
      <protection locked="0"/>
    </xf>
    <xf numFmtId="0" fontId="0" fillId="2" borderId="10" xfId="0" applyFill="1" applyBorder="1" applyAlignment="1">
      <alignment/>
    </xf>
    <xf numFmtId="0" fontId="6" fillId="2" borderId="2" xfId="0" applyFont="1" applyFill="1" applyBorder="1" applyAlignment="1" applyProtection="1">
      <alignment horizontal="right"/>
      <protection locked="0"/>
    </xf>
    <xf numFmtId="0" fontId="0" fillId="2" borderId="19" xfId="0" applyFill="1" applyBorder="1" applyAlignment="1">
      <alignment/>
    </xf>
    <xf numFmtId="0" fontId="13" fillId="2" borderId="4" xfId="0" applyFont="1" applyFill="1" applyBorder="1" applyAlignment="1" applyProtection="1">
      <alignment vertical="center"/>
      <protection locked="0"/>
    </xf>
    <xf numFmtId="0" fontId="0" fillId="2" borderId="21" xfId="0" applyFill="1" applyBorder="1" applyAlignment="1">
      <alignment vertical="center"/>
    </xf>
    <xf numFmtId="0" fontId="0" fillId="2" borderId="7" xfId="0" applyFill="1" applyBorder="1" applyAlignment="1">
      <alignment vertical="center"/>
    </xf>
    <xf numFmtId="0" fontId="0" fillId="2" borderId="10" xfId="0" applyFill="1" applyBorder="1" applyAlignment="1">
      <alignment horizontal="right"/>
    </xf>
    <xf numFmtId="0" fontId="13" fillId="2" borderId="4" xfId="0" applyFont="1" applyFill="1" applyBorder="1" applyAlignment="1" applyProtection="1">
      <alignment horizontal="left" vertical="center"/>
      <protection locked="0"/>
    </xf>
    <xf numFmtId="0" fontId="0" fillId="2" borderId="21" xfId="0" applyFill="1" applyBorder="1" applyAlignment="1">
      <alignment/>
    </xf>
    <xf numFmtId="0" fontId="0" fillId="2" borderId="7" xfId="0" applyFill="1" applyBorder="1" applyAlignment="1">
      <alignment/>
    </xf>
    <xf numFmtId="0" fontId="2" fillId="2" borderId="0" xfId="0" applyFont="1" applyFill="1" applyBorder="1" applyAlignment="1" applyProtection="1">
      <alignment/>
      <protection locked="0"/>
    </xf>
    <xf numFmtId="0" fontId="0" fillId="2" borderId="0" xfId="0" applyFill="1" applyBorder="1" applyAlignment="1" applyProtection="1">
      <alignment/>
      <protection locked="0"/>
    </xf>
    <xf numFmtId="0" fontId="6" fillId="2" borderId="21" xfId="0" applyFont="1" applyFill="1" applyBorder="1" applyAlignment="1" applyProtection="1">
      <alignment horizontal="right"/>
      <protection/>
    </xf>
    <xf numFmtId="0" fontId="0" fillId="2" borderId="0" xfId="0" applyFill="1" applyBorder="1" applyAlignment="1" applyProtection="1">
      <alignment horizontal="right"/>
      <protection/>
    </xf>
    <xf numFmtId="2" fontId="6" fillId="2" borderId="25" xfId="0" applyNumberFormat="1" applyFont="1" applyFill="1" applyBorder="1" applyAlignment="1" applyProtection="1">
      <alignment horizontal="center"/>
      <protection/>
    </xf>
    <xf numFmtId="2" fontId="6" fillId="2" borderId="57" xfId="0" applyNumberFormat="1" applyFont="1" applyFill="1" applyBorder="1" applyAlignment="1" applyProtection="1">
      <alignment horizontal="center"/>
      <protection/>
    </xf>
    <xf numFmtId="2" fontId="6" fillId="2" borderId="9" xfId="0" applyNumberFormat="1" applyFont="1" applyFill="1" applyBorder="1" applyAlignment="1" applyProtection="1">
      <alignment horizontal="center"/>
      <protection/>
    </xf>
    <xf numFmtId="2" fontId="6" fillId="2" borderId="18" xfId="0" applyNumberFormat="1" applyFont="1" applyFill="1" applyBorder="1" applyAlignment="1" applyProtection="1">
      <alignment horizontal="center"/>
      <protection/>
    </xf>
    <xf numFmtId="0" fontId="6" fillId="2" borderId="21" xfId="0" applyFont="1" applyFill="1" applyBorder="1" applyAlignment="1">
      <alignment horizontal="right"/>
    </xf>
    <xf numFmtId="0" fontId="0" fillId="2" borderId="0" xfId="0" applyFill="1" applyAlignment="1">
      <alignment horizontal="right"/>
    </xf>
    <xf numFmtId="0" fontId="6" fillId="2" borderId="0" xfId="0" applyFont="1" applyFill="1" applyBorder="1" applyAlignment="1">
      <alignment horizontal="right"/>
    </xf>
    <xf numFmtId="0" fontId="6" fillId="2" borderId="50" xfId="0" applyFont="1" applyFill="1" applyBorder="1" applyAlignment="1" applyProtection="1">
      <alignment/>
      <protection/>
    </xf>
    <xf numFmtId="0" fontId="0" fillId="2" borderId="51" xfId="0" applyFill="1" applyBorder="1" applyAlignment="1" applyProtection="1">
      <alignment/>
      <protection/>
    </xf>
    <xf numFmtId="0" fontId="0" fillId="2" borderId="40" xfId="0" applyFill="1" applyBorder="1" applyAlignment="1" applyProtection="1">
      <alignment/>
      <protection/>
    </xf>
    <xf numFmtId="0" fontId="6" fillId="2" borderId="4" xfId="0" applyFont="1" applyFill="1" applyBorder="1" applyAlignment="1">
      <alignment horizontal="right"/>
    </xf>
    <xf numFmtId="0" fontId="0" fillId="2" borderId="5" xfId="0" applyFill="1" applyBorder="1" applyAlignment="1">
      <alignment horizontal="right"/>
    </xf>
    <xf numFmtId="0" fontId="6" fillId="2" borderId="50" xfId="0" applyFont="1" applyFill="1" applyBorder="1" applyAlignment="1">
      <alignment/>
    </xf>
    <xf numFmtId="0" fontId="0" fillId="2" borderId="51" xfId="0" applyFill="1" applyBorder="1" applyAlignment="1">
      <alignment/>
    </xf>
    <xf numFmtId="0" fontId="0" fillId="2" borderId="40" xfId="0" applyFill="1" applyBorder="1" applyAlignment="1">
      <alignment/>
    </xf>
    <xf numFmtId="0" fontId="2" fillId="15" borderId="39" xfId="0" applyFont="1" applyFill="1" applyBorder="1" applyAlignment="1">
      <alignment/>
    </xf>
    <xf numFmtId="0" fontId="0" fillId="15" borderId="20" xfId="0" applyFill="1" applyBorder="1" applyAlignment="1">
      <alignment/>
    </xf>
    <xf numFmtId="0" fontId="0" fillId="15" borderId="29" xfId="0" applyFill="1" applyBorder="1" applyAlignment="1">
      <alignment/>
    </xf>
    <xf numFmtId="0" fontId="6" fillId="2" borderId="63" xfId="0" applyFont="1" applyFill="1" applyBorder="1" applyAlignment="1" applyProtection="1">
      <alignment horizontal="right"/>
      <protection/>
    </xf>
    <xf numFmtId="0" fontId="0" fillId="2" borderId="12" xfId="0" applyFill="1" applyBorder="1" applyAlignment="1" applyProtection="1">
      <alignment horizontal="right"/>
      <protection/>
    </xf>
    <xf numFmtId="2" fontId="6" fillId="2" borderId="11" xfId="0" applyNumberFormat="1" applyFont="1" applyFill="1" applyBorder="1" applyAlignment="1" applyProtection="1">
      <alignment horizontal="center"/>
      <protection/>
    </xf>
    <xf numFmtId="2" fontId="6" fillId="2" borderId="56" xfId="0" applyNumberFormat="1" applyFont="1" applyFill="1" applyBorder="1" applyAlignment="1" applyProtection="1">
      <alignment horizontal="center"/>
      <protection/>
    </xf>
    <xf numFmtId="0" fontId="0" fillId="2" borderId="2" xfId="0" applyFill="1" applyBorder="1" applyAlignment="1">
      <alignment horizontal="right"/>
    </xf>
    <xf numFmtId="2" fontId="6" fillId="6" borderId="98" xfId="0" applyNumberFormat="1" applyFont="1" applyFill="1" applyBorder="1" applyAlignment="1" applyProtection="1">
      <alignment horizontal="center"/>
      <protection/>
    </xf>
    <xf numFmtId="2" fontId="0" fillId="6" borderId="99" xfId="0" applyNumberFormat="1" applyFill="1" applyBorder="1" applyAlignment="1" applyProtection="1">
      <alignment/>
      <protection/>
    </xf>
    <xf numFmtId="0" fontId="6" fillId="6" borderId="50" xfId="0" applyFont="1" applyFill="1" applyBorder="1" applyAlignment="1" applyProtection="1">
      <alignment/>
      <protection/>
    </xf>
    <xf numFmtId="0" fontId="0" fillId="6" borderId="51" xfId="0" applyFill="1" applyBorder="1" applyAlignment="1" applyProtection="1">
      <alignment/>
      <protection/>
    </xf>
    <xf numFmtId="0" fontId="0" fillId="6" borderId="40" xfId="0" applyFill="1" applyBorder="1" applyAlignment="1" applyProtection="1">
      <alignment/>
      <protection/>
    </xf>
    <xf numFmtId="0" fontId="2" fillId="15" borderId="4" xfId="0" applyFont="1" applyFill="1" applyBorder="1" applyAlignment="1" applyProtection="1">
      <alignment/>
      <protection/>
    </xf>
    <xf numFmtId="0" fontId="0" fillId="15" borderId="5" xfId="0" applyFill="1" applyBorder="1" applyAlignment="1" applyProtection="1">
      <alignment/>
      <protection/>
    </xf>
    <xf numFmtId="0" fontId="0" fillId="15" borderId="6" xfId="0" applyFill="1" applyBorder="1" applyAlignment="1" applyProtection="1">
      <alignment/>
      <protection/>
    </xf>
    <xf numFmtId="0" fontId="6" fillId="2" borderId="63" xfId="0" applyFont="1" applyFill="1" applyBorder="1" applyAlignment="1">
      <alignment horizontal="right"/>
    </xf>
    <xf numFmtId="0" fontId="6" fillId="2" borderId="12" xfId="0" applyFont="1" applyFill="1" applyBorder="1" applyAlignment="1">
      <alignment horizontal="right"/>
    </xf>
    <xf numFmtId="2" fontId="6" fillId="2" borderId="0" xfId="0" applyNumberFormat="1" applyFont="1" applyFill="1" applyBorder="1" applyAlignment="1" applyProtection="1">
      <alignment horizontal="center"/>
      <protection locked="0"/>
    </xf>
    <xf numFmtId="2" fontId="0" fillId="2" borderId="18" xfId="0" applyNumberFormat="1" applyFill="1" applyBorder="1" applyAlignment="1" applyProtection="1">
      <alignment/>
      <protection locked="0"/>
    </xf>
    <xf numFmtId="2" fontId="6" fillId="2" borderId="12" xfId="0" applyNumberFormat="1" applyFont="1" applyFill="1" applyBorder="1" applyAlignment="1" applyProtection="1">
      <alignment horizontal="center"/>
      <protection locked="0"/>
    </xf>
    <xf numFmtId="2" fontId="0" fillId="2" borderId="56" xfId="0" applyNumberFormat="1" applyFill="1" applyBorder="1" applyAlignment="1" applyProtection="1">
      <alignment/>
      <protection locked="0"/>
    </xf>
    <xf numFmtId="0" fontId="6" fillId="20" borderId="50" xfId="0" applyFont="1" applyFill="1" applyBorder="1" applyAlignment="1">
      <alignment wrapText="1"/>
    </xf>
    <xf numFmtId="0" fontId="0" fillId="20" borderId="51" xfId="0" applyFont="1" applyFill="1" applyBorder="1" applyAlignment="1">
      <alignment wrapText="1"/>
    </xf>
    <xf numFmtId="0" fontId="0" fillId="20" borderId="40" xfId="0" applyFont="1" applyFill="1" applyBorder="1" applyAlignment="1">
      <alignment wrapText="1"/>
    </xf>
    <xf numFmtId="0" fontId="6" fillId="4" borderId="4" xfId="0" applyFont="1" applyFill="1" applyBorder="1" applyAlignment="1">
      <alignment/>
    </xf>
    <xf numFmtId="0" fontId="6" fillId="4" borderId="5" xfId="0" applyFont="1" applyFill="1" applyBorder="1" applyAlignment="1">
      <alignment/>
    </xf>
    <xf numFmtId="0" fontId="6" fillId="4" borderId="6" xfId="0" applyFont="1" applyFill="1" applyBorder="1" applyAlignment="1">
      <alignment/>
    </xf>
    <xf numFmtId="0" fontId="6" fillId="0" borderId="45" xfId="0" applyFont="1" applyFill="1" applyBorder="1" applyAlignment="1">
      <alignment wrapText="1"/>
    </xf>
    <xf numFmtId="0" fontId="0" fillId="0" borderId="44" xfId="0" applyFont="1" applyFill="1" applyBorder="1" applyAlignment="1">
      <alignment wrapText="1"/>
    </xf>
    <xf numFmtId="0" fontId="0" fillId="0" borderId="31" xfId="0" applyFont="1" applyFill="1" applyBorder="1" applyAlignment="1">
      <alignment wrapText="1"/>
    </xf>
    <xf numFmtId="0" fontId="0" fillId="0" borderId="46" xfId="0" applyFont="1" applyFill="1" applyBorder="1" applyAlignment="1">
      <alignment wrapText="1"/>
    </xf>
    <xf numFmtId="0" fontId="6" fillId="0" borderId="100" xfId="0" applyFont="1" applyFill="1" applyBorder="1" applyAlignment="1">
      <alignment/>
    </xf>
    <xf numFmtId="0" fontId="0" fillId="0" borderId="101" xfId="0" applyFont="1" applyFill="1" applyBorder="1" applyAlignment="1">
      <alignment/>
    </xf>
    <xf numFmtId="0" fontId="0" fillId="0" borderId="94" xfId="0" applyFont="1" applyFill="1" applyBorder="1" applyAlignment="1">
      <alignment/>
    </xf>
    <xf numFmtId="0" fontId="0" fillId="0" borderId="32" xfId="0" applyFont="1" applyFill="1" applyBorder="1" applyAlignment="1">
      <alignment/>
    </xf>
    <xf numFmtId="0" fontId="6" fillId="0" borderId="45" xfId="0" applyFont="1" applyBorder="1" applyAlignment="1">
      <alignment wrapText="1"/>
    </xf>
    <xf numFmtId="0" fontId="0" fillId="0" borderId="44" xfId="0" applyFont="1" applyBorder="1" applyAlignment="1">
      <alignment wrapText="1"/>
    </xf>
    <xf numFmtId="0" fontId="0" fillId="0" borderId="31" xfId="0" applyFont="1" applyBorder="1" applyAlignment="1">
      <alignment wrapText="1"/>
    </xf>
    <xf numFmtId="0" fontId="0" fillId="0" borderId="46" xfId="0" applyFont="1" applyBorder="1" applyAlignment="1">
      <alignment wrapText="1"/>
    </xf>
    <xf numFmtId="0" fontId="0" fillId="0" borderId="10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6" fillId="0" borderId="85" xfId="0" applyFont="1" applyFill="1" applyBorder="1" applyAlignment="1">
      <alignment horizontal="center"/>
    </xf>
    <xf numFmtId="0" fontId="6" fillId="0" borderId="53" xfId="0" applyFont="1" applyFill="1" applyBorder="1" applyAlignment="1">
      <alignment horizontal="center"/>
    </xf>
    <xf numFmtId="0" fontId="6" fillId="0" borderId="102" xfId="0" applyFont="1" applyFill="1" applyBorder="1" applyAlignment="1">
      <alignment horizontal="center"/>
    </xf>
    <xf numFmtId="0" fontId="0" fillId="0" borderId="81" xfId="0" applyBorder="1" applyAlignment="1">
      <alignment horizontal="center"/>
    </xf>
    <xf numFmtId="0" fontId="6" fillId="0" borderId="31" xfId="0" applyFont="1" applyFill="1" applyBorder="1" applyAlignment="1">
      <alignment horizontal="center"/>
    </xf>
    <xf numFmtId="0" fontId="0" fillId="0" borderId="28" xfId="0" applyBorder="1" applyAlignment="1">
      <alignment horizontal="center"/>
    </xf>
    <xf numFmtId="0" fontId="2" fillId="6" borderId="55" xfId="27" applyFont="1" applyFill="1" applyBorder="1" applyAlignment="1">
      <alignment horizontal="center" vertical="center"/>
      <protection/>
    </xf>
    <xf numFmtId="0" fontId="0" fillId="6" borderId="52" xfId="0" applyFill="1" applyBorder="1" applyAlignment="1">
      <alignment horizontal="center" vertical="center"/>
    </xf>
    <xf numFmtId="0" fontId="0" fillId="6" borderId="53" xfId="0" applyFill="1" applyBorder="1" applyAlignment="1">
      <alignment horizontal="center" vertical="center"/>
    </xf>
    <xf numFmtId="0" fontId="2" fillId="2" borderId="11" xfId="0" applyFont="1" applyFill="1" applyBorder="1" applyAlignment="1">
      <alignment horizontal="center"/>
    </xf>
    <xf numFmtId="0" fontId="0" fillId="2" borderId="12" xfId="0" applyFill="1" applyBorder="1" applyAlignment="1">
      <alignment horizontal="center"/>
    </xf>
    <xf numFmtId="0" fontId="0" fillId="2" borderId="82" xfId="0" applyFill="1" applyBorder="1" applyAlignment="1">
      <alignment/>
    </xf>
    <xf numFmtId="0" fontId="2" fillId="2" borderId="103" xfId="0" applyFont="1" applyFill="1" applyBorder="1" applyAlignment="1">
      <alignment horizontal="center"/>
    </xf>
    <xf numFmtId="0" fontId="0" fillId="2" borderId="23" xfId="0" applyFill="1" applyBorder="1" applyAlignment="1">
      <alignment/>
    </xf>
    <xf numFmtId="0" fontId="0" fillId="2" borderId="95" xfId="0" applyFill="1" applyBorder="1" applyAlignment="1">
      <alignment/>
    </xf>
    <xf numFmtId="0" fontId="2" fillId="2" borderId="94" xfId="0" applyFont="1" applyFill="1" applyBorder="1" applyAlignment="1">
      <alignment horizontal="center"/>
    </xf>
    <xf numFmtId="0" fontId="11" fillId="2" borderId="104" xfId="0" applyFont="1" applyFill="1" applyBorder="1" applyAlignment="1">
      <alignment horizontal="right" vertical="center"/>
    </xf>
    <xf numFmtId="0" fontId="11" fillId="2" borderId="27" xfId="0" applyFont="1" applyFill="1" applyBorder="1" applyAlignment="1">
      <alignment horizontal="right" vertical="center"/>
    </xf>
    <xf numFmtId="0" fontId="0" fillId="2" borderId="105" xfId="0" applyFill="1" applyBorder="1" applyAlignment="1">
      <alignment horizontal="right" vertical="center"/>
    </xf>
    <xf numFmtId="0" fontId="0" fillId="2" borderId="106" xfId="0" applyFill="1" applyBorder="1" applyAlignment="1">
      <alignment horizontal="right" vertical="center"/>
    </xf>
    <xf numFmtId="0" fontId="2" fillId="2" borderId="16" xfId="0" applyFont="1" applyFill="1" applyBorder="1" applyAlignment="1">
      <alignment horizontal="center" vertical="center" wrapText="1"/>
    </xf>
    <xf numFmtId="0" fontId="0" fillId="0" borderId="72" xfId="0" applyBorder="1" applyAlignment="1">
      <alignment horizontal="center" vertical="center" wrapText="1"/>
    </xf>
    <xf numFmtId="0" fontId="2" fillId="2" borderId="25" xfId="0" applyFont="1" applyFill="1" applyBorder="1" applyAlignment="1">
      <alignment vertical="center" wrapText="1"/>
    </xf>
    <xf numFmtId="0" fontId="0" fillId="0" borderId="9" xfId="0" applyBorder="1" applyAlignment="1">
      <alignment vertical="center" wrapText="1"/>
    </xf>
    <xf numFmtId="0" fontId="2" fillId="2" borderId="16" xfId="0" applyFont="1" applyFill="1" applyBorder="1" applyAlignment="1">
      <alignment horizontal="center" vertical="center"/>
    </xf>
    <xf numFmtId="0" fontId="0" fillId="0" borderId="72" xfId="0" applyBorder="1" applyAlignment="1">
      <alignment horizontal="center" vertical="center"/>
    </xf>
    <xf numFmtId="0" fontId="24" fillId="2" borderId="64" xfId="0" applyFont="1" applyFill="1" applyBorder="1" applyAlignment="1">
      <alignment horizontal="center"/>
    </xf>
    <xf numFmtId="0" fontId="23" fillId="2" borderId="6" xfId="0" applyFont="1" applyFill="1" applyBorder="1" applyAlignment="1">
      <alignment/>
    </xf>
    <xf numFmtId="0" fontId="24" fillId="2" borderId="11" xfId="0" applyFont="1" applyFill="1" applyBorder="1" applyAlignment="1">
      <alignment horizontal="center"/>
    </xf>
    <xf numFmtId="0" fontId="23" fillId="2" borderId="18" xfId="0" applyFont="1" applyFill="1" applyBorder="1" applyAlignment="1">
      <alignment/>
    </xf>
    <xf numFmtId="0" fontId="6" fillId="0" borderId="94" xfId="0" applyNumberFormat="1" applyFont="1" applyFill="1" applyBorder="1" applyAlignment="1">
      <alignment horizontal="center"/>
    </xf>
    <xf numFmtId="0" fontId="0" fillId="0" borderId="51" xfId="0" applyFont="1" applyFill="1" applyBorder="1" applyAlignment="1">
      <alignment/>
    </xf>
    <xf numFmtId="0" fontId="0" fillId="0" borderId="40" xfId="0" applyFont="1" applyFill="1" applyBorder="1" applyAlignment="1">
      <alignment/>
    </xf>
    <xf numFmtId="0" fontId="2" fillId="9" borderId="11" xfId="0" applyFont="1" applyFill="1" applyBorder="1" applyAlignment="1" applyProtection="1">
      <alignment horizontal="center"/>
      <protection locked="0"/>
    </xf>
    <xf numFmtId="0" fontId="2" fillId="9" borderId="12" xfId="0" applyFont="1" applyFill="1" applyBorder="1" applyAlignment="1" applyProtection="1">
      <alignment/>
      <protection locked="0"/>
    </xf>
    <xf numFmtId="0" fontId="2" fillId="9" borderId="56" xfId="0" applyFont="1" applyFill="1" applyBorder="1" applyAlignment="1" applyProtection="1">
      <alignment/>
      <protection locked="0"/>
    </xf>
    <xf numFmtId="0" fontId="2" fillId="6" borderId="64" xfId="0" applyFont="1" applyFill="1" applyBorder="1" applyAlignment="1" applyProtection="1">
      <alignment horizontal="center"/>
      <protection locked="0"/>
    </xf>
    <xf numFmtId="0" fontId="0" fillId="6" borderId="5" xfId="0" applyFont="1" applyFill="1" applyBorder="1" applyAlignment="1" applyProtection="1">
      <alignment horizontal="center"/>
      <protection locked="0"/>
    </xf>
    <xf numFmtId="0" fontId="2" fillId="0" borderId="11" xfId="0" applyFont="1" applyFill="1" applyBorder="1" applyAlignment="1">
      <alignment horizontal="right"/>
    </xf>
    <xf numFmtId="0" fontId="6" fillId="0" borderId="12" xfId="0" applyFont="1" applyFill="1" applyBorder="1" applyAlignment="1">
      <alignment horizontal="right"/>
    </xf>
    <xf numFmtId="0" fontId="2" fillId="2" borderId="21" xfId="0" applyFont="1" applyFill="1" applyBorder="1" applyAlignment="1">
      <alignment horizontal="right"/>
    </xf>
    <xf numFmtId="0" fontId="0" fillId="0" borderId="0" xfId="0" applyAlignment="1">
      <alignment horizontal="right"/>
    </xf>
    <xf numFmtId="0" fontId="24" fillId="2" borderId="55" xfId="0" applyFont="1" applyFill="1" applyBorder="1" applyAlignment="1">
      <alignment horizontal="center" vertical="center"/>
    </xf>
    <xf numFmtId="0" fontId="24" fillId="2" borderId="53" xfId="0" applyFont="1" applyFill="1" applyBorder="1" applyAlignment="1">
      <alignment vertical="center"/>
    </xf>
    <xf numFmtId="0" fontId="0" fillId="5" borderId="104" xfId="0" applyFill="1" applyBorder="1" applyAlignment="1">
      <alignment horizontal="center" vertical="center"/>
    </xf>
    <xf numFmtId="0" fontId="0" fillId="5" borderId="21" xfId="0" applyFill="1" applyBorder="1" applyAlignment="1">
      <alignment horizontal="center" vertical="center"/>
    </xf>
    <xf numFmtId="0" fontId="0" fillId="5" borderId="107" xfId="0" applyFill="1" applyBorder="1" applyAlignment="1">
      <alignment horizontal="center" vertical="center"/>
    </xf>
    <xf numFmtId="0" fontId="0" fillId="5" borderId="108" xfId="0" applyFill="1" applyBorder="1" applyAlignment="1">
      <alignment horizontal="center" vertical="center"/>
    </xf>
    <xf numFmtId="0" fontId="0" fillId="5" borderId="7" xfId="0" applyFill="1" applyBorder="1" applyAlignment="1">
      <alignment horizontal="center" vertic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6" fillId="2" borderId="50" xfId="0" applyFont="1" applyFill="1" applyBorder="1" applyAlignment="1">
      <alignment horizontal="center"/>
    </xf>
    <xf numFmtId="0" fontId="6" fillId="2" borderId="51" xfId="0" applyFont="1" applyFill="1" applyBorder="1" applyAlignment="1">
      <alignment horizontal="center"/>
    </xf>
    <xf numFmtId="0" fontId="6" fillId="2" borderId="96" xfId="0" applyFont="1" applyFill="1" applyBorder="1" applyAlignment="1">
      <alignment horizontal="center"/>
    </xf>
    <xf numFmtId="0" fontId="45" fillId="21" borderId="0" xfId="0" applyFont="1" applyFill="1" applyAlignment="1">
      <alignment/>
    </xf>
    <xf numFmtId="0" fontId="0" fillId="0" borderId="0" xfId="0" applyAlignment="1">
      <alignment/>
    </xf>
    <xf numFmtId="0" fontId="45" fillId="7" borderId="0" xfId="0" applyFont="1" applyFill="1" applyAlignment="1">
      <alignment/>
    </xf>
    <xf numFmtId="2" fontId="43" fillId="0" borderId="44" xfId="0" applyNumberFormat="1" applyFont="1" applyBorder="1" applyAlignment="1">
      <alignment vertical="center"/>
    </xf>
    <xf numFmtId="0" fontId="0" fillId="0" borderId="44" xfId="0" applyBorder="1" applyAlignment="1">
      <alignment vertical="center"/>
    </xf>
    <xf numFmtId="0" fontId="44" fillId="0" borderId="44" xfId="0" applyFont="1" applyBorder="1" applyAlignment="1">
      <alignment horizontal="center" vertical="center" wrapText="1"/>
    </xf>
    <xf numFmtId="0" fontId="43" fillId="0" borderId="44" xfId="0" applyFont="1" applyBorder="1" applyAlignment="1">
      <alignment horizontal="center" vertical="center"/>
    </xf>
    <xf numFmtId="2" fontId="43" fillId="0" borderId="44" xfId="0" applyNumberFormat="1" applyFont="1" applyBorder="1" applyAlignment="1">
      <alignment horizontal="center" vertical="center"/>
    </xf>
    <xf numFmtId="0" fontId="0" fillId="0" borderId="44" xfId="0" applyBorder="1" applyAlignment="1">
      <alignment horizontal="center" vertical="center"/>
    </xf>
    <xf numFmtId="0" fontId="43" fillId="0" borderId="26" xfId="0" applyFont="1" applyBorder="1" applyAlignment="1">
      <alignment/>
    </xf>
    <xf numFmtId="0" fontId="44" fillId="0" borderId="31" xfId="0" applyFont="1" applyBorder="1" applyAlignment="1">
      <alignment horizontal="center" wrapText="1"/>
    </xf>
    <xf numFmtId="0" fontId="0" fillId="0" borderId="23" xfId="0" applyBorder="1" applyAlignment="1">
      <alignment wrapText="1"/>
    </xf>
    <xf numFmtId="0" fontId="0" fillId="0" borderId="28" xfId="0" applyBorder="1" applyAlignment="1">
      <alignment wrapText="1"/>
    </xf>
    <xf numFmtId="0" fontId="44" fillId="0" borderId="16" xfId="0" applyFont="1" applyBorder="1" applyAlignment="1">
      <alignment horizontal="center"/>
    </xf>
    <xf numFmtId="0" fontId="44" fillId="0" borderId="14" xfId="0" applyFont="1" applyBorder="1" applyAlignment="1">
      <alignment horizontal="center"/>
    </xf>
    <xf numFmtId="0" fontId="43" fillId="0" borderId="15" xfId="0" applyFont="1" applyBorder="1" applyAlignment="1">
      <alignment horizontal="center"/>
    </xf>
    <xf numFmtId="2" fontId="43" fillId="0" borderId="16"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4" fillId="0" borderId="44" xfId="0" applyFont="1" applyBorder="1" applyAlignment="1">
      <alignment horizontal="center"/>
    </xf>
    <xf numFmtId="0" fontId="0" fillId="0" borderId="44" xfId="0" applyBorder="1" applyAlignment="1">
      <alignment horizontal="center"/>
    </xf>
    <xf numFmtId="0" fontId="44" fillId="0" borderId="16"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44" xfId="0" applyFont="1" applyBorder="1" applyAlignment="1">
      <alignment horizontal="center" vertical="center"/>
    </xf>
    <xf numFmtId="0" fontId="44"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8" xfId="0" applyFont="1" applyBorder="1" applyAlignment="1">
      <alignment horizontal="center" vertical="center"/>
    </xf>
    <xf numFmtId="0" fontId="44" fillId="0" borderId="31"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44" xfId="0" applyFont="1" applyBorder="1" applyAlignment="1">
      <alignment vertical="center" wrapText="1"/>
    </xf>
    <xf numFmtId="0" fontId="43" fillId="0" borderId="44" xfId="0" applyFont="1" applyBorder="1" applyAlignment="1">
      <alignment vertical="center"/>
    </xf>
    <xf numFmtId="0" fontId="44" fillId="0" borderId="44" xfId="0" applyFont="1" applyBorder="1" applyAlignment="1">
      <alignment vertical="center"/>
    </xf>
    <xf numFmtId="0" fontId="0" fillId="0" borderId="31" xfId="0" applyBorder="1" applyAlignment="1">
      <alignment vertical="center"/>
    </xf>
    <xf numFmtId="0" fontId="43" fillId="0" borderId="23" xfId="0" applyFont="1" applyBorder="1" applyAlignment="1">
      <alignment wrapText="1"/>
    </xf>
    <xf numFmtId="0" fontId="43" fillId="0" borderId="28" xfId="0" applyFont="1" applyBorder="1" applyAlignment="1">
      <alignment wrapText="1"/>
    </xf>
    <xf numFmtId="0" fontId="44" fillId="0" borderId="16" xfId="0" applyFont="1" applyBorder="1" applyAlignment="1">
      <alignment vertical="center" wrapText="1"/>
    </xf>
    <xf numFmtId="0" fontId="44" fillId="0" borderId="14" xfId="0" applyFont="1" applyBorder="1" applyAlignment="1">
      <alignment vertical="center" wrapText="1"/>
    </xf>
    <xf numFmtId="0" fontId="43" fillId="0" borderId="15" xfId="0" applyFont="1" applyBorder="1" applyAlignment="1">
      <alignment vertical="center" wrapText="1"/>
    </xf>
    <xf numFmtId="0" fontId="43" fillId="0" borderId="44" xfId="0" applyFont="1" applyBorder="1" applyAlignment="1">
      <alignment horizontal="center"/>
    </xf>
    <xf numFmtId="0" fontId="43" fillId="0" borderId="44" xfId="0" applyFont="1" applyBorder="1" applyAlignment="1">
      <alignment/>
    </xf>
    <xf numFmtId="0" fontId="44" fillId="0" borderId="16" xfId="0" applyFont="1" applyBorder="1" applyAlignment="1">
      <alignment wrapText="1"/>
    </xf>
    <xf numFmtId="0" fontId="44" fillId="0" borderId="14" xfId="0" applyFont="1" applyBorder="1" applyAlignment="1">
      <alignment wrapText="1"/>
    </xf>
    <xf numFmtId="0" fontId="43" fillId="0" borderId="15" xfId="0" applyFont="1" applyBorder="1" applyAlignment="1">
      <alignment wrapText="1"/>
    </xf>
    <xf numFmtId="0" fontId="43" fillId="0" borderId="23" xfId="0" applyFont="1" applyBorder="1" applyAlignment="1">
      <alignment horizontal="center" wrapText="1"/>
    </xf>
    <xf numFmtId="0" fontId="43" fillId="0" borderId="28" xfId="0" applyFont="1" applyBorder="1" applyAlignment="1">
      <alignment horizontal="center" wrapText="1"/>
    </xf>
    <xf numFmtId="0" fontId="45" fillId="15" borderId="0" xfId="0" applyFont="1" applyFill="1" applyAlignment="1">
      <alignment/>
    </xf>
    <xf numFmtId="0" fontId="45" fillId="4" borderId="44" xfId="0" applyFont="1" applyFill="1" applyBorder="1" applyAlignment="1">
      <alignment vertical="center" wrapText="1"/>
    </xf>
    <xf numFmtId="0" fontId="45" fillId="0" borderId="44" xfId="0" applyFont="1" applyBorder="1" applyAlignment="1">
      <alignment vertical="center" wrapText="1"/>
    </xf>
    <xf numFmtId="0" fontId="45" fillId="20" borderId="44" xfId="0" applyFont="1" applyFill="1" applyBorder="1" applyAlignment="1">
      <alignment wrapText="1"/>
    </xf>
    <xf numFmtId="0" fontId="45" fillId="0" borderId="44" xfId="0" applyFont="1" applyBorder="1" applyAlignment="1">
      <alignment wrapText="1"/>
    </xf>
    <xf numFmtId="0" fontId="0" fillId="0" borderId="23" xfId="0" applyFont="1" applyBorder="1" applyAlignment="1">
      <alignment/>
    </xf>
    <xf numFmtId="0" fontId="0" fillId="0" borderId="28" xfId="0" applyFont="1" applyBorder="1" applyAlignment="1">
      <alignment/>
    </xf>
    <xf numFmtId="0" fontId="44" fillId="0" borderId="31" xfId="0" applyFont="1" applyBorder="1" applyAlignment="1">
      <alignment horizontal="center"/>
    </xf>
    <xf numFmtId="0" fontId="44" fillId="0" borderId="23" xfId="0" applyFont="1" applyBorder="1" applyAlignment="1">
      <alignment horizontal="center"/>
    </xf>
    <xf numFmtId="0" fontId="43" fillId="0" borderId="23" xfId="0" applyFont="1" applyBorder="1" applyAlignment="1">
      <alignment horizontal="center"/>
    </xf>
    <xf numFmtId="0" fontId="43" fillId="0" borderId="23" xfId="0" applyFont="1" applyBorder="1" applyAlignment="1">
      <alignment/>
    </xf>
    <xf numFmtId="0" fontId="6" fillId="0" borderId="44" xfId="0" applyFont="1" applyBorder="1" applyAlignment="1">
      <alignment horizontal="center" vertical="center"/>
    </xf>
    <xf numFmtId="0" fontId="45" fillId="4" borderId="0" xfId="0" applyFont="1" applyFill="1" applyAlignment="1">
      <alignment wrapText="1"/>
    </xf>
    <xf numFmtId="0" fontId="6" fillId="4" borderId="0" xfId="0" applyFont="1" applyFill="1" applyAlignment="1">
      <alignment/>
    </xf>
    <xf numFmtId="0" fontId="45" fillId="22" borderId="26" xfId="0" applyFont="1" applyFill="1" applyBorder="1" applyAlignment="1">
      <alignment vertical="top" wrapText="1"/>
    </xf>
    <xf numFmtId="0" fontId="45" fillId="20" borderId="26" xfId="0" applyFont="1" applyFill="1" applyBorder="1" applyAlignment="1">
      <alignment wrapText="1"/>
    </xf>
    <xf numFmtId="0" fontId="44" fillId="0" borderId="9"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0" fillId="0" borderId="10" xfId="0" applyBorder="1" applyAlignment="1">
      <alignment vertical="center"/>
    </xf>
    <xf numFmtId="0" fontId="44" fillId="0" borderId="11" xfId="0" applyFont="1" applyBorder="1" applyAlignment="1">
      <alignment horizontal="center"/>
    </xf>
    <xf numFmtId="0" fontId="44" fillId="0" borderId="12" xfId="0" applyFont="1" applyBorder="1" applyAlignment="1">
      <alignment horizontal="center"/>
    </xf>
    <xf numFmtId="0" fontId="43" fillId="0" borderId="12" xfId="0" applyFont="1" applyBorder="1" applyAlignment="1">
      <alignment horizontal="center"/>
    </xf>
    <xf numFmtId="0" fontId="43" fillId="0" borderId="12" xfId="0" applyFont="1" applyBorder="1" applyAlignment="1">
      <alignment/>
    </xf>
    <xf numFmtId="0" fontId="0" fillId="0" borderId="12" xfId="0" applyBorder="1" applyAlignment="1">
      <alignment/>
    </xf>
    <xf numFmtId="0" fontId="0" fillId="0" borderId="13" xfId="0" applyBorder="1" applyAlignment="1">
      <alignment/>
    </xf>
    <xf numFmtId="0" fontId="44" fillId="0" borderId="9" xfId="0" applyFont="1" applyBorder="1" applyAlignment="1">
      <alignment horizontal="center" vertical="center"/>
    </xf>
    <xf numFmtId="0" fontId="43" fillId="0" borderId="0" xfId="0" applyFont="1" applyBorder="1" applyAlignment="1">
      <alignment horizontal="center" vertical="center"/>
    </xf>
    <xf numFmtId="0" fontId="43" fillId="0" borderId="0" xfId="0" applyFont="1" applyBorder="1" applyAlignment="1">
      <alignment vertical="center"/>
    </xf>
    <xf numFmtId="0" fontId="0" fillId="0" borderId="23" xfId="0" applyBorder="1" applyAlignment="1">
      <alignment/>
    </xf>
    <xf numFmtId="0" fontId="0" fillId="0" borderId="28" xfId="0" applyBorder="1" applyAlignment="1">
      <alignment/>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PCNB_seed treatment_080904" xfId="27"/>
    <cellStyle name="Percent" xfId="28"/>
    <cellStyle name="Total" xfId="29"/>
  </cellStyles>
  <dxfs count="11">
    <dxf>
      <font>
        <color auto="1"/>
      </font>
      <fill>
        <patternFill>
          <bgColor rgb="FF00FFFF"/>
        </patternFill>
      </fill>
      <border>
        <left style="thin">
          <color rgb="FF000000"/>
        </left>
        <right style="thin">
          <color rgb="FF000000"/>
        </right>
        <top style="thin"/>
        <bottom style="thin">
          <color rgb="FF000000"/>
        </bottom>
      </border>
    </dxf>
    <dxf>
      <fill>
        <patternFill>
          <bgColor rgb="FF69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left style="thin">
          <color rgb="FF000000"/>
        </left>
        <right style="thin">
          <color rgb="FF000000"/>
        </right>
        <bottom style="thin">
          <color rgb="FF000000"/>
        </bottom>
      </border>
    </dxf>
    <dxf>
      <font>
        <color rgb="FFFFFFFF"/>
      </font>
      <border>
        <left>
          <color rgb="FF000000"/>
        </left>
        <right>
          <color rgb="FF000000"/>
        </right>
        <top>
          <color rgb="FF000000"/>
        </top>
        <bottom>
          <color rgb="FF000000"/>
        </bottom>
      </border>
    </dxf>
    <dxf>
      <font>
        <color auto="1"/>
      </font>
      <fill>
        <patternFill patternType="solid">
          <fgColor rgb="FFFF8080"/>
          <bgColor rgb="FF69FFFF"/>
        </patternFill>
      </fill>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bgColor rgb="FFFFFFFF"/>
        </patternFill>
      </fill>
      <border/>
    </dxf>
    <dxf>
      <font>
        <color rgb="FFFFFFFF"/>
      </font>
      <border/>
    </dxf>
    <dxf>
      <fill>
        <patternFill>
          <bgColor rgb="FF00FFFF"/>
        </patternFill>
      </fill>
      <border/>
    </dxf>
    <dxf>
      <font>
        <color rgb="FFC0C0C0"/>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Terrestrial Application Residues</a:t>
            </a:r>
          </a:p>
        </c:rich>
      </c:tx>
      <c:layout/>
      <c:spPr>
        <a:noFill/>
        <a:ln>
          <a:noFill/>
        </a:ln>
      </c:spPr>
    </c:title>
    <c:plotArea>
      <c:layout>
        <c:manualLayout>
          <c:xMode val="edge"/>
          <c:yMode val="edge"/>
          <c:x val="0.03875"/>
          <c:y val="0.114"/>
          <c:w val="0.8335"/>
          <c:h val="0.79025"/>
        </c:manualLayout>
      </c:layout>
      <c:lineChart>
        <c:grouping val="standard"/>
        <c:varyColors val="0"/>
        <c:ser>
          <c:idx val="0"/>
          <c:order val="0"/>
          <c:tx>
            <c:strRef>
              <c:f>'upper bound Kenaga'!$A$27:$A$27</c:f>
              <c:strCache>
                <c:ptCount val="1"/>
                <c:pt idx="0">
                  <c:v>Short Grass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numRef>
          </c:cat>
          <c:val>
            <c:numRef>
              <c:f>'upper bound Kenaga'!$P$21:$P$126</c:f>
              <c:numCache/>
            </c:numRef>
          </c:val>
          <c:smooth val="0"/>
        </c:ser>
        <c:ser>
          <c:idx val="1"/>
          <c:order val="1"/>
          <c:tx>
            <c:strRef>
              <c:f>'upper bound Kenaga'!$A$28:$A$28</c:f>
              <c:strCache>
                <c:ptCount val="1"/>
                <c:pt idx="0">
                  <c:v>Tall Grass </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Kenaga'!$M$21:$M$126</c:f>
              <c:numCache/>
            </c:numRef>
          </c:cat>
          <c:val>
            <c:numRef>
              <c:f>'upper bound Kenaga'!$Q$21:$Q$126</c:f>
              <c:numCache/>
            </c:numRef>
          </c:val>
          <c:smooth val="0"/>
        </c:ser>
        <c:ser>
          <c:idx val="2"/>
          <c:order val="2"/>
          <c:tx>
            <c:strRef>
              <c:f>'upper bound Kenaga'!$A$29:$A$29</c:f>
              <c:strCache>
                <c:ptCount val="1"/>
                <c:pt idx="0">
                  <c:v>Broadleaf plants/sm Insects</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Kenaga'!$M$21:$M$126</c:f>
              <c:numCache/>
            </c:numRef>
          </c:cat>
          <c:val>
            <c:numRef>
              <c:f>'upper bound Kenaga'!$R$21:$R$126</c:f>
              <c:numCache/>
            </c:numRef>
          </c:val>
          <c:smooth val="0"/>
        </c:ser>
        <c:ser>
          <c:idx val="3"/>
          <c:order val="3"/>
          <c:tx>
            <c:strRef>
              <c:f>'upper bound Kenaga'!$A$30:$A$30</c:f>
              <c:strCache>
                <c:ptCount val="1"/>
                <c:pt idx="0">
                  <c:v>Fruits/pods/seeds/lg insects</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Kenaga'!$M$21:$M$126</c:f>
              <c:numCache/>
            </c:numRef>
          </c:cat>
          <c:val>
            <c:numRef>
              <c:f>'upper bound Kenaga'!$S$21:$S$126</c:f>
              <c:numCache/>
            </c:numRef>
          </c:val>
          <c:smooth val="0"/>
        </c:ser>
        <c:ser>
          <c:idx val="4"/>
          <c:order val="4"/>
          <c:tx>
            <c:strRef>
              <c:f>'upper bound Kenaga'!$B$12:$C$12</c:f>
              <c:strCache>
                <c:ptCount val="1"/>
                <c:pt idx="0">
                  <c:v>1 year</c:v>
                </c:pt>
              </c:strCache>
            </c:strRef>
          </c:tx>
          <c:spPr>
            <a:ln w="254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numRef>
          </c:cat>
          <c:val>
            <c:numRef>
              <c:f>'upper bound Kenaga'!$T$21:$T$126</c:f>
              <c:numCache/>
            </c:numRef>
          </c:val>
          <c:smooth val="0"/>
        </c:ser>
        <c:marker val="1"/>
        <c:axId val="22781175"/>
        <c:axId val="3703984"/>
      </c:lineChart>
      <c:catAx>
        <c:axId val="22781175"/>
        <c:scaling>
          <c:orientation val="minMax"/>
        </c:scaling>
        <c:axPos val="b"/>
        <c:title>
          <c:tx>
            <c:rich>
              <a:bodyPr vert="horz" rot="0" anchor="ctr"/>
              <a:lstStyle/>
              <a:p>
                <a:pPr algn="ctr">
                  <a:defRPr/>
                </a:pPr>
                <a:r>
                  <a:rPr lang="en-US" cap="none" sz="1000" b="0" i="0" u="none" baseline="0">
                    <a:latin typeface="Arial"/>
                    <a:ea typeface="Arial"/>
                    <a:cs typeface="Arial"/>
                  </a:rPr>
                  <a:t>Days</a:t>
                </a:r>
              </a:p>
            </c:rich>
          </c:tx>
          <c:layout/>
          <c:overlay val="0"/>
          <c:spPr>
            <a:noFill/>
            <a:ln>
              <a:noFill/>
            </a:ln>
          </c:spPr>
        </c:title>
        <c:delete val="0"/>
        <c:numFmt formatCode="General" sourceLinked="1"/>
        <c:majorTickMark val="in"/>
        <c:minorTickMark val="none"/>
        <c:tickLblPos val="nextTo"/>
        <c:txPr>
          <a:bodyPr/>
          <a:lstStyle/>
          <a:p>
            <a:pPr>
              <a:defRPr lang="en-US" cap="none" sz="1125" b="0" i="0" u="none" baseline="0">
                <a:latin typeface="Arial"/>
                <a:ea typeface="Arial"/>
                <a:cs typeface="Arial"/>
              </a:defRPr>
            </a:pPr>
          </a:p>
        </c:txPr>
        <c:crossAx val="3703984"/>
        <c:crosses val="autoZero"/>
        <c:auto val="1"/>
        <c:lblOffset val="100"/>
        <c:tickMarkSkip val="5"/>
        <c:noMultiLvlLbl val="0"/>
      </c:catAx>
      <c:valAx>
        <c:axId val="3703984"/>
        <c:scaling>
          <c:orientation val="minMax"/>
        </c:scaling>
        <c:axPos val="l"/>
        <c:title>
          <c:tx>
            <c:rich>
              <a:bodyPr vert="horz" rot="-5400000" anchor="ctr"/>
              <a:lstStyle/>
              <a:p>
                <a:pPr algn="ctr">
                  <a:defRPr/>
                </a:pPr>
                <a:r>
                  <a:rPr lang="en-US" cap="none" sz="1000" b="0" i="0" u="none" baseline="0">
                    <a:latin typeface="Arial"/>
                    <a:ea typeface="Arial"/>
                    <a:cs typeface="Arial"/>
                  </a:rPr>
                  <a:t>Concentration (mg ai/kg dietary item)</a:t>
                </a:r>
              </a:p>
            </c:rich>
          </c:tx>
          <c:layout/>
          <c:overlay val="0"/>
          <c:spPr>
            <a:noFill/>
            <a:ln>
              <a:noFill/>
            </a:ln>
          </c:spPr>
        </c:title>
        <c:delete val="0"/>
        <c:numFmt formatCode="0" sourceLinked="0"/>
        <c:majorTickMark val="in"/>
        <c:minorTickMark val="none"/>
        <c:tickLblPos val="nextTo"/>
        <c:txPr>
          <a:bodyPr/>
          <a:lstStyle/>
          <a:p>
            <a:pPr>
              <a:defRPr lang="en-US" cap="none" sz="1000" b="0" i="0" u="none" baseline="0">
                <a:latin typeface="Arial"/>
                <a:ea typeface="Arial"/>
                <a:cs typeface="Arial"/>
              </a:defRPr>
            </a:pPr>
          </a:p>
        </c:txPr>
        <c:crossAx val="22781175"/>
        <c:crossesAt val="1"/>
        <c:crossBetween val="midCat"/>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txPr>
    <a:bodyPr vert="horz" rot="0"/>
    <a:lstStyle/>
    <a:p>
      <a:pPr>
        <a:defRPr lang="en-US" cap="none" sz="1000" b="0" i="0" u="sng"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Terrestrial Application Residues 
using mean Kenaga values</a:t>
            </a:r>
          </a:p>
        </c:rich>
      </c:tx>
      <c:layout>
        <c:manualLayout>
          <c:xMode val="factor"/>
          <c:yMode val="factor"/>
          <c:x val="0.001"/>
          <c:y val="-0.02"/>
        </c:manualLayout>
      </c:layout>
      <c:spPr>
        <a:noFill/>
        <a:ln>
          <a:noFill/>
        </a:ln>
      </c:spPr>
    </c:title>
    <c:plotArea>
      <c:layout>
        <c:manualLayout>
          <c:xMode val="edge"/>
          <c:yMode val="edge"/>
          <c:x val="0.03875"/>
          <c:y val="0.1145"/>
          <c:w val="0.839"/>
          <c:h val="0.78225"/>
        </c:manualLayout>
      </c:layout>
      <c:lineChart>
        <c:grouping val="standard"/>
        <c:varyColors val="0"/>
        <c:ser>
          <c:idx val="0"/>
          <c:order val="0"/>
          <c:tx>
            <c:strRef>
              <c:f>'mean Kenaga'!$A$27:$A$27</c:f>
              <c:strCache>
                <c:ptCount val="1"/>
                <c:pt idx="0">
                  <c:v>Short Grass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'mean Kenaga'!$M$21:$M$121</c:f>
              <c:numCache/>
            </c:numRef>
          </c:cat>
          <c:val>
            <c:numRef>
              <c:f>'mean Kenaga'!$P$21:$P$121</c:f>
              <c:numCache/>
            </c:numRef>
          </c:val>
          <c:smooth val="0"/>
        </c:ser>
        <c:ser>
          <c:idx val="1"/>
          <c:order val="1"/>
          <c:tx>
            <c:strRef>
              <c:f>'mean Kenaga'!$A$28:$A$28</c:f>
              <c:strCache>
                <c:ptCount val="1"/>
                <c:pt idx="0">
                  <c:v>Tall Grass </c:v>
                </c:pt>
              </c:strCache>
            </c:strRef>
          </c:tx>
          <c:extLst>
            <c:ext xmlns:c14="http://schemas.microsoft.com/office/drawing/2007/8/2/chart" uri="{6F2FDCE9-48DA-4B69-8628-5D25D57E5C99}">
              <c14:invertSolidFillFmt>
                <c14:spPr>
                  <a:solidFill>
                    <a:srgbClr val="000000"/>
                  </a:solidFill>
                </c14:spPr>
              </c14:invertSolidFillFmt>
            </c:ext>
          </c:extLst>
          <c:cat>
            <c:numRef>
              <c:f>'mean Kenaga'!$M$21:$M$121</c:f>
              <c:numCache/>
            </c:numRef>
          </c:cat>
          <c:val>
            <c:numRef>
              <c:f>'mean Kenaga'!$Q$21:$Q$121</c:f>
              <c:numCache/>
            </c:numRef>
          </c:val>
          <c:smooth val="0"/>
        </c:ser>
        <c:ser>
          <c:idx val="2"/>
          <c:order val="2"/>
          <c:tx>
            <c:strRef>
              <c:f>'mean Kenaga'!$A$29:$A$29</c:f>
              <c:strCache>
                <c:ptCount val="1"/>
                <c:pt idx="0">
                  <c:v>Broadleaf plants/sm Insects</c:v>
                </c:pt>
              </c:strCache>
            </c:strRef>
          </c:tx>
          <c:extLst>
            <c:ext xmlns:c14="http://schemas.microsoft.com/office/drawing/2007/8/2/chart" uri="{6F2FDCE9-48DA-4B69-8628-5D25D57E5C99}">
              <c14:invertSolidFillFmt>
                <c14:spPr>
                  <a:solidFill>
                    <a:srgbClr val="000000"/>
                  </a:solidFill>
                </c14:spPr>
              </c14:invertSolidFillFmt>
            </c:ext>
          </c:extLst>
          <c:cat>
            <c:numRef>
              <c:f>'mean Kenaga'!$M$21:$M$121</c:f>
              <c:numCache/>
            </c:numRef>
          </c:cat>
          <c:val>
            <c:numRef>
              <c:f>'mean Kenaga'!$R$21:$R$121</c:f>
              <c:numCache/>
            </c:numRef>
          </c:val>
          <c:smooth val="0"/>
        </c:ser>
        <c:ser>
          <c:idx val="3"/>
          <c:order val="3"/>
          <c:tx>
            <c:strRef>
              <c:f>'mean Kenaga'!$A$30:$A$30</c:f>
              <c:strCache>
                <c:ptCount val="1"/>
                <c:pt idx="0">
                  <c:v>Fruits/pods/seeds/lg insects</c:v>
                </c:pt>
              </c:strCache>
            </c:strRef>
          </c:tx>
          <c:extLst>
            <c:ext xmlns:c14="http://schemas.microsoft.com/office/drawing/2007/8/2/chart" uri="{6F2FDCE9-48DA-4B69-8628-5D25D57E5C99}">
              <c14:invertSolidFillFmt>
                <c14:spPr>
                  <a:solidFill>
                    <a:srgbClr val="000000"/>
                  </a:solidFill>
                </c14:spPr>
              </c14:invertSolidFillFmt>
            </c:ext>
          </c:extLst>
          <c:cat>
            <c:numRef>
              <c:f>'mean Kenaga'!$M$21:$M$121</c:f>
              <c:numCache/>
            </c:numRef>
          </c:cat>
          <c:val>
            <c:numRef>
              <c:f>'mean Kenaga'!$S$21:$S$121</c:f>
              <c:numCache/>
            </c:numRef>
          </c:val>
          <c:smooth val="0"/>
        </c:ser>
        <c:ser>
          <c:idx val="4"/>
          <c:order val="4"/>
          <c:tx>
            <c:strRef>
              <c:f>'mean Kenaga'!$B$12:$C$12</c:f>
              <c:strCache>
                <c:ptCount val="1"/>
                <c:pt idx="0">
                  <c:v>1 year</c:v>
                </c:pt>
              </c:strCache>
            </c:strRef>
          </c:tx>
          <c:spPr>
            <a:ln w="254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'mean Kenaga'!$M$21:$M$121</c:f>
              <c:numCache/>
            </c:numRef>
          </c:cat>
          <c:val>
            <c:numRef>
              <c:f>'mean Kenaga'!$T$21:$T$121</c:f>
              <c:numCache/>
            </c:numRef>
          </c:val>
          <c:smooth val="0"/>
        </c:ser>
        <c:marker val="1"/>
        <c:axId val="33335857"/>
        <c:axId val="31587258"/>
      </c:lineChart>
      <c:catAx>
        <c:axId val="33335857"/>
        <c:scaling>
          <c:orientation val="minMax"/>
        </c:scaling>
        <c:axPos val="b"/>
        <c:title>
          <c:tx>
            <c:rich>
              <a:bodyPr vert="horz" rot="0" anchor="ctr"/>
              <a:lstStyle/>
              <a:p>
                <a:pPr algn="ctr">
                  <a:defRPr/>
                </a:pPr>
                <a:r>
                  <a:rPr lang="en-US" cap="none" sz="1000" b="0" i="0" u="none" baseline="0">
                    <a:latin typeface="Arial"/>
                    <a:ea typeface="Arial"/>
                    <a:cs typeface="Arial"/>
                  </a:rPr>
                  <a:t>Days</a:t>
                </a:r>
              </a:p>
            </c:rich>
          </c:tx>
          <c:layout/>
          <c:overlay val="0"/>
          <c:spPr>
            <a:noFill/>
            <a:ln>
              <a:noFill/>
            </a:ln>
          </c:spPr>
        </c:title>
        <c:delete val="0"/>
        <c:numFmt formatCode="General" sourceLinked="1"/>
        <c:majorTickMark val="in"/>
        <c:minorTickMark val="none"/>
        <c:tickLblPos val="nextTo"/>
        <c:txPr>
          <a:bodyPr/>
          <a:lstStyle/>
          <a:p>
            <a:pPr>
              <a:defRPr lang="en-US" cap="none" sz="1125" b="0" i="0" u="none" baseline="0">
                <a:latin typeface="Arial"/>
                <a:ea typeface="Arial"/>
                <a:cs typeface="Arial"/>
              </a:defRPr>
            </a:pPr>
          </a:p>
        </c:txPr>
        <c:crossAx val="31587258"/>
        <c:crosses val="autoZero"/>
        <c:auto val="1"/>
        <c:lblOffset val="100"/>
        <c:tickMarkSkip val="5"/>
        <c:noMultiLvlLbl val="0"/>
      </c:catAx>
      <c:valAx>
        <c:axId val="31587258"/>
        <c:scaling>
          <c:orientation val="minMax"/>
        </c:scaling>
        <c:axPos val="l"/>
        <c:title>
          <c:tx>
            <c:rich>
              <a:bodyPr vert="horz" rot="-5400000" anchor="ctr"/>
              <a:lstStyle/>
              <a:p>
                <a:pPr algn="ctr">
                  <a:defRPr/>
                </a:pPr>
                <a:r>
                  <a:rPr lang="en-US" cap="none" sz="1000" b="0" i="0" u="none" baseline="0">
                    <a:latin typeface="Arial"/>
                    <a:ea typeface="Arial"/>
                    <a:cs typeface="Arial"/>
                  </a:rPr>
                  <a:t>Concentration (mg ai/kg dietary item)</a:t>
                </a:r>
              </a:p>
            </c:rich>
          </c:tx>
          <c:layout/>
          <c:overlay val="0"/>
          <c:spPr>
            <a:noFill/>
            <a:ln>
              <a:noFill/>
            </a:ln>
          </c:spPr>
        </c:title>
        <c:delete val="0"/>
        <c:numFmt formatCode="0" sourceLinked="0"/>
        <c:majorTickMark val="in"/>
        <c:minorTickMark val="none"/>
        <c:tickLblPos val="nextTo"/>
        <c:txPr>
          <a:bodyPr/>
          <a:lstStyle/>
          <a:p>
            <a:pPr>
              <a:defRPr lang="en-US" cap="none" sz="1000" b="0" i="0" u="none" baseline="0">
                <a:latin typeface="Arial"/>
                <a:ea typeface="Arial"/>
                <a:cs typeface="Arial"/>
              </a:defRPr>
            </a:pPr>
          </a:p>
        </c:txPr>
        <c:crossAx val="33335857"/>
        <c:crossesAt val="1"/>
        <c:crossBetween val="midCat"/>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txPr>
    <a:bodyPr vert="horz" rot="0"/>
    <a:lstStyle/>
    <a:p>
      <a:pPr>
        <a:defRPr lang="en-US" cap="none" sz="1000" b="0" i="0" u="sng"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Terrestrial Residues (upper bound estimates)
vs
Avian LOCs  (as dietary concentrations)</a:t>
            </a:r>
          </a:p>
        </c:rich>
      </c:tx>
      <c:layout/>
      <c:spPr>
        <a:noFill/>
        <a:ln>
          <a:noFill/>
        </a:ln>
      </c:spPr>
    </c:title>
    <c:plotArea>
      <c:layout>
        <c:manualLayout>
          <c:xMode val="edge"/>
          <c:yMode val="edge"/>
          <c:x val="0.02725"/>
          <c:y val="0.094"/>
          <c:w val="0.7665"/>
          <c:h val="0.84575"/>
        </c:manualLayout>
      </c:layout>
      <c:lineChart>
        <c:grouping val="standard"/>
        <c:varyColors val="0"/>
        <c:ser>
          <c:idx val="0"/>
          <c:order val="0"/>
          <c:tx>
            <c:strRef>
              <c:f>'upper bound Kenaga'!$A$27:$A$27</c:f>
              <c:strCache>
                <c:ptCount val="1"/>
                <c:pt idx="0">
                  <c:v>Short Grass </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99"/>
              </a:solidFill>
              <a:ln>
                <a:solidFill>
                  <a:srgbClr val="333399"/>
                </a:solidFill>
              </a:ln>
            </c:spPr>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numCache>
            </c:numRef>
          </c:cat>
          <c:val>
            <c:numRef>
              <c:f>'upper bound Kenaga'!$P$21:$P$126</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1"/>
          <c:order val="1"/>
          <c:tx>
            <c:strRef>
              <c:f>'upper bound Kenaga'!$A$28:$A$28</c:f>
              <c:strCache>
                <c:ptCount val="1"/>
                <c:pt idx="0">
                  <c:v>Tall Grass </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numCache>
            </c:numRef>
          </c:cat>
          <c:val>
            <c:numRef>
              <c:f>'upper bound Kenaga'!$Q$21:$Q$126</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2"/>
          <c:order val="2"/>
          <c:tx>
            <c:strRef>
              <c:f>'upper bound Kenaga'!$A$29:$A$29</c:f>
              <c:strCache>
                <c:ptCount val="1"/>
                <c:pt idx="0">
                  <c:v>Broadleaf plants/sm Insects</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numCache>
            </c:numRef>
          </c:cat>
          <c:val>
            <c:numRef>
              <c:f>'upper bound Kenaga'!$R$21:$R$126</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3"/>
          <c:order val="3"/>
          <c:tx>
            <c:strRef>
              <c:f>'upper bound Kenaga'!$A$30:$A$30</c:f>
              <c:strCache>
                <c:ptCount val="1"/>
                <c:pt idx="0">
                  <c:v>Fruits/pods/seeds/lg insects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numCache>
            </c:numRef>
          </c:cat>
          <c:val>
            <c:numRef>
              <c:f>'upper bound Kenaga'!$S$21:$S$126</c:f>
              <c:numCache>
                <c:ptCount val="10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numCache>
            </c:numRef>
          </c:val>
          <c:smooth val="0"/>
        </c:ser>
        <c:ser>
          <c:idx val="5"/>
          <c:order val="4"/>
          <c:tx>
            <c:v>Avian Acute Non-endangered LOC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numCache>
            </c:numRef>
          </c:cat>
          <c:val>
            <c:numRef>
              <c:f>Graphs!$AB$4:$AB$103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6"/>
          <c:order val="5"/>
          <c:tx>
            <c:v>Avian Chronic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00"/>
              </a:solidFill>
              <a:ln>
                <a:solidFill>
                  <a:srgbClr val="FF0000"/>
                </a:solidFill>
              </a:ln>
            </c:spPr>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numCache>
            </c:numRef>
          </c:cat>
          <c:val>
            <c:numRef>
              <c:f>Graphs!$AD$4:$AD$103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4"/>
          <c:order val="6"/>
          <c:tx>
            <c:v>Avian Acute Endangered LOC</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Graphs!$AC$4:$AC$103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15849867"/>
        <c:axId val="8431076"/>
      </c:lineChart>
      <c:catAx>
        <c:axId val="15849867"/>
        <c:scaling>
          <c:orientation val="minMax"/>
        </c:scaling>
        <c:axPos val="b"/>
        <c:title>
          <c:tx>
            <c:rich>
              <a:bodyPr vert="horz" rot="0" anchor="ctr"/>
              <a:lstStyle/>
              <a:p>
                <a:pPr algn="ctr">
                  <a:defRPr/>
                </a:pPr>
                <a:r>
                  <a:rPr lang="en-US" cap="none" sz="1000" b="0" i="0" u="none" baseline="0">
                    <a:latin typeface="Arial"/>
                    <a:ea typeface="Arial"/>
                    <a:cs typeface="Arial"/>
                  </a:rPr>
                  <a:t>Days</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8431076"/>
        <c:crosses val="autoZero"/>
        <c:auto val="1"/>
        <c:lblOffset val="100"/>
        <c:tickLblSkip val="4"/>
        <c:tickMarkSkip val="5"/>
        <c:noMultiLvlLbl val="0"/>
      </c:catAx>
      <c:valAx>
        <c:axId val="8431076"/>
        <c:scaling>
          <c:orientation val="minMax"/>
        </c:scaling>
        <c:axPos val="l"/>
        <c:title>
          <c:tx>
            <c:rich>
              <a:bodyPr vert="horz" rot="-5400000" anchor="ctr"/>
              <a:lstStyle/>
              <a:p>
                <a:pPr algn="ctr">
                  <a:defRPr/>
                </a:pPr>
                <a:r>
                  <a:rPr lang="en-US" cap="none" sz="1000" b="0" i="0" u="none" baseline="0">
                    <a:latin typeface="Arial"/>
                    <a:ea typeface="Arial"/>
                    <a:cs typeface="Arial"/>
                  </a:rPr>
                  <a:t>Concentration (mg ai/kg dietary item)</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15849867"/>
        <c:crossesAt val="1"/>
        <c:crossBetween val="midCat"/>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txPr>
    <a:bodyPr vert="horz" rot="0"/>
    <a:lstStyle/>
    <a:p>
      <a:pPr>
        <a:defRPr lang="en-US" cap="none" sz="1000" b="0" i="0" u="sng"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Terrestrial Residues (upper bound estimates)
vs
Mammalian Herbivore/Insectivore LOCs (as dietary concentrations</a:t>
            </a:r>
          </a:p>
        </c:rich>
      </c:tx>
      <c:layout>
        <c:manualLayout>
          <c:xMode val="factor"/>
          <c:yMode val="factor"/>
          <c:x val="-0.02525"/>
          <c:y val="0"/>
        </c:manualLayout>
      </c:layout>
      <c:spPr>
        <a:noFill/>
        <a:ln>
          <a:noFill/>
        </a:ln>
      </c:spPr>
    </c:title>
    <c:plotArea>
      <c:layout>
        <c:manualLayout>
          <c:xMode val="edge"/>
          <c:yMode val="edge"/>
          <c:x val="0.02725"/>
          <c:y val="0.09475"/>
          <c:w val="0.7655"/>
          <c:h val="0.84575"/>
        </c:manualLayout>
      </c:layout>
      <c:lineChart>
        <c:grouping val="standard"/>
        <c:varyColors val="0"/>
        <c:ser>
          <c:idx val="0"/>
          <c:order val="0"/>
          <c:tx>
            <c:strRef>
              <c:f>'upper bound Kenaga'!$A$27:$A$27</c:f>
              <c:strCache>
                <c:ptCount val="1"/>
                <c:pt idx="0">
                  <c:v>Short Grass </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numCache>
            </c:numRef>
          </c:cat>
          <c:val>
            <c:numRef>
              <c:f>'upper bound Kenaga'!$P$21:$P$126</c:f>
              <c:numCache>
                <c:ptCount val="106"/>
                <c:pt idx="0">
                  <c:v>600</c:v>
                </c:pt>
                <c:pt idx="1">
                  <c:v>578.5055987654971</c:v>
                </c:pt>
                <c:pt idx="2">
                  <c:v>557.7812130050438</c:v>
                </c:pt>
                <c:pt idx="3">
                  <c:v>537.7992576827136</c:v>
                </c:pt>
                <c:pt idx="4">
                  <c:v>518.5331359689634</c:v>
                </c:pt>
                <c:pt idx="5">
                  <c:v>499.95720383912675</c:v>
                </c:pt>
                <c:pt idx="6">
                  <c:v>1082.0467359401296</c:v>
                </c:pt>
                <c:pt idx="7">
                  <c:v>1043.2834914454938</c:v>
                </c:pt>
                <c:pt idx="8">
                  <c:v>1005.9089015013896</c:v>
                </c:pt>
                <c:pt idx="9">
                  <c:v>969.8732189443413</c:v>
                </c:pt>
                <c:pt idx="10">
                  <c:v>935.1284787533602</c:v>
                </c:pt>
                <c:pt idx="11">
                  <c:v>901.6284342064685</c:v>
                </c:pt>
                <c:pt idx="12">
                  <c:v>1469.328495324351</c:v>
                </c:pt>
                <c:pt idx="13">
                  <c:v>1416.691268284701</c:v>
                </c:pt>
                <c:pt idx="14">
                  <c:v>1365.9397173748207</c:v>
                </c:pt>
                <c:pt idx="15">
                  <c:v>1317.0062901291574</c:v>
                </c:pt>
                <c:pt idx="16">
                  <c:v>1269.8258540818235</c:v>
                </c:pt>
                <c:pt idx="17">
                  <c:v>1224.3356100725234</c:v>
                </c:pt>
                <c:pt idx="18">
                  <c:v>1780.4750086582087</c:v>
                </c:pt>
                <c:pt idx="19">
                  <c:v>1716.691268284701</c:v>
                </c:pt>
                <c:pt idx="20">
                  <c:v>1655.1925167575691</c:v>
                </c:pt>
                <c:pt idx="21">
                  <c:v>1595.8968966316793</c:v>
                </c:pt>
                <c:pt idx="22">
                  <c:v>1538.7254829231804</c:v>
                </c:pt>
                <c:pt idx="23">
                  <c:v>1483.6021780570052</c:v>
                </c:pt>
                <c:pt idx="24">
                  <c:v>2030.4536105777722</c:v>
                </c:pt>
                <c:pt idx="25">
                  <c:v>1957.7146362547658</c:v>
                </c:pt>
                <c:pt idx="26">
                  <c:v>1887.5814630975676</c:v>
                </c:pt>
                <c:pt idx="27">
                  <c:v>1819.9607408798522</c:v>
                </c:pt>
                <c:pt idx="28">
                  <c:v>1754.7624635539942</c:v>
                </c:pt>
                <c:pt idx="29">
                  <c:v>1691.8998494492034</c:v>
                </c:pt>
                <c:pt idx="30">
                  <c:v>2231.289225761443</c:v>
                </c:pt>
                <c:pt idx="31">
                  <c:v>2151.3555159468765</c:v>
                </c:pt>
                <c:pt idx="32">
                  <c:v>2074.285351517171</c:v>
                </c:pt>
                <c:pt idx="33">
                  <c:v>1999.9761488165675</c:v>
                </c:pt>
                <c:pt idx="34">
                  <c:v>1928.328999146402</c:v>
                </c:pt>
                <c:pt idx="35">
                  <c:v>1859.248537113435</c:v>
                </c:pt>
                <c:pt idx="36">
                  <c:v>2392.6428136944705</c:v>
                </c:pt>
                <c:pt idx="37">
                  <c:v>2306.9287726138054</c:v>
                </c:pt>
                <c:pt idx="38">
                  <c:v>2224.2853515171714</c:v>
                </c:pt>
                <c:pt idx="39">
                  <c:v>2144.602548507942</c:v>
                </c:pt>
                <c:pt idx="40">
                  <c:v>2067.774302397663</c:v>
                </c:pt>
                <c:pt idx="41">
                  <c:v>1993.6983515341135</c:v>
                </c:pt>
                <c:pt idx="42">
                  <c:v>2522.276097686711</c:v>
                </c:pt>
                <c:pt idx="43">
                  <c:v>2431.918073573587</c:v>
                </c:pt>
                <c:pt idx="44">
                  <c:v>2344.7970355022035</c:v>
                </c:pt>
                <c:pt idx="45">
                  <c:v>2260.7970216779413</c:v>
                </c:pt>
                <c:pt idx="46">
                  <c:v>2179.8062245217498</c:v>
                </c:pt>
                <c:pt idx="47">
                  <c:v>2101.7168418495207</c:v>
                </c:pt>
                <c:pt idx="48">
                  <c:v>2026.4249333828109</c:v>
                </c:pt>
                <c:pt idx="49">
                  <c:v>1953.8302823999259</c:v>
                </c:pt>
                <c:pt idx="50">
                  <c:v>1883.8362623432156</c:v>
                </c:pt>
                <c:pt idx="51">
                  <c:v>1816.3497082050299</c:v>
                </c:pt>
                <c:pt idx="52">
                  <c:v>1751.2807925211443</c:v>
                </c:pt>
                <c:pt idx="53">
                  <c:v>1688.5429058065981</c:v>
                </c:pt>
                <c:pt idx="54">
                  <c:v>1628.0525412747972</c:v>
                </c:pt>
                <c:pt idx="55">
                  <c:v>1569.7291836864429</c:v>
                </c:pt>
                <c:pt idx="56">
                  <c:v>1513.4952021803342</c:v>
                </c:pt>
                <c:pt idx="57">
                  <c:v>1459.275746943402</c:v>
                </c:pt>
                <c:pt idx="58">
                  <c:v>1406.9986495824346</c:v>
                </c:pt>
                <c:pt idx="59">
                  <c:v>1356.5943270648868</c:v>
                </c:pt>
                <c:pt idx="60">
                  <c:v>1307.995689100915</c:v>
                </c:pt>
                <c:pt idx="61">
                  <c:v>1261.138048843356</c:v>
                </c:pt>
                <c:pt idx="62">
                  <c:v>1215.9590367867938</c:v>
                </c:pt>
                <c:pt idx="63">
                  <c:v>1172.398517751102</c:v>
                </c:pt>
                <c:pt idx="64">
                  <c:v>1130.3985108389709</c:v>
                </c:pt>
                <c:pt idx="65">
                  <c:v>1089.903112260875</c:v>
                </c:pt>
                <c:pt idx="66">
                  <c:v>1050.8584209247606</c:v>
                </c:pt>
                <c:pt idx="67">
                  <c:v>1013.2124666914056</c:v>
                </c:pt>
                <c:pt idx="68">
                  <c:v>976.915141199963</c:v>
                </c:pt>
                <c:pt idx="69">
                  <c:v>941.9181311716079</c:v>
                </c:pt>
                <c:pt idx="70">
                  <c:v>908.174854102515</c:v>
                </c:pt>
                <c:pt idx="71">
                  <c:v>875.6403962605723</c:v>
                </c:pt>
                <c:pt idx="72">
                  <c:v>844.2714529032992</c:v>
                </c:pt>
                <c:pt idx="73">
                  <c:v>814.0262706373987</c:v>
                </c:pt>
                <c:pt idx="74">
                  <c:v>784.8645918432215</c:v>
                </c:pt>
                <c:pt idx="75">
                  <c:v>756.7476010901672</c:v>
                </c:pt>
                <c:pt idx="76">
                  <c:v>729.6378734717011</c:v>
                </c:pt>
                <c:pt idx="77">
                  <c:v>703.4993247912174</c:v>
                </c:pt>
                <c:pt idx="78">
                  <c:v>678.2971635324435</c:v>
                </c:pt>
                <c:pt idx="79">
                  <c:v>653.9978445504576</c:v>
                </c:pt>
                <c:pt idx="80">
                  <c:v>630.5690244216781</c:v>
                </c:pt>
                <c:pt idx="81">
                  <c:v>607.979518393397</c:v>
                </c:pt>
                <c:pt idx="82">
                  <c:v>586.1992588755511</c:v>
                </c:pt>
                <c:pt idx="83">
                  <c:v>565.1992554194856</c:v>
                </c:pt>
                <c:pt idx="84">
                  <c:v>544.9515561304377</c:v>
                </c:pt>
                <c:pt idx="85">
                  <c:v>525.4292104623804</c:v>
                </c:pt>
                <c:pt idx="86">
                  <c:v>506.6062333457029</c:v>
                </c:pt>
                <c:pt idx="87">
                  <c:v>488.45757059998164</c:v>
                </c:pt>
                <c:pt idx="88">
                  <c:v>470.95906558580407</c:v>
                </c:pt>
                <c:pt idx="89">
                  <c:v>454.08742705125763</c:v>
                </c:pt>
                <c:pt idx="90">
                  <c:v>437.82019813028626</c:v>
                </c:pt>
                <c:pt idx="91">
                  <c:v>422.1357264516497</c:v>
                </c:pt>
                <c:pt idx="92">
                  <c:v>407.0131353186995</c:v>
                </c:pt>
                <c:pt idx="93">
                  <c:v>392.4322959216109</c:v>
                </c:pt>
                <c:pt idx="94">
                  <c:v>378.3738005450837</c:v>
                </c:pt>
                <c:pt idx="95">
                  <c:v>364.8189367358507</c:v>
                </c:pt>
                <c:pt idx="96">
                  <c:v>351.7496623956088</c:v>
                </c:pt>
                <c:pt idx="97">
                  <c:v>339.14858176622187</c:v>
                </c:pt>
                <c:pt idx="98">
                  <c:v>326.99892227522884</c:v>
                </c:pt>
                <c:pt idx="99">
                  <c:v>315.2845122108391</c:v>
                </c:pt>
                <c:pt idx="100">
                  <c:v>303.98975919669857</c:v>
                </c:pt>
                <c:pt idx="101">
                  <c:v>293.0996294377756</c:v>
                </c:pt>
                <c:pt idx="102">
                  <c:v>282.5996277097428</c:v>
                </c:pt>
                <c:pt idx="103">
                  <c:v>272.47577806521883</c:v>
                </c:pt>
                <c:pt idx="104">
                  <c:v>262.7146052311902</c:v>
                </c:pt>
                <c:pt idx="105">
                  <c:v>253.30311667285144</c:v>
                </c:pt>
              </c:numCache>
            </c:numRef>
          </c:val>
          <c:smooth val="0"/>
        </c:ser>
        <c:ser>
          <c:idx val="1"/>
          <c:order val="1"/>
          <c:tx>
            <c:strRef>
              <c:f>'upper bound Kenaga'!$A$28:$A$28</c:f>
              <c:strCache>
                <c:ptCount val="1"/>
                <c:pt idx="0">
                  <c:v>Tall Grass </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numCache>
            </c:numRef>
          </c:cat>
          <c:val>
            <c:numRef>
              <c:f>'upper bound Kenaga'!$Q$21:$Q$126</c:f>
              <c:numCache>
                <c:ptCount val="106"/>
                <c:pt idx="0">
                  <c:v>275</c:v>
                </c:pt>
                <c:pt idx="1">
                  <c:v>265.14839943418616</c:v>
                </c:pt>
                <c:pt idx="2">
                  <c:v>255.64972262731175</c:v>
                </c:pt>
                <c:pt idx="3">
                  <c:v>246.49132643791037</c:v>
                </c:pt>
                <c:pt idx="4">
                  <c:v>237.66102065244155</c:v>
                </c:pt>
                <c:pt idx="5">
                  <c:v>229.14705175959978</c:v>
                </c:pt>
                <c:pt idx="6">
                  <c:v>495.9380873058927</c:v>
                </c:pt>
                <c:pt idx="7">
                  <c:v>478.1716002458513</c:v>
                </c:pt>
                <c:pt idx="8">
                  <c:v>461.0415798548035</c:v>
                </c:pt>
                <c:pt idx="9">
                  <c:v>444.5252253494897</c:v>
                </c:pt>
                <c:pt idx="10">
                  <c:v>428.60055276195675</c:v>
                </c:pt>
                <c:pt idx="11">
                  <c:v>413.24636567796466</c:v>
                </c:pt>
                <c:pt idx="12">
                  <c:v>673.4422270236608</c:v>
                </c:pt>
                <c:pt idx="13">
                  <c:v>649.3168312971545</c:v>
                </c:pt>
                <c:pt idx="14">
                  <c:v>626.0557037967927</c:v>
                </c:pt>
                <c:pt idx="15">
                  <c:v>603.6278829758637</c:v>
                </c:pt>
                <c:pt idx="16">
                  <c:v>582.003516454169</c:v>
                </c:pt>
                <c:pt idx="17">
                  <c:v>561.1538212832397</c:v>
                </c:pt>
                <c:pt idx="18">
                  <c:v>816.0510456350122</c:v>
                </c:pt>
                <c:pt idx="19">
                  <c:v>786.8168312971545</c:v>
                </c:pt>
                <c:pt idx="20">
                  <c:v>758.6299035138858</c:v>
                </c:pt>
                <c:pt idx="21">
                  <c:v>731.4527442895196</c:v>
                </c:pt>
                <c:pt idx="22">
                  <c:v>705.2491796731242</c:v>
                </c:pt>
                <c:pt idx="23">
                  <c:v>679.9843316094606</c:v>
                </c:pt>
                <c:pt idx="24">
                  <c:v>930.6245715148121</c:v>
                </c:pt>
                <c:pt idx="25">
                  <c:v>897.2858749501008</c:v>
                </c:pt>
                <c:pt idx="26">
                  <c:v>865.1415039197183</c:v>
                </c:pt>
                <c:pt idx="27">
                  <c:v>834.1486729032654</c:v>
                </c:pt>
                <c:pt idx="28">
                  <c:v>804.2661291289138</c:v>
                </c:pt>
                <c:pt idx="29">
                  <c:v>775.4540976642181</c:v>
                </c:pt>
                <c:pt idx="30">
                  <c:v>1022.6742284739946</c:v>
                </c:pt>
                <c:pt idx="31">
                  <c:v>986.037944808985</c:v>
                </c:pt>
                <c:pt idx="32">
                  <c:v>950.71411944537</c:v>
                </c:pt>
                <c:pt idx="33">
                  <c:v>916.6557348742601</c:v>
                </c:pt>
                <c:pt idx="34">
                  <c:v>883.817457942101</c:v>
                </c:pt>
                <c:pt idx="35">
                  <c:v>852.1555795103244</c:v>
                </c:pt>
                <c:pt idx="36">
                  <c:v>1096.6279562766322</c:v>
                </c:pt>
                <c:pt idx="37">
                  <c:v>1057.3423541146608</c:v>
                </c:pt>
                <c:pt idx="38">
                  <c:v>1019.4641194453701</c:v>
                </c:pt>
                <c:pt idx="39">
                  <c:v>982.9428347328068</c:v>
                </c:pt>
                <c:pt idx="40">
                  <c:v>947.7298885989289</c:v>
                </c:pt>
                <c:pt idx="41">
                  <c:v>913.7784111198021</c:v>
                </c:pt>
                <c:pt idx="42">
                  <c:v>1156.0432114397427</c:v>
                </c:pt>
                <c:pt idx="43">
                  <c:v>1114.6291170545608</c:v>
                </c:pt>
                <c:pt idx="44">
                  <c:v>1074.6986412718434</c:v>
                </c:pt>
                <c:pt idx="45">
                  <c:v>1036.198634935723</c:v>
                </c:pt>
                <c:pt idx="46">
                  <c:v>999.0778529058019</c:v>
                </c:pt>
                <c:pt idx="47">
                  <c:v>963.2868858476969</c:v>
                </c:pt>
                <c:pt idx="48">
                  <c:v>928.7780944671215</c:v>
                </c:pt>
                <c:pt idx="49">
                  <c:v>895.5055460999658</c:v>
                </c:pt>
                <c:pt idx="50">
                  <c:v>863.4249535739737</c:v>
                </c:pt>
                <c:pt idx="51">
                  <c:v>832.4936162606385</c:v>
                </c:pt>
                <c:pt idx="52">
                  <c:v>802.6703632388577</c:v>
                </c:pt>
                <c:pt idx="53">
                  <c:v>773.9154984946906</c:v>
                </c:pt>
                <c:pt idx="54">
                  <c:v>746.1907480842818</c:v>
                </c:pt>
                <c:pt idx="55">
                  <c:v>719.4592091896194</c:v>
                </c:pt>
                <c:pt idx="56">
                  <c:v>693.6853009993196</c:v>
                </c:pt>
                <c:pt idx="57">
                  <c:v>668.834717349059</c:v>
                </c:pt>
                <c:pt idx="58">
                  <c:v>644.8743810586157</c:v>
                </c:pt>
                <c:pt idx="59">
                  <c:v>621.7723999047396</c:v>
                </c:pt>
                <c:pt idx="60">
                  <c:v>599.4980241712524</c:v>
                </c:pt>
                <c:pt idx="61">
                  <c:v>578.0216057198713</c:v>
                </c:pt>
                <c:pt idx="62">
                  <c:v>557.3145585272804</c:v>
                </c:pt>
                <c:pt idx="63">
                  <c:v>537.3493206359217</c:v>
                </c:pt>
                <c:pt idx="64">
                  <c:v>518.0993174678615</c:v>
                </c:pt>
                <c:pt idx="65">
                  <c:v>499.53892645290097</c:v>
                </c:pt>
                <c:pt idx="66">
                  <c:v>481.64344292384845</c:v>
                </c:pt>
                <c:pt idx="67">
                  <c:v>464.38904723356075</c:v>
                </c:pt>
                <c:pt idx="68">
                  <c:v>447.7527730499829</c:v>
                </c:pt>
                <c:pt idx="69">
                  <c:v>431.7124767869868</c:v>
                </c:pt>
                <c:pt idx="70">
                  <c:v>416.24680813031927</c:v>
                </c:pt>
                <c:pt idx="71">
                  <c:v>401.33518161942885</c:v>
                </c:pt>
                <c:pt idx="72">
                  <c:v>386.9577492473453</c:v>
                </c:pt>
                <c:pt idx="73">
                  <c:v>373.0953740421409</c:v>
                </c:pt>
                <c:pt idx="74">
                  <c:v>359.7296045948097</c:v>
                </c:pt>
                <c:pt idx="75">
                  <c:v>346.8426504996598</c:v>
                </c:pt>
                <c:pt idx="76">
                  <c:v>334.4173586745295</c:v>
                </c:pt>
                <c:pt idx="77">
                  <c:v>322.4371905293078</c:v>
                </c:pt>
                <c:pt idx="78">
                  <c:v>310.8861999523698</c:v>
                </c:pt>
                <c:pt idx="79">
                  <c:v>299.7490120856262</c:v>
                </c:pt>
                <c:pt idx="80">
                  <c:v>289.01080285993567</c:v>
                </c:pt>
                <c:pt idx="81">
                  <c:v>278.6572792636402</c:v>
                </c:pt>
                <c:pt idx="82">
                  <c:v>268.67466031796084</c:v>
                </c:pt>
                <c:pt idx="83">
                  <c:v>259.04965873393076</c:v>
                </c:pt>
                <c:pt idx="84">
                  <c:v>249.76946322645048</c:v>
                </c:pt>
                <c:pt idx="85">
                  <c:v>240.82172146192423</c:v>
                </c:pt>
                <c:pt idx="86">
                  <c:v>232.19452361678037</c:v>
                </c:pt>
                <c:pt idx="87">
                  <c:v>223.87638652499146</c:v>
                </c:pt>
                <c:pt idx="88">
                  <c:v>215.8562383934934</c:v>
                </c:pt>
                <c:pt idx="89">
                  <c:v>208.12340406515963</c:v>
                </c:pt>
                <c:pt idx="90">
                  <c:v>200.66759080971443</c:v>
                </c:pt>
                <c:pt idx="91">
                  <c:v>193.47887462367265</c:v>
                </c:pt>
                <c:pt idx="92">
                  <c:v>186.54768702107046</c:v>
                </c:pt>
                <c:pt idx="93">
                  <c:v>179.86480229740485</c:v>
                </c:pt>
                <c:pt idx="94">
                  <c:v>173.4213252498299</c:v>
                </c:pt>
                <c:pt idx="95">
                  <c:v>167.20867933726475</c:v>
                </c:pt>
                <c:pt idx="96">
                  <c:v>161.2185952646539</c:v>
                </c:pt>
                <c:pt idx="97">
                  <c:v>155.4430999761849</c:v>
                </c:pt>
                <c:pt idx="98">
                  <c:v>149.8745060428131</c:v>
                </c:pt>
                <c:pt idx="99">
                  <c:v>144.50540142996783</c:v>
                </c:pt>
                <c:pt idx="100">
                  <c:v>139.3286396318201</c:v>
                </c:pt>
                <c:pt idx="101">
                  <c:v>134.33733015898042</c:v>
                </c:pt>
                <c:pt idx="102">
                  <c:v>129.52482936696538</c:v>
                </c:pt>
                <c:pt idx="103">
                  <c:v>124.88473161322524</c:v>
                </c:pt>
                <c:pt idx="104">
                  <c:v>120.41086073096211</c:v>
                </c:pt>
                <c:pt idx="105">
                  <c:v>116.09726180839019</c:v>
                </c:pt>
              </c:numCache>
            </c:numRef>
          </c:val>
          <c:smooth val="0"/>
        </c:ser>
        <c:ser>
          <c:idx val="2"/>
          <c:order val="2"/>
          <c:tx>
            <c:strRef>
              <c:f>'upper bound Kenaga'!$A$29:$A$29</c:f>
              <c:strCache>
                <c:ptCount val="1"/>
                <c:pt idx="0">
                  <c:v>Broadleaf plants/sm Insects</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numCache>
            </c:numRef>
          </c:cat>
          <c:val>
            <c:numRef>
              <c:f>'upper bound Kenaga'!$R$21:$R$126</c:f>
              <c:numCache>
                <c:ptCount val="106"/>
                <c:pt idx="0">
                  <c:v>337.5</c:v>
                </c:pt>
                <c:pt idx="1">
                  <c:v>325.4093993055921</c:v>
                </c:pt>
                <c:pt idx="2">
                  <c:v>313.7519323153371</c:v>
                </c:pt>
                <c:pt idx="3">
                  <c:v>302.51208244652634</c:v>
                </c:pt>
                <c:pt idx="4">
                  <c:v>291.67488898254186</c:v>
                </c:pt>
                <c:pt idx="5">
                  <c:v>281.2259271595088</c:v>
                </c:pt>
                <c:pt idx="6">
                  <c:v>608.6512889663228</c:v>
                </c:pt>
                <c:pt idx="7">
                  <c:v>586.8469639380902</c:v>
                </c:pt>
                <c:pt idx="8">
                  <c:v>565.8237570945315</c:v>
                </c:pt>
                <c:pt idx="9">
                  <c:v>545.5536856561919</c:v>
                </c:pt>
                <c:pt idx="10">
                  <c:v>526.009769298765</c:v>
                </c:pt>
                <c:pt idx="11">
                  <c:v>507.1659942411384</c:v>
                </c:pt>
                <c:pt idx="12">
                  <c:v>826.4972786199473</c:v>
                </c:pt>
                <c:pt idx="13">
                  <c:v>796.8888384101441</c:v>
                </c:pt>
                <c:pt idx="14">
                  <c:v>768.3410910233364</c:v>
                </c:pt>
                <c:pt idx="15">
                  <c:v>740.8160381976509</c:v>
                </c:pt>
                <c:pt idx="16">
                  <c:v>714.2770429210256</c:v>
                </c:pt>
                <c:pt idx="17">
                  <c:v>688.6887806657942</c:v>
                </c:pt>
                <c:pt idx="18">
                  <c:v>1001.5171923702422</c:v>
                </c:pt>
                <c:pt idx="19">
                  <c:v>965.6388384101441</c:v>
                </c:pt>
                <c:pt idx="20">
                  <c:v>931.0457906761325</c:v>
                </c:pt>
                <c:pt idx="21">
                  <c:v>897.6920043553195</c:v>
                </c:pt>
                <c:pt idx="22">
                  <c:v>865.5330841442888</c:v>
                </c:pt>
                <c:pt idx="23">
                  <c:v>834.5262251570651</c:v>
                </c:pt>
                <c:pt idx="24">
                  <c:v>1142.1301559499966</c:v>
                </c:pt>
                <c:pt idx="25">
                  <c:v>1101.2144828933056</c:v>
                </c:pt>
                <c:pt idx="26">
                  <c:v>1061.7645729923815</c:v>
                </c:pt>
                <c:pt idx="27">
                  <c:v>1023.7279167449167</c:v>
                </c:pt>
                <c:pt idx="28">
                  <c:v>987.0538857491216</c:v>
                </c:pt>
                <c:pt idx="29">
                  <c:v>951.6936653151769</c:v>
                </c:pt>
                <c:pt idx="30">
                  <c:v>1255.1001894908115</c:v>
                </c:pt>
                <c:pt idx="31">
                  <c:v>1210.1374777201179</c:v>
                </c:pt>
                <c:pt idx="32">
                  <c:v>1166.7855102284086</c:v>
                </c:pt>
                <c:pt idx="33">
                  <c:v>1124.9865837093191</c:v>
                </c:pt>
                <c:pt idx="34">
                  <c:v>1084.685062019851</c:v>
                </c:pt>
                <c:pt idx="35">
                  <c:v>1045.8273021263071</c:v>
                </c:pt>
                <c:pt idx="36">
                  <c:v>1345.8615827031394</c:v>
                </c:pt>
                <c:pt idx="37">
                  <c:v>1297.6474345952654</c:v>
                </c:pt>
                <c:pt idx="38">
                  <c:v>1251.1605102284086</c:v>
                </c:pt>
                <c:pt idx="39">
                  <c:v>1206.3389335357172</c:v>
                </c:pt>
                <c:pt idx="40">
                  <c:v>1163.1230450986855</c:v>
                </c:pt>
                <c:pt idx="41">
                  <c:v>1121.4553227379388</c:v>
                </c:pt>
                <c:pt idx="42">
                  <c:v>1418.780304948775</c:v>
                </c:pt>
                <c:pt idx="43">
                  <c:v>1367.9539163851425</c:v>
                </c:pt>
                <c:pt idx="44">
                  <c:v>1318.9483324699893</c:v>
                </c:pt>
                <c:pt idx="45">
                  <c:v>1271.6983246938416</c:v>
                </c:pt>
                <c:pt idx="46">
                  <c:v>1226.141001293484</c:v>
                </c:pt>
                <c:pt idx="47">
                  <c:v>1182.215723540355</c:v>
                </c:pt>
                <c:pt idx="48">
                  <c:v>1139.8640250278306</c:v>
                </c:pt>
                <c:pt idx="49">
                  <c:v>1099.0295338499577</c:v>
                </c:pt>
                <c:pt idx="50">
                  <c:v>1059.6578975680582</c:v>
                </c:pt>
                <c:pt idx="51">
                  <c:v>1021.6967108653287</c:v>
                </c:pt>
                <c:pt idx="52">
                  <c:v>985.0954457931431</c:v>
                </c:pt>
                <c:pt idx="53">
                  <c:v>949.8053845162108</c:v>
                </c:pt>
                <c:pt idx="54">
                  <c:v>915.7795544670728</c:v>
                </c:pt>
                <c:pt idx="55">
                  <c:v>882.9726658236234</c:v>
                </c:pt>
                <c:pt idx="56">
                  <c:v>851.3410512264373</c:v>
                </c:pt>
                <c:pt idx="57">
                  <c:v>820.8426076556631</c:v>
                </c:pt>
                <c:pt idx="58">
                  <c:v>791.4367403901189</c:v>
                </c:pt>
                <c:pt idx="59">
                  <c:v>763.0843089739983</c:v>
                </c:pt>
                <c:pt idx="60">
                  <c:v>735.7475751192641</c:v>
                </c:pt>
                <c:pt idx="61">
                  <c:v>709.3901524743873</c:v>
                </c:pt>
                <c:pt idx="62">
                  <c:v>683.9769581925711</c:v>
                </c:pt>
                <c:pt idx="63">
                  <c:v>659.4741662349945</c:v>
                </c:pt>
                <c:pt idx="64">
                  <c:v>635.8491623469207</c:v>
                </c:pt>
                <c:pt idx="65">
                  <c:v>613.0705006467418</c:v>
                </c:pt>
                <c:pt idx="66">
                  <c:v>591.1078617701774</c:v>
                </c:pt>
                <c:pt idx="67">
                  <c:v>569.9320125139152</c:v>
                </c:pt>
                <c:pt idx="68">
                  <c:v>549.5147669249787</c:v>
                </c:pt>
                <c:pt idx="69">
                  <c:v>529.828948784029</c:v>
                </c:pt>
                <c:pt idx="70">
                  <c:v>510.8483554326642</c:v>
                </c:pt>
                <c:pt idx="71">
                  <c:v>492.5477228965715</c:v>
                </c:pt>
                <c:pt idx="72">
                  <c:v>474.90269225810533</c:v>
                </c:pt>
                <c:pt idx="73">
                  <c:v>457.88977723353634</c:v>
                </c:pt>
                <c:pt idx="74">
                  <c:v>441.48633291181164</c:v>
                </c:pt>
                <c:pt idx="75">
                  <c:v>425.6705256132186</c:v>
                </c:pt>
                <c:pt idx="76">
                  <c:v>410.4213038278315</c:v>
                </c:pt>
                <c:pt idx="77">
                  <c:v>395.7183701950594</c:v>
                </c:pt>
                <c:pt idx="78">
                  <c:v>381.5421544869991</c:v>
                </c:pt>
                <c:pt idx="79">
                  <c:v>367.873787559632</c:v>
                </c:pt>
                <c:pt idx="80">
                  <c:v>354.6950762371936</c:v>
                </c:pt>
                <c:pt idx="81">
                  <c:v>341.9884790962855</c:v>
                </c:pt>
                <c:pt idx="82">
                  <c:v>329.7370831174972</c:v>
                </c:pt>
                <c:pt idx="83">
                  <c:v>317.9245811734603</c:v>
                </c:pt>
                <c:pt idx="84">
                  <c:v>306.53525032337086</c:v>
                </c:pt>
                <c:pt idx="85">
                  <c:v>295.5539308850886</c:v>
                </c:pt>
                <c:pt idx="86">
                  <c:v>284.96600625695754</c:v>
                </c:pt>
                <c:pt idx="87">
                  <c:v>274.7573834624893</c:v>
                </c:pt>
                <c:pt idx="88">
                  <c:v>264.9144743920144</c:v>
                </c:pt>
                <c:pt idx="89">
                  <c:v>255.42417771633208</c:v>
                </c:pt>
                <c:pt idx="90">
                  <c:v>246.27386144828571</c:v>
                </c:pt>
                <c:pt idx="91">
                  <c:v>237.45134612905264</c:v>
                </c:pt>
                <c:pt idx="92">
                  <c:v>228.94488861676814</c:v>
                </c:pt>
                <c:pt idx="93">
                  <c:v>220.7431664559058</c:v>
                </c:pt>
                <c:pt idx="94">
                  <c:v>212.83526280660928</c:v>
                </c:pt>
                <c:pt idx="95">
                  <c:v>205.2106519139157</c:v>
                </c:pt>
                <c:pt idx="96">
                  <c:v>197.85918509752966</c:v>
                </c:pt>
                <c:pt idx="97">
                  <c:v>190.77107724349952</c:v>
                </c:pt>
                <c:pt idx="98">
                  <c:v>183.93689377981596</c:v>
                </c:pt>
                <c:pt idx="99">
                  <c:v>177.34753811859676</c:v>
                </c:pt>
                <c:pt idx="100">
                  <c:v>170.99423954814273</c:v>
                </c:pt>
                <c:pt idx="101">
                  <c:v>164.86854155874857</c:v>
                </c:pt>
                <c:pt idx="102">
                  <c:v>158.96229058673012</c:v>
                </c:pt>
                <c:pt idx="103">
                  <c:v>153.2676251616854</c:v>
                </c:pt>
                <c:pt idx="104">
                  <c:v>147.77696544254428</c:v>
                </c:pt>
                <c:pt idx="105">
                  <c:v>142.48300312847874</c:v>
                </c:pt>
              </c:numCache>
            </c:numRef>
          </c:val>
          <c:smooth val="0"/>
        </c:ser>
        <c:ser>
          <c:idx val="3"/>
          <c:order val="3"/>
          <c:tx>
            <c:strRef>
              <c:f>'upper bound Kenaga'!$A$30:$A$30</c:f>
              <c:strCache>
                <c:ptCount val="1"/>
                <c:pt idx="0">
                  <c:v>Fruits/pods/seeds/lg insects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numCache>
            </c:numRef>
          </c:cat>
          <c:val>
            <c:numRef>
              <c:f>'upper bound Kenaga'!$S$21:$S$126</c:f>
              <c:numCache>
                <c:ptCount val="106"/>
                <c:pt idx="0">
                  <c:v>37.5</c:v>
                </c:pt>
                <c:pt idx="1">
                  <c:v>36.15659992284357</c:v>
                </c:pt>
                <c:pt idx="2">
                  <c:v>34.86132581281524</c:v>
                </c:pt>
                <c:pt idx="3">
                  <c:v>33.6124536051696</c:v>
                </c:pt>
                <c:pt idx="4">
                  <c:v>32.40832099806021</c:v>
                </c:pt>
                <c:pt idx="5">
                  <c:v>31.24732523994542</c:v>
                </c:pt>
                <c:pt idx="6">
                  <c:v>67.6279209962581</c:v>
                </c:pt>
                <c:pt idx="7">
                  <c:v>65.20521821534336</c:v>
                </c:pt>
                <c:pt idx="8">
                  <c:v>62.86930634383685</c:v>
                </c:pt>
                <c:pt idx="9">
                  <c:v>60.61707618402133</c:v>
                </c:pt>
                <c:pt idx="10">
                  <c:v>58.445529922085015</c:v>
                </c:pt>
                <c:pt idx="11">
                  <c:v>56.35177713790428</c:v>
                </c:pt>
                <c:pt idx="12">
                  <c:v>91.83303095777194</c:v>
                </c:pt>
                <c:pt idx="13">
                  <c:v>88.54320426779381</c:v>
                </c:pt>
                <c:pt idx="14">
                  <c:v>85.3712323359263</c:v>
                </c:pt>
                <c:pt idx="15">
                  <c:v>82.31289313307234</c:v>
                </c:pt>
                <c:pt idx="16">
                  <c:v>79.36411588011397</c:v>
                </c:pt>
                <c:pt idx="17">
                  <c:v>76.52097562953271</c:v>
                </c:pt>
                <c:pt idx="18">
                  <c:v>111.27968804113804</c:v>
                </c:pt>
                <c:pt idx="19">
                  <c:v>107.29320426779381</c:v>
                </c:pt>
                <c:pt idx="20">
                  <c:v>103.44953229734807</c:v>
                </c:pt>
                <c:pt idx="21">
                  <c:v>99.74355603947996</c:v>
                </c:pt>
                <c:pt idx="22">
                  <c:v>96.17034268269877</c:v>
                </c:pt>
                <c:pt idx="23">
                  <c:v>92.72513612856282</c:v>
                </c:pt>
                <c:pt idx="24">
                  <c:v>126.90335066111076</c:v>
                </c:pt>
                <c:pt idx="25">
                  <c:v>122.35716476592286</c:v>
                </c:pt>
                <c:pt idx="26">
                  <c:v>117.97384144359798</c:v>
                </c:pt>
                <c:pt idx="27">
                  <c:v>113.74754630499076</c:v>
                </c:pt>
                <c:pt idx="28">
                  <c:v>109.67265397212464</c:v>
                </c:pt>
                <c:pt idx="29">
                  <c:v>105.74374059057521</c:v>
                </c:pt>
                <c:pt idx="30">
                  <c:v>139.4555766100902</c:v>
                </c:pt>
                <c:pt idx="31">
                  <c:v>134.45971974667978</c:v>
                </c:pt>
                <c:pt idx="32">
                  <c:v>129.64283446982319</c:v>
                </c:pt>
                <c:pt idx="33">
                  <c:v>124.99850930103547</c:v>
                </c:pt>
                <c:pt idx="34">
                  <c:v>120.52056244665013</c:v>
                </c:pt>
                <c:pt idx="35">
                  <c:v>116.20303356958969</c:v>
                </c:pt>
                <c:pt idx="36">
                  <c:v>149.5401758559044</c:v>
                </c:pt>
                <c:pt idx="37">
                  <c:v>144.18304828836284</c:v>
                </c:pt>
                <c:pt idx="38">
                  <c:v>139.0178344698232</c:v>
                </c:pt>
                <c:pt idx="39">
                  <c:v>134.0376592817464</c:v>
                </c:pt>
                <c:pt idx="40">
                  <c:v>129.23589389985395</c:v>
                </c:pt>
                <c:pt idx="41">
                  <c:v>124.6061469708821</c:v>
                </c:pt>
                <c:pt idx="42">
                  <c:v>157.64225610541945</c:v>
                </c:pt>
                <c:pt idx="43">
                  <c:v>151.9948795983492</c:v>
                </c:pt>
                <c:pt idx="44">
                  <c:v>146.54981471888772</c:v>
                </c:pt>
                <c:pt idx="45">
                  <c:v>141.29981385487133</c:v>
                </c:pt>
                <c:pt idx="46">
                  <c:v>136.23788903260936</c:v>
                </c:pt>
                <c:pt idx="47">
                  <c:v>131.35730261559505</c:v>
                </c:pt>
                <c:pt idx="48">
                  <c:v>126.65155833642568</c:v>
                </c:pt>
                <c:pt idx="49">
                  <c:v>122.11439264999537</c:v>
                </c:pt>
                <c:pt idx="50">
                  <c:v>117.73976639645097</c:v>
                </c:pt>
                <c:pt idx="51">
                  <c:v>113.52185676281437</c:v>
                </c:pt>
                <c:pt idx="52">
                  <c:v>109.45504953257152</c:v>
                </c:pt>
                <c:pt idx="53">
                  <c:v>105.53393161291238</c:v>
                </c:pt>
                <c:pt idx="54">
                  <c:v>101.75328382967483</c:v>
                </c:pt>
                <c:pt idx="55">
                  <c:v>98.10807398040268</c:v>
                </c:pt>
                <c:pt idx="56">
                  <c:v>94.59345013627089</c:v>
                </c:pt>
                <c:pt idx="57">
                  <c:v>91.20473418396263</c:v>
                </c:pt>
                <c:pt idx="58">
                  <c:v>87.93741559890216</c:v>
                </c:pt>
                <c:pt idx="59">
                  <c:v>84.78714544155542</c:v>
                </c:pt>
                <c:pt idx="60">
                  <c:v>81.74973056880718</c:v>
                </c:pt>
                <c:pt idx="61">
                  <c:v>78.82112805270975</c:v>
                </c:pt>
                <c:pt idx="62">
                  <c:v>75.99743979917461</c:v>
                </c:pt>
                <c:pt idx="63">
                  <c:v>73.27490735944387</c:v>
                </c:pt>
                <c:pt idx="64">
                  <c:v>70.64990692743568</c:v>
                </c:pt>
                <c:pt idx="65">
                  <c:v>68.1189445163047</c:v>
                </c:pt>
                <c:pt idx="66">
                  <c:v>65.67865130779754</c:v>
                </c:pt>
                <c:pt idx="67">
                  <c:v>63.32577916821285</c:v>
                </c:pt>
                <c:pt idx="68">
                  <c:v>61.05719632499769</c:v>
                </c:pt>
                <c:pt idx="69">
                  <c:v>58.869883198225494</c:v>
                </c:pt>
                <c:pt idx="70">
                  <c:v>56.76092838140719</c:v>
                </c:pt>
                <c:pt idx="71">
                  <c:v>54.72752476628577</c:v>
                </c:pt>
                <c:pt idx="72">
                  <c:v>52.7669658064562</c:v>
                </c:pt>
                <c:pt idx="73">
                  <c:v>50.87664191483742</c:v>
                </c:pt>
                <c:pt idx="74">
                  <c:v>49.05403699020135</c:v>
                </c:pt>
                <c:pt idx="75">
                  <c:v>47.29672506813545</c:v>
                </c:pt>
                <c:pt idx="76">
                  <c:v>45.60236709198132</c:v>
                </c:pt>
                <c:pt idx="77">
                  <c:v>43.96870779945109</c:v>
                </c:pt>
                <c:pt idx="78">
                  <c:v>42.39357272077772</c:v>
                </c:pt>
                <c:pt idx="79">
                  <c:v>40.8748652844036</c:v>
                </c:pt>
                <c:pt idx="80">
                  <c:v>39.41056402635488</c:v>
                </c:pt>
                <c:pt idx="81">
                  <c:v>37.998719899587314</c:v>
                </c:pt>
                <c:pt idx="82">
                  <c:v>36.63745367972194</c:v>
                </c:pt>
                <c:pt idx="83">
                  <c:v>35.32495346371785</c:v>
                </c:pt>
                <c:pt idx="84">
                  <c:v>34.059472258152354</c:v>
                </c:pt>
                <c:pt idx="85">
                  <c:v>32.839325653898776</c:v>
                </c:pt>
                <c:pt idx="86">
                  <c:v>31.66288958410643</c:v>
                </c:pt>
                <c:pt idx="87">
                  <c:v>30.528598162498852</c:v>
                </c:pt>
                <c:pt idx="88">
                  <c:v>29.434941599112754</c:v>
                </c:pt>
                <c:pt idx="89">
                  <c:v>28.380464190703602</c:v>
                </c:pt>
                <c:pt idx="90">
                  <c:v>27.36376238314289</c:v>
                </c:pt>
                <c:pt idx="91">
                  <c:v>26.383482903228106</c:v>
                </c:pt>
                <c:pt idx="92">
                  <c:v>25.438320957418718</c:v>
                </c:pt>
                <c:pt idx="93">
                  <c:v>24.52701849510068</c:v>
                </c:pt>
                <c:pt idx="94">
                  <c:v>23.648362534067733</c:v>
                </c:pt>
                <c:pt idx="95">
                  <c:v>22.801183545990668</c:v>
                </c:pt>
                <c:pt idx="96">
                  <c:v>21.98435389972555</c:v>
                </c:pt>
                <c:pt idx="97">
                  <c:v>21.196786360388867</c:v>
                </c:pt>
                <c:pt idx="98">
                  <c:v>20.437432642201802</c:v>
                </c:pt>
                <c:pt idx="99">
                  <c:v>19.705282013177445</c:v>
                </c:pt>
                <c:pt idx="100">
                  <c:v>18.99935994979366</c:v>
                </c:pt>
                <c:pt idx="101">
                  <c:v>18.318726839860975</c:v>
                </c:pt>
                <c:pt idx="102">
                  <c:v>17.662476731858924</c:v>
                </c:pt>
                <c:pt idx="103">
                  <c:v>17.029736129076177</c:v>
                </c:pt>
                <c:pt idx="104">
                  <c:v>16.419662826949388</c:v>
                </c:pt>
                <c:pt idx="105">
                  <c:v>15.831444792053215</c:v>
                </c:pt>
              </c:numCache>
            </c:numRef>
          </c:val>
          <c:smooth val="0"/>
        </c:ser>
        <c:ser>
          <c:idx val="4"/>
          <c:order val="4"/>
          <c:tx>
            <c:v>Chronic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numCache>
            </c:numRef>
          </c:cat>
          <c:val>
            <c:numRef>
              <c:f>Graphs!$AQ$4:$AQ$103</c:f>
              <c:numCache>
                <c:ptCount val="100"/>
                <c:pt idx="0">
                  <c:v>1100</c:v>
                </c:pt>
                <c:pt idx="1">
                  <c:v>1100</c:v>
                </c:pt>
                <c:pt idx="2">
                  <c:v>1100</c:v>
                </c:pt>
                <c:pt idx="3">
                  <c:v>1100</c:v>
                </c:pt>
                <c:pt idx="4">
                  <c:v>1100</c:v>
                </c:pt>
                <c:pt idx="5">
                  <c:v>1100</c:v>
                </c:pt>
                <c:pt idx="6">
                  <c:v>1100</c:v>
                </c:pt>
                <c:pt idx="7">
                  <c:v>1100</c:v>
                </c:pt>
                <c:pt idx="8">
                  <c:v>1100</c:v>
                </c:pt>
                <c:pt idx="9">
                  <c:v>1100</c:v>
                </c:pt>
                <c:pt idx="10">
                  <c:v>1100</c:v>
                </c:pt>
                <c:pt idx="11">
                  <c:v>1100</c:v>
                </c:pt>
                <c:pt idx="12">
                  <c:v>1100</c:v>
                </c:pt>
                <c:pt idx="13">
                  <c:v>1100</c:v>
                </c:pt>
                <c:pt idx="14">
                  <c:v>1100</c:v>
                </c:pt>
                <c:pt idx="15">
                  <c:v>1100</c:v>
                </c:pt>
                <c:pt idx="16">
                  <c:v>1100</c:v>
                </c:pt>
                <c:pt idx="17">
                  <c:v>1100</c:v>
                </c:pt>
                <c:pt idx="18">
                  <c:v>1100</c:v>
                </c:pt>
                <c:pt idx="19">
                  <c:v>1100</c:v>
                </c:pt>
                <c:pt idx="20">
                  <c:v>1100</c:v>
                </c:pt>
                <c:pt idx="21">
                  <c:v>1100</c:v>
                </c:pt>
                <c:pt idx="22">
                  <c:v>1100</c:v>
                </c:pt>
                <c:pt idx="23">
                  <c:v>1100</c:v>
                </c:pt>
                <c:pt idx="24">
                  <c:v>1100</c:v>
                </c:pt>
                <c:pt idx="25">
                  <c:v>1100</c:v>
                </c:pt>
                <c:pt idx="26">
                  <c:v>1100</c:v>
                </c:pt>
                <c:pt idx="27">
                  <c:v>1100</c:v>
                </c:pt>
                <c:pt idx="28">
                  <c:v>1100</c:v>
                </c:pt>
                <c:pt idx="29">
                  <c:v>1100</c:v>
                </c:pt>
                <c:pt idx="30">
                  <c:v>1100</c:v>
                </c:pt>
                <c:pt idx="31">
                  <c:v>1100</c:v>
                </c:pt>
                <c:pt idx="32">
                  <c:v>1100</c:v>
                </c:pt>
                <c:pt idx="33">
                  <c:v>1100</c:v>
                </c:pt>
                <c:pt idx="34">
                  <c:v>1100</c:v>
                </c:pt>
                <c:pt idx="35">
                  <c:v>1100</c:v>
                </c:pt>
                <c:pt idx="36">
                  <c:v>1100</c:v>
                </c:pt>
                <c:pt idx="37">
                  <c:v>1100</c:v>
                </c:pt>
                <c:pt idx="38">
                  <c:v>1100</c:v>
                </c:pt>
                <c:pt idx="39">
                  <c:v>1100</c:v>
                </c:pt>
                <c:pt idx="40">
                  <c:v>1100</c:v>
                </c:pt>
                <c:pt idx="41">
                  <c:v>1100</c:v>
                </c:pt>
                <c:pt idx="42">
                  <c:v>1100</c:v>
                </c:pt>
                <c:pt idx="43">
                  <c:v>1100</c:v>
                </c:pt>
                <c:pt idx="44">
                  <c:v>1100</c:v>
                </c:pt>
                <c:pt idx="45">
                  <c:v>1100</c:v>
                </c:pt>
                <c:pt idx="46">
                  <c:v>1100</c:v>
                </c:pt>
                <c:pt idx="47">
                  <c:v>1100</c:v>
                </c:pt>
                <c:pt idx="48">
                  <c:v>1100</c:v>
                </c:pt>
                <c:pt idx="49">
                  <c:v>1100</c:v>
                </c:pt>
                <c:pt idx="50">
                  <c:v>1100</c:v>
                </c:pt>
                <c:pt idx="51">
                  <c:v>1100</c:v>
                </c:pt>
                <c:pt idx="52">
                  <c:v>1100</c:v>
                </c:pt>
                <c:pt idx="53">
                  <c:v>1100</c:v>
                </c:pt>
                <c:pt idx="54">
                  <c:v>1100</c:v>
                </c:pt>
                <c:pt idx="55">
                  <c:v>1100</c:v>
                </c:pt>
                <c:pt idx="56">
                  <c:v>1100</c:v>
                </c:pt>
                <c:pt idx="57">
                  <c:v>1100</c:v>
                </c:pt>
                <c:pt idx="58">
                  <c:v>1100</c:v>
                </c:pt>
                <c:pt idx="59">
                  <c:v>1100</c:v>
                </c:pt>
                <c:pt idx="60">
                  <c:v>1100</c:v>
                </c:pt>
                <c:pt idx="61">
                  <c:v>1100</c:v>
                </c:pt>
                <c:pt idx="62">
                  <c:v>1100</c:v>
                </c:pt>
                <c:pt idx="63">
                  <c:v>1100</c:v>
                </c:pt>
                <c:pt idx="64">
                  <c:v>1100</c:v>
                </c:pt>
                <c:pt idx="65">
                  <c:v>1100</c:v>
                </c:pt>
                <c:pt idx="66">
                  <c:v>1100</c:v>
                </c:pt>
                <c:pt idx="67">
                  <c:v>1100</c:v>
                </c:pt>
                <c:pt idx="68">
                  <c:v>1100</c:v>
                </c:pt>
                <c:pt idx="69">
                  <c:v>1100</c:v>
                </c:pt>
                <c:pt idx="70">
                  <c:v>1100</c:v>
                </c:pt>
                <c:pt idx="71">
                  <c:v>1100</c:v>
                </c:pt>
                <c:pt idx="72">
                  <c:v>1100</c:v>
                </c:pt>
                <c:pt idx="73">
                  <c:v>1100</c:v>
                </c:pt>
                <c:pt idx="74">
                  <c:v>1100</c:v>
                </c:pt>
                <c:pt idx="75">
                  <c:v>1100</c:v>
                </c:pt>
                <c:pt idx="76">
                  <c:v>1100</c:v>
                </c:pt>
                <c:pt idx="77">
                  <c:v>1100</c:v>
                </c:pt>
                <c:pt idx="78">
                  <c:v>1100</c:v>
                </c:pt>
                <c:pt idx="79">
                  <c:v>1100</c:v>
                </c:pt>
                <c:pt idx="80">
                  <c:v>1100</c:v>
                </c:pt>
                <c:pt idx="81">
                  <c:v>1100</c:v>
                </c:pt>
                <c:pt idx="82">
                  <c:v>1100</c:v>
                </c:pt>
                <c:pt idx="83">
                  <c:v>1100</c:v>
                </c:pt>
                <c:pt idx="84">
                  <c:v>1100</c:v>
                </c:pt>
                <c:pt idx="85">
                  <c:v>1100</c:v>
                </c:pt>
                <c:pt idx="86">
                  <c:v>1100</c:v>
                </c:pt>
                <c:pt idx="87">
                  <c:v>1100</c:v>
                </c:pt>
                <c:pt idx="88">
                  <c:v>1100</c:v>
                </c:pt>
                <c:pt idx="89">
                  <c:v>1100</c:v>
                </c:pt>
                <c:pt idx="90">
                  <c:v>1100</c:v>
                </c:pt>
                <c:pt idx="91">
                  <c:v>1100</c:v>
                </c:pt>
                <c:pt idx="92">
                  <c:v>1100</c:v>
                </c:pt>
                <c:pt idx="93">
                  <c:v>1100</c:v>
                </c:pt>
                <c:pt idx="94">
                  <c:v>1100</c:v>
                </c:pt>
                <c:pt idx="95">
                  <c:v>1100</c:v>
                </c:pt>
                <c:pt idx="96">
                  <c:v>1100</c:v>
                </c:pt>
                <c:pt idx="97">
                  <c:v>1100</c:v>
                </c:pt>
                <c:pt idx="98">
                  <c:v>1100</c:v>
                </c:pt>
                <c:pt idx="99">
                  <c:v>1100</c:v>
                </c:pt>
              </c:numCache>
            </c:numRef>
          </c:val>
          <c:smooth val="0"/>
        </c:ser>
        <c:ser>
          <c:idx val="5"/>
          <c:order val="5"/>
          <c:tx>
            <c:v>15 g Mammal Acute LOC</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numCache>
            </c:numRef>
          </c:cat>
          <c:val>
            <c:numRef>
              <c:f>Graphs!$AE$4:$AE$103</c:f>
              <c:numCache>
                <c:ptCount val="100"/>
                <c:pt idx="0">
                  <c:v>166.57241699152738</c:v>
                </c:pt>
                <c:pt idx="1">
                  <c:v>166.57241699152738</c:v>
                </c:pt>
                <c:pt idx="2">
                  <c:v>166.57241699152738</c:v>
                </c:pt>
                <c:pt idx="3">
                  <c:v>166.57241699152738</c:v>
                </c:pt>
                <c:pt idx="4">
                  <c:v>166.57241699152738</c:v>
                </c:pt>
                <c:pt idx="5">
                  <c:v>166.57241699152738</c:v>
                </c:pt>
                <c:pt idx="6">
                  <c:v>166.57241699152738</c:v>
                </c:pt>
                <c:pt idx="7">
                  <c:v>166.57241699152738</c:v>
                </c:pt>
                <c:pt idx="8">
                  <c:v>166.57241699152738</c:v>
                </c:pt>
                <c:pt idx="9">
                  <c:v>166.57241699152738</c:v>
                </c:pt>
                <c:pt idx="10">
                  <c:v>166.57241699152738</c:v>
                </c:pt>
                <c:pt idx="11">
                  <c:v>166.57241699152738</c:v>
                </c:pt>
                <c:pt idx="12">
                  <c:v>166.57241699152738</c:v>
                </c:pt>
                <c:pt idx="13">
                  <c:v>166.57241699152738</c:v>
                </c:pt>
                <c:pt idx="14">
                  <c:v>166.57241699152738</c:v>
                </c:pt>
                <c:pt idx="15">
                  <c:v>166.57241699152738</c:v>
                </c:pt>
                <c:pt idx="16">
                  <c:v>166.57241699152738</c:v>
                </c:pt>
                <c:pt idx="17">
                  <c:v>166.57241699152738</c:v>
                </c:pt>
                <c:pt idx="18">
                  <c:v>166.57241699152738</c:v>
                </c:pt>
                <c:pt idx="19">
                  <c:v>166.57241699152738</c:v>
                </c:pt>
                <c:pt idx="20">
                  <c:v>166.57241699152738</c:v>
                </c:pt>
                <c:pt idx="21">
                  <c:v>166.57241699152738</c:v>
                </c:pt>
                <c:pt idx="22">
                  <c:v>166.57241699152738</c:v>
                </c:pt>
                <c:pt idx="23">
                  <c:v>166.57241699152738</c:v>
                </c:pt>
                <c:pt idx="24">
                  <c:v>166.57241699152738</c:v>
                </c:pt>
                <c:pt idx="25">
                  <c:v>166.57241699152738</c:v>
                </c:pt>
                <c:pt idx="26">
                  <c:v>166.57241699152738</c:v>
                </c:pt>
                <c:pt idx="27">
                  <c:v>166.57241699152738</c:v>
                </c:pt>
                <c:pt idx="28">
                  <c:v>166.57241699152738</c:v>
                </c:pt>
                <c:pt idx="29">
                  <c:v>166.57241699152738</c:v>
                </c:pt>
                <c:pt idx="30">
                  <c:v>166.57241699152738</c:v>
                </c:pt>
                <c:pt idx="31">
                  <c:v>166.57241699152738</c:v>
                </c:pt>
                <c:pt idx="32">
                  <c:v>166.57241699152738</c:v>
                </c:pt>
                <c:pt idx="33">
                  <c:v>166.57241699152738</c:v>
                </c:pt>
                <c:pt idx="34">
                  <c:v>166.57241699152738</c:v>
                </c:pt>
                <c:pt idx="35">
                  <c:v>166.57241699152738</c:v>
                </c:pt>
                <c:pt idx="36">
                  <c:v>166.57241699152738</c:v>
                </c:pt>
                <c:pt idx="37">
                  <c:v>166.57241699152738</c:v>
                </c:pt>
                <c:pt idx="38">
                  <c:v>166.57241699152738</c:v>
                </c:pt>
                <c:pt idx="39">
                  <c:v>166.57241699152738</c:v>
                </c:pt>
                <c:pt idx="40">
                  <c:v>166.57241699152738</c:v>
                </c:pt>
                <c:pt idx="41">
                  <c:v>166.57241699152738</c:v>
                </c:pt>
                <c:pt idx="42">
                  <c:v>166.57241699152738</c:v>
                </c:pt>
                <c:pt idx="43">
                  <c:v>166.57241699152738</c:v>
                </c:pt>
                <c:pt idx="44">
                  <c:v>166.57241699152738</c:v>
                </c:pt>
                <c:pt idx="45">
                  <c:v>166.57241699152738</c:v>
                </c:pt>
                <c:pt idx="46">
                  <c:v>166.57241699152738</c:v>
                </c:pt>
                <c:pt idx="47">
                  <c:v>166.57241699152738</c:v>
                </c:pt>
                <c:pt idx="48">
                  <c:v>166.57241699152738</c:v>
                </c:pt>
                <c:pt idx="49">
                  <c:v>166.57241699152738</c:v>
                </c:pt>
                <c:pt idx="50">
                  <c:v>166.57241699152738</c:v>
                </c:pt>
                <c:pt idx="51">
                  <c:v>166.57241699152738</c:v>
                </c:pt>
                <c:pt idx="52">
                  <c:v>166.57241699152738</c:v>
                </c:pt>
                <c:pt idx="53">
                  <c:v>166.57241699152738</c:v>
                </c:pt>
                <c:pt idx="54">
                  <c:v>166.57241699152738</c:v>
                </c:pt>
                <c:pt idx="55">
                  <c:v>166.57241699152738</c:v>
                </c:pt>
                <c:pt idx="56">
                  <c:v>166.57241699152738</c:v>
                </c:pt>
                <c:pt idx="57">
                  <c:v>166.57241699152738</c:v>
                </c:pt>
                <c:pt idx="58">
                  <c:v>166.57241699152738</c:v>
                </c:pt>
                <c:pt idx="59">
                  <c:v>166.57241699152738</c:v>
                </c:pt>
                <c:pt idx="60">
                  <c:v>166.57241699152738</c:v>
                </c:pt>
                <c:pt idx="61">
                  <c:v>166.57241699152738</c:v>
                </c:pt>
                <c:pt idx="62">
                  <c:v>166.57241699152738</c:v>
                </c:pt>
                <c:pt idx="63">
                  <c:v>166.57241699152738</c:v>
                </c:pt>
                <c:pt idx="64">
                  <c:v>166.57241699152738</c:v>
                </c:pt>
                <c:pt idx="65">
                  <c:v>166.57241699152738</c:v>
                </c:pt>
                <c:pt idx="66">
                  <c:v>166.57241699152738</c:v>
                </c:pt>
                <c:pt idx="67">
                  <c:v>166.57241699152738</c:v>
                </c:pt>
                <c:pt idx="68">
                  <c:v>166.57241699152738</c:v>
                </c:pt>
                <c:pt idx="69">
                  <c:v>166.57241699152738</c:v>
                </c:pt>
                <c:pt idx="70">
                  <c:v>166.57241699152738</c:v>
                </c:pt>
                <c:pt idx="71">
                  <c:v>166.57241699152738</c:v>
                </c:pt>
                <c:pt idx="72">
                  <c:v>166.57241699152738</c:v>
                </c:pt>
                <c:pt idx="73">
                  <c:v>166.57241699152738</c:v>
                </c:pt>
                <c:pt idx="74">
                  <c:v>166.57241699152738</c:v>
                </c:pt>
                <c:pt idx="75">
                  <c:v>166.57241699152738</c:v>
                </c:pt>
                <c:pt idx="76">
                  <c:v>166.57241699152738</c:v>
                </c:pt>
                <c:pt idx="77">
                  <c:v>166.57241699152738</c:v>
                </c:pt>
                <c:pt idx="78">
                  <c:v>166.57241699152738</c:v>
                </c:pt>
                <c:pt idx="79">
                  <c:v>166.57241699152738</c:v>
                </c:pt>
                <c:pt idx="80">
                  <c:v>166.57241699152738</c:v>
                </c:pt>
                <c:pt idx="81">
                  <c:v>166.57241699152738</c:v>
                </c:pt>
                <c:pt idx="82">
                  <c:v>166.57241699152738</c:v>
                </c:pt>
                <c:pt idx="83">
                  <c:v>166.57241699152738</c:v>
                </c:pt>
                <c:pt idx="84">
                  <c:v>166.57241699152738</c:v>
                </c:pt>
                <c:pt idx="85">
                  <c:v>166.57241699152738</c:v>
                </c:pt>
                <c:pt idx="86">
                  <c:v>166.57241699152738</c:v>
                </c:pt>
                <c:pt idx="87">
                  <c:v>166.57241699152738</c:v>
                </c:pt>
                <c:pt idx="88">
                  <c:v>166.57241699152738</c:v>
                </c:pt>
                <c:pt idx="89">
                  <c:v>166.57241699152738</c:v>
                </c:pt>
                <c:pt idx="90">
                  <c:v>166.57241699152738</c:v>
                </c:pt>
                <c:pt idx="91">
                  <c:v>166.57241699152738</c:v>
                </c:pt>
                <c:pt idx="92">
                  <c:v>166.57241699152738</c:v>
                </c:pt>
                <c:pt idx="93">
                  <c:v>166.57241699152738</c:v>
                </c:pt>
                <c:pt idx="94">
                  <c:v>166.57241699152738</c:v>
                </c:pt>
                <c:pt idx="95">
                  <c:v>166.57241699152738</c:v>
                </c:pt>
                <c:pt idx="96">
                  <c:v>166.57241699152738</c:v>
                </c:pt>
                <c:pt idx="97">
                  <c:v>166.57241699152738</c:v>
                </c:pt>
                <c:pt idx="98">
                  <c:v>166.57241699152738</c:v>
                </c:pt>
                <c:pt idx="99">
                  <c:v>166.57241699152738</c:v>
                </c:pt>
              </c:numCache>
            </c:numRef>
          </c:val>
          <c:smooth val="0"/>
        </c:ser>
        <c:ser>
          <c:idx val="6"/>
          <c:order val="6"/>
          <c:tx>
            <c:v>35 g Mammal Acute LOC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ptCount val="10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100</c:v>
                </c:pt>
                <c:pt idx="102">
                  <c:v>101</c:v>
                </c:pt>
                <c:pt idx="103">
                  <c:v>102</c:v>
                </c:pt>
                <c:pt idx="104">
                  <c:v>103</c:v>
                </c:pt>
                <c:pt idx="105">
                  <c:v>104</c:v>
                </c:pt>
              </c:numCache>
            </c:numRef>
          </c:cat>
          <c:val>
            <c:numRef>
              <c:f>Graphs!$AF$4:$AF$103</c:f>
              <c:numCache>
                <c:ptCount val="100"/>
                <c:pt idx="0">
                  <c:v>193.99411745879158</c:v>
                </c:pt>
                <c:pt idx="1">
                  <c:v>193.99411745879158</c:v>
                </c:pt>
                <c:pt idx="2">
                  <c:v>193.99411745879158</c:v>
                </c:pt>
                <c:pt idx="3">
                  <c:v>193.99411745879158</c:v>
                </c:pt>
                <c:pt idx="4">
                  <c:v>193.99411745879158</c:v>
                </c:pt>
                <c:pt idx="5">
                  <c:v>193.99411745879158</c:v>
                </c:pt>
                <c:pt idx="6">
                  <c:v>193.99411745879158</c:v>
                </c:pt>
                <c:pt idx="7">
                  <c:v>193.99411745879158</c:v>
                </c:pt>
                <c:pt idx="8">
                  <c:v>193.99411745879158</c:v>
                </c:pt>
                <c:pt idx="9">
                  <c:v>193.99411745879158</c:v>
                </c:pt>
                <c:pt idx="10">
                  <c:v>193.99411745879158</c:v>
                </c:pt>
                <c:pt idx="11">
                  <c:v>193.99411745879158</c:v>
                </c:pt>
                <c:pt idx="12">
                  <c:v>193.99411745879158</c:v>
                </c:pt>
                <c:pt idx="13">
                  <c:v>193.99411745879158</c:v>
                </c:pt>
                <c:pt idx="14">
                  <c:v>193.99411745879158</c:v>
                </c:pt>
                <c:pt idx="15">
                  <c:v>193.99411745879158</c:v>
                </c:pt>
                <c:pt idx="16">
                  <c:v>193.99411745879158</c:v>
                </c:pt>
                <c:pt idx="17">
                  <c:v>193.99411745879158</c:v>
                </c:pt>
                <c:pt idx="18">
                  <c:v>193.99411745879158</c:v>
                </c:pt>
                <c:pt idx="19">
                  <c:v>193.99411745879158</c:v>
                </c:pt>
                <c:pt idx="20">
                  <c:v>193.99411745879158</c:v>
                </c:pt>
                <c:pt idx="21">
                  <c:v>193.99411745879158</c:v>
                </c:pt>
                <c:pt idx="22">
                  <c:v>193.99411745879158</c:v>
                </c:pt>
                <c:pt idx="23">
                  <c:v>193.99411745879158</c:v>
                </c:pt>
                <c:pt idx="24">
                  <c:v>193.99411745879158</c:v>
                </c:pt>
                <c:pt idx="25">
                  <c:v>193.99411745879158</c:v>
                </c:pt>
                <c:pt idx="26">
                  <c:v>193.99411745879158</c:v>
                </c:pt>
                <c:pt idx="27">
                  <c:v>193.99411745879158</c:v>
                </c:pt>
                <c:pt idx="28">
                  <c:v>193.99411745879158</c:v>
                </c:pt>
                <c:pt idx="29">
                  <c:v>193.99411745879158</c:v>
                </c:pt>
                <c:pt idx="30">
                  <c:v>193.99411745879158</c:v>
                </c:pt>
                <c:pt idx="31">
                  <c:v>193.99411745879158</c:v>
                </c:pt>
                <c:pt idx="32">
                  <c:v>193.99411745879158</c:v>
                </c:pt>
                <c:pt idx="33">
                  <c:v>193.99411745879158</c:v>
                </c:pt>
                <c:pt idx="34">
                  <c:v>193.99411745879158</c:v>
                </c:pt>
                <c:pt idx="35">
                  <c:v>193.99411745879158</c:v>
                </c:pt>
                <c:pt idx="36">
                  <c:v>193.99411745879158</c:v>
                </c:pt>
                <c:pt idx="37">
                  <c:v>193.99411745879158</c:v>
                </c:pt>
                <c:pt idx="38">
                  <c:v>193.99411745879158</c:v>
                </c:pt>
                <c:pt idx="39">
                  <c:v>193.99411745879158</c:v>
                </c:pt>
                <c:pt idx="40">
                  <c:v>193.99411745879158</c:v>
                </c:pt>
                <c:pt idx="41">
                  <c:v>193.99411745879158</c:v>
                </c:pt>
                <c:pt idx="42">
                  <c:v>193.99411745879158</c:v>
                </c:pt>
                <c:pt idx="43">
                  <c:v>193.99411745879158</c:v>
                </c:pt>
                <c:pt idx="44">
                  <c:v>193.99411745879158</c:v>
                </c:pt>
                <c:pt idx="45">
                  <c:v>193.99411745879158</c:v>
                </c:pt>
                <c:pt idx="46">
                  <c:v>193.99411745879158</c:v>
                </c:pt>
                <c:pt idx="47">
                  <c:v>193.99411745879158</c:v>
                </c:pt>
                <c:pt idx="48">
                  <c:v>193.99411745879158</c:v>
                </c:pt>
                <c:pt idx="49">
                  <c:v>193.99411745879158</c:v>
                </c:pt>
                <c:pt idx="50">
                  <c:v>193.99411745879158</c:v>
                </c:pt>
                <c:pt idx="51">
                  <c:v>193.99411745879158</c:v>
                </c:pt>
                <c:pt idx="52">
                  <c:v>193.99411745879158</c:v>
                </c:pt>
                <c:pt idx="53">
                  <c:v>193.99411745879158</c:v>
                </c:pt>
                <c:pt idx="54">
                  <c:v>193.99411745879158</c:v>
                </c:pt>
                <c:pt idx="55">
                  <c:v>193.99411745879158</c:v>
                </c:pt>
                <c:pt idx="56">
                  <c:v>193.99411745879158</c:v>
                </c:pt>
                <c:pt idx="57">
                  <c:v>193.99411745879158</c:v>
                </c:pt>
                <c:pt idx="58">
                  <c:v>193.99411745879158</c:v>
                </c:pt>
                <c:pt idx="59">
                  <c:v>193.99411745879158</c:v>
                </c:pt>
                <c:pt idx="60">
                  <c:v>193.99411745879158</c:v>
                </c:pt>
                <c:pt idx="61">
                  <c:v>193.99411745879158</c:v>
                </c:pt>
                <c:pt idx="62">
                  <c:v>193.99411745879158</c:v>
                </c:pt>
                <c:pt idx="63">
                  <c:v>193.99411745879158</c:v>
                </c:pt>
                <c:pt idx="64">
                  <c:v>193.99411745879158</c:v>
                </c:pt>
                <c:pt idx="65">
                  <c:v>193.99411745879158</c:v>
                </c:pt>
                <c:pt idx="66">
                  <c:v>193.99411745879158</c:v>
                </c:pt>
                <c:pt idx="67">
                  <c:v>193.99411745879158</c:v>
                </c:pt>
                <c:pt idx="68">
                  <c:v>193.99411745879158</c:v>
                </c:pt>
                <c:pt idx="69">
                  <c:v>193.99411745879158</c:v>
                </c:pt>
                <c:pt idx="70">
                  <c:v>193.99411745879158</c:v>
                </c:pt>
                <c:pt idx="71">
                  <c:v>193.99411745879158</c:v>
                </c:pt>
                <c:pt idx="72">
                  <c:v>193.99411745879158</c:v>
                </c:pt>
                <c:pt idx="73">
                  <c:v>193.99411745879158</c:v>
                </c:pt>
                <c:pt idx="74">
                  <c:v>193.99411745879158</c:v>
                </c:pt>
                <c:pt idx="75">
                  <c:v>193.99411745879158</c:v>
                </c:pt>
                <c:pt idx="76">
                  <c:v>193.99411745879158</c:v>
                </c:pt>
                <c:pt idx="77">
                  <c:v>193.99411745879158</c:v>
                </c:pt>
                <c:pt idx="78">
                  <c:v>193.99411745879158</c:v>
                </c:pt>
                <c:pt idx="79">
                  <c:v>193.99411745879158</c:v>
                </c:pt>
                <c:pt idx="80">
                  <c:v>193.99411745879158</c:v>
                </c:pt>
                <c:pt idx="81">
                  <c:v>193.99411745879158</c:v>
                </c:pt>
                <c:pt idx="82">
                  <c:v>193.99411745879158</c:v>
                </c:pt>
                <c:pt idx="83">
                  <c:v>193.99411745879158</c:v>
                </c:pt>
                <c:pt idx="84">
                  <c:v>193.99411745879158</c:v>
                </c:pt>
                <c:pt idx="85">
                  <c:v>193.99411745879158</c:v>
                </c:pt>
                <c:pt idx="86">
                  <c:v>193.99411745879158</c:v>
                </c:pt>
                <c:pt idx="87">
                  <c:v>193.99411745879158</c:v>
                </c:pt>
                <c:pt idx="88">
                  <c:v>193.99411745879158</c:v>
                </c:pt>
                <c:pt idx="89">
                  <c:v>193.99411745879158</c:v>
                </c:pt>
                <c:pt idx="90">
                  <c:v>193.99411745879158</c:v>
                </c:pt>
                <c:pt idx="91">
                  <c:v>193.99411745879158</c:v>
                </c:pt>
                <c:pt idx="92">
                  <c:v>193.99411745879158</c:v>
                </c:pt>
                <c:pt idx="93">
                  <c:v>193.99411745879158</c:v>
                </c:pt>
                <c:pt idx="94">
                  <c:v>193.99411745879158</c:v>
                </c:pt>
                <c:pt idx="95">
                  <c:v>193.99411745879158</c:v>
                </c:pt>
                <c:pt idx="96">
                  <c:v>193.99411745879158</c:v>
                </c:pt>
                <c:pt idx="97">
                  <c:v>193.99411745879158</c:v>
                </c:pt>
                <c:pt idx="98">
                  <c:v>193.99411745879158</c:v>
                </c:pt>
                <c:pt idx="99">
                  <c:v>193.99411745879158</c:v>
                </c:pt>
              </c:numCache>
            </c:numRef>
          </c:val>
          <c:smooth val="0"/>
        </c:ser>
        <c:ser>
          <c:idx val="7"/>
          <c:order val="7"/>
          <c:tx>
            <c:v>1000 g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0000"/>
              </a:solidFill>
              <a:ln>
                <a:solidFill>
                  <a:srgbClr val="FF0000"/>
                </a:solidFill>
              </a:ln>
            </c:spPr>
          </c:marker>
          <c:val>
            <c:numRef>
              <c:f>Graphs!$AG$4:$AG$103</c:f>
              <c:numCache>
                <c:ptCount val="100"/>
                <c:pt idx="0">
                  <c:v>100.69011063012549</c:v>
                </c:pt>
                <c:pt idx="1">
                  <c:v>100.69011063012549</c:v>
                </c:pt>
                <c:pt idx="2">
                  <c:v>100.69011063012549</c:v>
                </c:pt>
                <c:pt idx="3">
                  <c:v>100.69011063012549</c:v>
                </c:pt>
                <c:pt idx="4">
                  <c:v>100.69011063012549</c:v>
                </c:pt>
                <c:pt idx="5">
                  <c:v>100.69011063012549</c:v>
                </c:pt>
                <c:pt idx="6">
                  <c:v>100.69011063012549</c:v>
                </c:pt>
                <c:pt idx="7">
                  <c:v>100.69011063012549</c:v>
                </c:pt>
                <c:pt idx="8">
                  <c:v>100.69011063012549</c:v>
                </c:pt>
                <c:pt idx="9">
                  <c:v>100.69011063012549</c:v>
                </c:pt>
                <c:pt idx="10">
                  <c:v>100.69011063012549</c:v>
                </c:pt>
                <c:pt idx="11">
                  <c:v>100.69011063012549</c:v>
                </c:pt>
                <c:pt idx="12">
                  <c:v>100.69011063012549</c:v>
                </c:pt>
                <c:pt idx="13">
                  <c:v>100.69011063012549</c:v>
                </c:pt>
                <c:pt idx="14">
                  <c:v>100.69011063012549</c:v>
                </c:pt>
                <c:pt idx="15">
                  <c:v>100.69011063012549</c:v>
                </c:pt>
                <c:pt idx="16">
                  <c:v>100.69011063012549</c:v>
                </c:pt>
                <c:pt idx="17">
                  <c:v>100.69011063012549</c:v>
                </c:pt>
                <c:pt idx="18">
                  <c:v>100.69011063012549</c:v>
                </c:pt>
                <c:pt idx="19">
                  <c:v>100.69011063012549</c:v>
                </c:pt>
                <c:pt idx="20">
                  <c:v>100.69011063012549</c:v>
                </c:pt>
                <c:pt idx="21">
                  <c:v>100.69011063012549</c:v>
                </c:pt>
                <c:pt idx="22">
                  <c:v>100.69011063012549</c:v>
                </c:pt>
                <c:pt idx="23">
                  <c:v>100.69011063012549</c:v>
                </c:pt>
                <c:pt idx="24">
                  <c:v>100.69011063012549</c:v>
                </c:pt>
                <c:pt idx="25">
                  <c:v>100.69011063012549</c:v>
                </c:pt>
                <c:pt idx="26">
                  <c:v>100.69011063012549</c:v>
                </c:pt>
                <c:pt idx="27">
                  <c:v>100.69011063012549</c:v>
                </c:pt>
                <c:pt idx="28">
                  <c:v>100.69011063012549</c:v>
                </c:pt>
                <c:pt idx="29">
                  <c:v>100.69011063012549</c:v>
                </c:pt>
                <c:pt idx="30">
                  <c:v>100.69011063012549</c:v>
                </c:pt>
                <c:pt idx="31">
                  <c:v>100.69011063012549</c:v>
                </c:pt>
                <c:pt idx="32">
                  <c:v>100.69011063012549</c:v>
                </c:pt>
                <c:pt idx="33">
                  <c:v>100.69011063012549</c:v>
                </c:pt>
                <c:pt idx="34">
                  <c:v>100.69011063012549</c:v>
                </c:pt>
                <c:pt idx="35">
                  <c:v>100.69011063012549</c:v>
                </c:pt>
                <c:pt idx="36">
                  <c:v>100.69011063012549</c:v>
                </c:pt>
                <c:pt idx="37">
                  <c:v>100.69011063012549</c:v>
                </c:pt>
                <c:pt idx="38">
                  <c:v>100.69011063012549</c:v>
                </c:pt>
                <c:pt idx="39">
                  <c:v>100.69011063012549</c:v>
                </c:pt>
                <c:pt idx="40">
                  <c:v>100.69011063012549</c:v>
                </c:pt>
                <c:pt idx="41">
                  <c:v>100.69011063012549</c:v>
                </c:pt>
                <c:pt idx="42">
                  <c:v>100.69011063012549</c:v>
                </c:pt>
                <c:pt idx="43">
                  <c:v>100.69011063012549</c:v>
                </c:pt>
                <c:pt idx="44">
                  <c:v>100.69011063012549</c:v>
                </c:pt>
                <c:pt idx="45">
                  <c:v>100.69011063012549</c:v>
                </c:pt>
                <c:pt idx="46">
                  <c:v>100.69011063012549</c:v>
                </c:pt>
                <c:pt idx="47">
                  <c:v>100.69011063012549</c:v>
                </c:pt>
                <c:pt idx="48">
                  <c:v>100.69011063012549</c:v>
                </c:pt>
                <c:pt idx="49">
                  <c:v>100.69011063012549</c:v>
                </c:pt>
                <c:pt idx="50">
                  <c:v>100.69011063012549</c:v>
                </c:pt>
                <c:pt idx="51">
                  <c:v>100.69011063012549</c:v>
                </c:pt>
                <c:pt idx="52">
                  <c:v>100.69011063012549</c:v>
                </c:pt>
                <c:pt idx="53">
                  <c:v>100.69011063012549</c:v>
                </c:pt>
                <c:pt idx="54">
                  <c:v>100.69011063012549</c:v>
                </c:pt>
                <c:pt idx="55">
                  <c:v>100.69011063012549</c:v>
                </c:pt>
                <c:pt idx="56">
                  <c:v>100.69011063012549</c:v>
                </c:pt>
                <c:pt idx="57">
                  <c:v>100.69011063012549</c:v>
                </c:pt>
                <c:pt idx="58">
                  <c:v>100.69011063012549</c:v>
                </c:pt>
                <c:pt idx="59">
                  <c:v>100.69011063012549</c:v>
                </c:pt>
                <c:pt idx="60">
                  <c:v>100.69011063012549</c:v>
                </c:pt>
                <c:pt idx="61">
                  <c:v>100.69011063012549</c:v>
                </c:pt>
                <c:pt idx="62">
                  <c:v>100.69011063012549</c:v>
                </c:pt>
                <c:pt idx="63">
                  <c:v>100.69011063012549</c:v>
                </c:pt>
                <c:pt idx="64">
                  <c:v>100.69011063012549</c:v>
                </c:pt>
                <c:pt idx="65">
                  <c:v>100.69011063012549</c:v>
                </c:pt>
                <c:pt idx="66">
                  <c:v>100.69011063012549</c:v>
                </c:pt>
                <c:pt idx="67">
                  <c:v>100.69011063012549</c:v>
                </c:pt>
                <c:pt idx="68">
                  <c:v>100.69011063012549</c:v>
                </c:pt>
                <c:pt idx="69">
                  <c:v>100.69011063012549</c:v>
                </c:pt>
                <c:pt idx="70">
                  <c:v>100.69011063012549</c:v>
                </c:pt>
                <c:pt idx="71">
                  <c:v>100.69011063012549</c:v>
                </c:pt>
                <c:pt idx="72">
                  <c:v>100.69011063012549</c:v>
                </c:pt>
                <c:pt idx="73">
                  <c:v>100.69011063012549</c:v>
                </c:pt>
                <c:pt idx="74">
                  <c:v>100.69011063012549</c:v>
                </c:pt>
                <c:pt idx="75">
                  <c:v>100.69011063012549</c:v>
                </c:pt>
                <c:pt idx="76">
                  <c:v>100.69011063012549</c:v>
                </c:pt>
                <c:pt idx="77">
                  <c:v>100.69011063012549</c:v>
                </c:pt>
                <c:pt idx="78">
                  <c:v>100.69011063012549</c:v>
                </c:pt>
                <c:pt idx="79">
                  <c:v>100.69011063012549</c:v>
                </c:pt>
                <c:pt idx="80">
                  <c:v>100.69011063012549</c:v>
                </c:pt>
                <c:pt idx="81">
                  <c:v>100.69011063012549</c:v>
                </c:pt>
                <c:pt idx="82">
                  <c:v>100.69011063012549</c:v>
                </c:pt>
                <c:pt idx="83">
                  <c:v>100.69011063012549</c:v>
                </c:pt>
                <c:pt idx="84">
                  <c:v>100.69011063012549</c:v>
                </c:pt>
                <c:pt idx="85">
                  <c:v>100.69011063012549</c:v>
                </c:pt>
                <c:pt idx="86">
                  <c:v>100.69011063012549</c:v>
                </c:pt>
                <c:pt idx="87">
                  <c:v>100.69011063012549</c:v>
                </c:pt>
                <c:pt idx="88">
                  <c:v>100.69011063012549</c:v>
                </c:pt>
                <c:pt idx="89">
                  <c:v>100.69011063012549</c:v>
                </c:pt>
                <c:pt idx="90">
                  <c:v>100.69011063012549</c:v>
                </c:pt>
                <c:pt idx="91">
                  <c:v>100.69011063012549</c:v>
                </c:pt>
                <c:pt idx="92">
                  <c:v>100.69011063012549</c:v>
                </c:pt>
                <c:pt idx="93">
                  <c:v>100.69011063012549</c:v>
                </c:pt>
                <c:pt idx="94">
                  <c:v>100.69011063012549</c:v>
                </c:pt>
                <c:pt idx="95">
                  <c:v>100.69011063012549</c:v>
                </c:pt>
                <c:pt idx="96">
                  <c:v>100.69011063012549</c:v>
                </c:pt>
                <c:pt idx="97">
                  <c:v>100.69011063012549</c:v>
                </c:pt>
                <c:pt idx="98">
                  <c:v>100.69011063012549</c:v>
                </c:pt>
                <c:pt idx="99">
                  <c:v>100.69011063012549</c:v>
                </c:pt>
              </c:numCache>
            </c:numRef>
          </c:val>
          <c:smooth val="0"/>
        </c:ser>
        <c:ser>
          <c:idx val="8"/>
          <c:order val="8"/>
          <c:tx>
            <c:v>15 g Endangered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00"/>
                </a:solidFill>
              </a:ln>
            </c:spPr>
          </c:marker>
          <c:val>
            <c:numRef>
              <c:f>Graphs!$AK$4:$AK$103</c:f>
              <c:numCache>
                <c:ptCount val="100"/>
                <c:pt idx="0">
                  <c:v>33.31448339830548</c:v>
                </c:pt>
                <c:pt idx="1">
                  <c:v>33.31448339830548</c:v>
                </c:pt>
                <c:pt idx="2">
                  <c:v>33.31448339830548</c:v>
                </c:pt>
                <c:pt idx="3">
                  <c:v>33.31448339830548</c:v>
                </c:pt>
                <c:pt idx="4">
                  <c:v>33.31448339830548</c:v>
                </c:pt>
                <c:pt idx="5">
                  <c:v>33.31448339830548</c:v>
                </c:pt>
                <c:pt idx="6">
                  <c:v>33.31448339830548</c:v>
                </c:pt>
                <c:pt idx="7">
                  <c:v>33.31448339830548</c:v>
                </c:pt>
                <c:pt idx="8">
                  <c:v>33.31448339830548</c:v>
                </c:pt>
                <c:pt idx="9">
                  <c:v>33.31448339830548</c:v>
                </c:pt>
                <c:pt idx="10">
                  <c:v>33.31448339830548</c:v>
                </c:pt>
                <c:pt idx="11">
                  <c:v>33.31448339830548</c:v>
                </c:pt>
                <c:pt idx="12">
                  <c:v>33.31448339830548</c:v>
                </c:pt>
                <c:pt idx="13">
                  <c:v>33.31448339830548</c:v>
                </c:pt>
                <c:pt idx="14">
                  <c:v>33.31448339830548</c:v>
                </c:pt>
                <c:pt idx="15">
                  <c:v>33.31448339830548</c:v>
                </c:pt>
                <c:pt idx="16">
                  <c:v>33.31448339830548</c:v>
                </c:pt>
                <c:pt idx="17">
                  <c:v>33.31448339830548</c:v>
                </c:pt>
                <c:pt idx="18">
                  <c:v>33.31448339830548</c:v>
                </c:pt>
                <c:pt idx="19">
                  <c:v>33.31448339830548</c:v>
                </c:pt>
                <c:pt idx="20">
                  <c:v>33.31448339830548</c:v>
                </c:pt>
                <c:pt idx="21">
                  <c:v>33.31448339830548</c:v>
                </c:pt>
                <c:pt idx="22">
                  <c:v>33.31448339830548</c:v>
                </c:pt>
                <c:pt idx="23">
                  <c:v>33.31448339830548</c:v>
                </c:pt>
                <c:pt idx="24">
                  <c:v>33.31448339830548</c:v>
                </c:pt>
                <c:pt idx="25">
                  <c:v>33.31448339830548</c:v>
                </c:pt>
                <c:pt idx="26">
                  <c:v>33.31448339830548</c:v>
                </c:pt>
                <c:pt idx="27">
                  <c:v>33.31448339830548</c:v>
                </c:pt>
                <c:pt idx="28">
                  <c:v>33.31448339830548</c:v>
                </c:pt>
                <c:pt idx="29">
                  <c:v>33.31448339830548</c:v>
                </c:pt>
                <c:pt idx="30">
                  <c:v>33.31448339830548</c:v>
                </c:pt>
                <c:pt idx="31">
                  <c:v>33.31448339830548</c:v>
                </c:pt>
                <c:pt idx="32">
                  <c:v>33.31448339830548</c:v>
                </c:pt>
                <c:pt idx="33">
                  <c:v>33.31448339830548</c:v>
                </c:pt>
                <c:pt idx="34">
                  <c:v>33.31448339830548</c:v>
                </c:pt>
                <c:pt idx="35">
                  <c:v>33.31448339830548</c:v>
                </c:pt>
                <c:pt idx="36">
                  <c:v>33.31448339830548</c:v>
                </c:pt>
                <c:pt idx="37">
                  <c:v>33.31448339830548</c:v>
                </c:pt>
                <c:pt idx="38">
                  <c:v>33.31448339830548</c:v>
                </c:pt>
                <c:pt idx="39">
                  <c:v>33.31448339830548</c:v>
                </c:pt>
                <c:pt idx="40">
                  <c:v>33.31448339830548</c:v>
                </c:pt>
                <c:pt idx="41">
                  <c:v>33.31448339830548</c:v>
                </c:pt>
                <c:pt idx="42">
                  <c:v>33.31448339830548</c:v>
                </c:pt>
                <c:pt idx="43">
                  <c:v>33.31448339830548</c:v>
                </c:pt>
                <c:pt idx="44">
                  <c:v>33.31448339830548</c:v>
                </c:pt>
                <c:pt idx="45">
                  <c:v>33.31448339830548</c:v>
                </c:pt>
                <c:pt idx="46">
                  <c:v>33.31448339830548</c:v>
                </c:pt>
                <c:pt idx="47">
                  <c:v>33.31448339830548</c:v>
                </c:pt>
                <c:pt idx="48">
                  <c:v>33.31448339830548</c:v>
                </c:pt>
                <c:pt idx="49">
                  <c:v>33.31448339830548</c:v>
                </c:pt>
                <c:pt idx="50">
                  <c:v>33.31448339830548</c:v>
                </c:pt>
                <c:pt idx="51">
                  <c:v>33.31448339830548</c:v>
                </c:pt>
                <c:pt idx="52">
                  <c:v>33.31448339830548</c:v>
                </c:pt>
                <c:pt idx="53">
                  <c:v>33.31448339830548</c:v>
                </c:pt>
                <c:pt idx="54">
                  <c:v>33.31448339830548</c:v>
                </c:pt>
                <c:pt idx="55">
                  <c:v>33.31448339830548</c:v>
                </c:pt>
                <c:pt idx="56">
                  <c:v>33.31448339830548</c:v>
                </c:pt>
                <c:pt idx="57">
                  <c:v>33.31448339830548</c:v>
                </c:pt>
                <c:pt idx="58">
                  <c:v>33.31448339830548</c:v>
                </c:pt>
                <c:pt idx="59">
                  <c:v>33.31448339830548</c:v>
                </c:pt>
                <c:pt idx="60">
                  <c:v>33.31448339830548</c:v>
                </c:pt>
                <c:pt idx="61">
                  <c:v>33.31448339830548</c:v>
                </c:pt>
                <c:pt idx="62">
                  <c:v>33.31448339830548</c:v>
                </c:pt>
                <c:pt idx="63">
                  <c:v>33.31448339830548</c:v>
                </c:pt>
                <c:pt idx="64">
                  <c:v>33.31448339830548</c:v>
                </c:pt>
                <c:pt idx="65">
                  <c:v>33.31448339830548</c:v>
                </c:pt>
                <c:pt idx="66">
                  <c:v>33.31448339830548</c:v>
                </c:pt>
                <c:pt idx="67">
                  <c:v>33.31448339830548</c:v>
                </c:pt>
                <c:pt idx="68">
                  <c:v>33.31448339830548</c:v>
                </c:pt>
                <c:pt idx="69">
                  <c:v>33.31448339830548</c:v>
                </c:pt>
                <c:pt idx="70">
                  <c:v>33.31448339830548</c:v>
                </c:pt>
                <c:pt idx="71">
                  <c:v>33.31448339830548</c:v>
                </c:pt>
                <c:pt idx="72">
                  <c:v>33.31448339830548</c:v>
                </c:pt>
                <c:pt idx="73">
                  <c:v>33.31448339830548</c:v>
                </c:pt>
                <c:pt idx="74">
                  <c:v>33.31448339830548</c:v>
                </c:pt>
                <c:pt idx="75">
                  <c:v>33.31448339830548</c:v>
                </c:pt>
                <c:pt idx="76">
                  <c:v>33.31448339830548</c:v>
                </c:pt>
                <c:pt idx="77">
                  <c:v>33.31448339830548</c:v>
                </c:pt>
                <c:pt idx="78">
                  <c:v>33.31448339830548</c:v>
                </c:pt>
                <c:pt idx="79">
                  <c:v>33.31448339830548</c:v>
                </c:pt>
                <c:pt idx="80">
                  <c:v>33.31448339830548</c:v>
                </c:pt>
                <c:pt idx="81">
                  <c:v>33.31448339830548</c:v>
                </c:pt>
                <c:pt idx="82">
                  <c:v>33.31448339830548</c:v>
                </c:pt>
                <c:pt idx="83">
                  <c:v>33.31448339830548</c:v>
                </c:pt>
                <c:pt idx="84">
                  <c:v>33.31448339830548</c:v>
                </c:pt>
                <c:pt idx="85">
                  <c:v>33.31448339830548</c:v>
                </c:pt>
                <c:pt idx="86">
                  <c:v>33.31448339830548</c:v>
                </c:pt>
                <c:pt idx="87">
                  <c:v>33.31448339830548</c:v>
                </c:pt>
                <c:pt idx="88">
                  <c:v>33.31448339830548</c:v>
                </c:pt>
                <c:pt idx="89">
                  <c:v>33.31448339830548</c:v>
                </c:pt>
                <c:pt idx="90">
                  <c:v>33.31448339830548</c:v>
                </c:pt>
                <c:pt idx="91">
                  <c:v>33.31448339830548</c:v>
                </c:pt>
                <c:pt idx="92">
                  <c:v>33.31448339830548</c:v>
                </c:pt>
                <c:pt idx="93">
                  <c:v>33.31448339830548</c:v>
                </c:pt>
                <c:pt idx="94">
                  <c:v>33.31448339830548</c:v>
                </c:pt>
                <c:pt idx="95">
                  <c:v>33.31448339830548</c:v>
                </c:pt>
                <c:pt idx="96">
                  <c:v>33.31448339830548</c:v>
                </c:pt>
                <c:pt idx="97">
                  <c:v>33.31448339830548</c:v>
                </c:pt>
                <c:pt idx="98">
                  <c:v>33.31448339830548</c:v>
                </c:pt>
                <c:pt idx="99">
                  <c:v>33.31448339830548</c:v>
                </c:pt>
              </c:numCache>
            </c:numRef>
          </c:val>
          <c:smooth val="0"/>
        </c:ser>
        <c:ser>
          <c:idx val="9"/>
          <c:order val="9"/>
          <c:tx>
            <c:v>35 g Endangered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FF0000"/>
                </a:solidFill>
              </a:ln>
            </c:spPr>
          </c:marker>
          <c:val>
            <c:numRef>
              <c:f>Graphs!$AL$4:$AL$103</c:f>
              <c:numCache>
                <c:ptCount val="100"/>
                <c:pt idx="0">
                  <c:v>38.79882349175832</c:v>
                </c:pt>
                <c:pt idx="1">
                  <c:v>38.79882349175832</c:v>
                </c:pt>
                <c:pt idx="2">
                  <c:v>38.79882349175832</c:v>
                </c:pt>
                <c:pt idx="3">
                  <c:v>38.79882349175832</c:v>
                </c:pt>
                <c:pt idx="4">
                  <c:v>38.79882349175832</c:v>
                </c:pt>
                <c:pt idx="5">
                  <c:v>38.79882349175832</c:v>
                </c:pt>
                <c:pt idx="6">
                  <c:v>38.79882349175832</c:v>
                </c:pt>
                <c:pt idx="7">
                  <c:v>38.79882349175832</c:v>
                </c:pt>
                <c:pt idx="8">
                  <c:v>38.79882349175832</c:v>
                </c:pt>
                <c:pt idx="9">
                  <c:v>38.79882349175832</c:v>
                </c:pt>
                <c:pt idx="10">
                  <c:v>38.79882349175832</c:v>
                </c:pt>
                <c:pt idx="11">
                  <c:v>38.79882349175832</c:v>
                </c:pt>
                <c:pt idx="12">
                  <c:v>38.79882349175832</c:v>
                </c:pt>
                <c:pt idx="13">
                  <c:v>38.79882349175832</c:v>
                </c:pt>
                <c:pt idx="14">
                  <c:v>38.79882349175832</c:v>
                </c:pt>
                <c:pt idx="15">
                  <c:v>38.79882349175832</c:v>
                </c:pt>
                <c:pt idx="16">
                  <c:v>38.79882349175832</c:v>
                </c:pt>
                <c:pt idx="17">
                  <c:v>38.79882349175832</c:v>
                </c:pt>
                <c:pt idx="18">
                  <c:v>38.79882349175832</c:v>
                </c:pt>
                <c:pt idx="19">
                  <c:v>38.79882349175832</c:v>
                </c:pt>
                <c:pt idx="20">
                  <c:v>38.79882349175832</c:v>
                </c:pt>
                <c:pt idx="21">
                  <c:v>38.79882349175832</c:v>
                </c:pt>
                <c:pt idx="22">
                  <c:v>38.79882349175832</c:v>
                </c:pt>
                <c:pt idx="23">
                  <c:v>38.79882349175832</c:v>
                </c:pt>
                <c:pt idx="24">
                  <c:v>38.79882349175832</c:v>
                </c:pt>
                <c:pt idx="25">
                  <c:v>38.79882349175832</c:v>
                </c:pt>
                <c:pt idx="26">
                  <c:v>38.79882349175832</c:v>
                </c:pt>
                <c:pt idx="27">
                  <c:v>38.79882349175832</c:v>
                </c:pt>
                <c:pt idx="28">
                  <c:v>38.79882349175832</c:v>
                </c:pt>
                <c:pt idx="29">
                  <c:v>38.79882349175832</c:v>
                </c:pt>
                <c:pt idx="30">
                  <c:v>38.79882349175832</c:v>
                </c:pt>
                <c:pt idx="31">
                  <c:v>38.79882349175832</c:v>
                </c:pt>
                <c:pt idx="32">
                  <c:v>38.79882349175832</c:v>
                </c:pt>
                <c:pt idx="33">
                  <c:v>38.79882349175832</c:v>
                </c:pt>
                <c:pt idx="34">
                  <c:v>38.79882349175832</c:v>
                </c:pt>
                <c:pt idx="35">
                  <c:v>38.79882349175832</c:v>
                </c:pt>
                <c:pt idx="36">
                  <c:v>38.79882349175832</c:v>
                </c:pt>
                <c:pt idx="37">
                  <c:v>38.79882349175832</c:v>
                </c:pt>
                <c:pt idx="38">
                  <c:v>38.79882349175832</c:v>
                </c:pt>
                <c:pt idx="39">
                  <c:v>38.79882349175832</c:v>
                </c:pt>
                <c:pt idx="40">
                  <c:v>38.79882349175832</c:v>
                </c:pt>
                <c:pt idx="41">
                  <c:v>38.79882349175832</c:v>
                </c:pt>
                <c:pt idx="42">
                  <c:v>38.79882349175832</c:v>
                </c:pt>
                <c:pt idx="43">
                  <c:v>38.79882349175832</c:v>
                </c:pt>
                <c:pt idx="44">
                  <c:v>38.79882349175832</c:v>
                </c:pt>
                <c:pt idx="45">
                  <c:v>38.79882349175832</c:v>
                </c:pt>
                <c:pt idx="46">
                  <c:v>38.79882349175832</c:v>
                </c:pt>
                <c:pt idx="47">
                  <c:v>38.79882349175832</c:v>
                </c:pt>
                <c:pt idx="48">
                  <c:v>38.79882349175832</c:v>
                </c:pt>
                <c:pt idx="49">
                  <c:v>38.79882349175832</c:v>
                </c:pt>
                <c:pt idx="50">
                  <c:v>38.79882349175832</c:v>
                </c:pt>
                <c:pt idx="51">
                  <c:v>38.79882349175832</c:v>
                </c:pt>
                <c:pt idx="52">
                  <c:v>38.79882349175832</c:v>
                </c:pt>
                <c:pt idx="53">
                  <c:v>38.79882349175832</c:v>
                </c:pt>
                <c:pt idx="54">
                  <c:v>38.79882349175832</c:v>
                </c:pt>
                <c:pt idx="55">
                  <c:v>38.79882349175832</c:v>
                </c:pt>
                <c:pt idx="56">
                  <c:v>38.79882349175832</c:v>
                </c:pt>
                <c:pt idx="57">
                  <c:v>38.79882349175832</c:v>
                </c:pt>
                <c:pt idx="58">
                  <c:v>38.79882349175832</c:v>
                </c:pt>
                <c:pt idx="59">
                  <c:v>38.79882349175832</c:v>
                </c:pt>
                <c:pt idx="60">
                  <c:v>38.79882349175832</c:v>
                </c:pt>
                <c:pt idx="61">
                  <c:v>38.79882349175832</c:v>
                </c:pt>
                <c:pt idx="62">
                  <c:v>38.79882349175832</c:v>
                </c:pt>
                <c:pt idx="63">
                  <c:v>38.79882349175832</c:v>
                </c:pt>
                <c:pt idx="64">
                  <c:v>38.79882349175832</c:v>
                </c:pt>
                <c:pt idx="65">
                  <c:v>38.79882349175832</c:v>
                </c:pt>
                <c:pt idx="66">
                  <c:v>38.79882349175832</c:v>
                </c:pt>
                <c:pt idx="67">
                  <c:v>38.79882349175832</c:v>
                </c:pt>
                <c:pt idx="68">
                  <c:v>38.79882349175832</c:v>
                </c:pt>
                <c:pt idx="69">
                  <c:v>38.79882349175832</c:v>
                </c:pt>
                <c:pt idx="70">
                  <c:v>38.79882349175832</c:v>
                </c:pt>
                <c:pt idx="71">
                  <c:v>38.79882349175832</c:v>
                </c:pt>
                <c:pt idx="72">
                  <c:v>38.79882349175832</c:v>
                </c:pt>
                <c:pt idx="73">
                  <c:v>38.79882349175832</c:v>
                </c:pt>
                <c:pt idx="74">
                  <c:v>38.79882349175832</c:v>
                </c:pt>
                <c:pt idx="75">
                  <c:v>38.79882349175832</c:v>
                </c:pt>
                <c:pt idx="76">
                  <c:v>38.79882349175832</c:v>
                </c:pt>
                <c:pt idx="77">
                  <c:v>38.79882349175832</c:v>
                </c:pt>
                <c:pt idx="78">
                  <c:v>38.79882349175832</c:v>
                </c:pt>
                <c:pt idx="79">
                  <c:v>38.79882349175832</c:v>
                </c:pt>
                <c:pt idx="80">
                  <c:v>38.79882349175832</c:v>
                </c:pt>
                <c:pt idx="81">
                  <c:v>38.79882349175832</c:v>
                </c:pt>
                <c:pt idx="82">
                  <c:v>38.79882349175832</c:v>
                </c:pt>
                <c:pt idx="83">
                  <c:v>38.79882349175832</c:v>
                </c:pt>
                <c:pt idx="84">
                  <c:v>38.79882349175832</c:v>
                </c:pt>
                <c:pt idx="85">
                  <c:v>38.79882349175832</c:v>
                </c:pt>
                <c:pt idx="86">
                  <c:v>38.79882349175832</c:v>
                </c:pt>
                <c:pt idx="87">
                  <c:v>38.79882349175832</c:v>
                </c:pt>
                <c:pt idx="88">
                  <c:v>38.79882349175832</c:v>
                </c:pt>
                <c:pt idx="89">
                  <c:v>38.79882349175832</c:v>
                </c:pt>
                <c:pt idx="90">
                  <c:v>38.79882349175832</c:v>
                </c:pt>
                <c:pt idx="91">
                  <c:v>38.79882349175832</c:v>
                </c:pt>
                <c:pt idx="92">
                  <c:v>38.79882349175832</c:v>
                </c:pt>
                <c:pt idx="93">
                  <c:v>38.79882349175832</c:v>
                </c:pt>
                <c:pt idx="94">
                  <c:v>38.79882349175832</c:v>
                </c:pt>
                <c:pt idx="95">
                  <c:v>38.79882349175832</c:v>
                </c:pt>
                <c:pt idx="96">
                  <c:v>38.79882349175832</c:v>
                </c:pt>
                <c:pt idx="97">
                  <c:v>38.79882349175832</c:v>
                </c:pt>
                <c:pt idx="98">
                  <c:v>38.79882349175832</c:v>
                </c:pt>
                <c:pt idx="99">
                  <c:v>38.79882349175832</c:v>
                </c:pt>
              </c:numCache>
            </c:numRef>
          </c:val>
          <c:smooth val="0"/>
        </c:ser>
        <c:ser>
          <c:idx val="10"/>
          <c:order val="10"/>
          <c:tx>
            <c:v>1000 g Endangered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val>
            <c:numRef>
              <c:f>Graphs!$AM$4:$AM$103</c:f>
              <c:numCache>
                <c:ptCount val="100"/>
                <c:pt idx="0">
                  <c:v>20.1380221260251</c:v>
                </c:pt>
                <c:pt idx="1">
                  <c:v>20.1380221260251</c:v>
                </c:pt>
                <c:pt idx="2">
                  <c:v>20.1380221260251</c:v>
                </c:pt>
                <c:pt idx="3">
                  <c:v>20.1380221260251</c:v>
                </c:pt>
                <c:pt idx="4">
                  <c:v>20.1380221260251</c:v>
                </c:pt>
                <c:pt idx="5">
                  <c:v>20.1380221260251</c:v>
                </c:pt>
                <c:pt idx="6">
                  <c:v>20.1380221260251</c:v>
                </c:pt>
                <c:pt idx="7">
                  <c:v>20.1380221260251</c:v>
                </c:pt>
                <c:pt idx="8">
                  <c:v>20.1380221260251</c:v>
                </c:pt>
                <c:pt idx="9">
                  <c:v>20.1380221260251</c:v>
                </c:pt>
                <c:pt idx="10">
                  <c:v>20.1380221260251</c:v>
                </c:pt>
                <c:pt idx="11">
                  <c:v>20.1380221260251</c:v>
                </c:pt>
                <c:pt idx="12">
                  <c:v>20.1380221260251</c:v>
                </c:pt>
                <c:pt idx="13">
                  <c:v>20.1380221260251</c:v>
                </c:pt>
                <c:pt idx="14">
                  <c:v>20.1380221260251</c:v>
                </c:pt>
                <c:pt idx="15">
                  <c:v>20.1380221260251</c:v>
                </c:pt>
                <c:pt idx="16">
                  <c:v>20.1380221260251</c:v>
                </c:pt>
                <c:pt idx="17">
                  <c:v>20.1380221260251</c:v>
                </c:pt>
                <c:pt idx="18">
                  <c:v>20.1380221260251</c:v>
                </c:pt>
                <c:pt idx="19">
                  <c:v>20.1380221260251</c:v>
                </c:pt>
                <c:pt idx="20">
                  <c:v>20.1380221260251</c:v>
                </c:pt>
                <c:pt idx="21">
                  <c:v>20.1380221260251</c:v>
                </c:pt>
                <c:pt idx="22">
                  <c:v>20.1380221260251</c:v>
                </c:pt>
                <c:pt idx="23">
                  <c:v>20.1380221260251</c:v>
                </c:pt>
                <c:pt idx="24">
                  <c:v>20.1380221260251</c:v>
                </c:pt>
                <c:pt idx="25">
                  <c:v>20.1380221260251</c:v>
                </c:pt>
                <c:pt idx="26">
                  <c:v>20.1380221260251</c:v>
                </c:pt>
                <c:pt idx="27">
                  <c:v>20.1380221260251</c:v>
                </c:pt>
                <c:pt idx="28">
                  <c:v>20.1380221260251</c:v>
                </c:pt>
                <c:pt idx="29">
                  <c:v>20.1380221260251</c:v>
                </c:pt>
                <c:pt idx="30">
                  <c:v>20.1380221260251</c:v>
                </c:pt>
                <c:pt idx="31">
                  <c:v>20.1380221260251</c:v>
                </c:pt>
                <c:pt idx="32">
                  <c:v>20.1380221260251</c:v>
                </c:pt>
                <c:pt idx="33">
                  <c:v>20.1380221260251</c:v>
                </c:pt>
                <c:pt idx="34">
                  <c:v>20.1380221260251</c:v>
                </c:pt>
                <c:pt idx="35">
                  <c:v>20.1380221260251</c:v>
                </c:pt>
                <c:pt idx="36">
                  <c:v>20.1380221260251</c:v>
                </c:pt>
                <c:pt idx="37">
                  <c:v>20.1380221260251</c:v>
                </c:pt>
                <c:pt idx="38">
                  <c:v>20.1380221260251</c:v>
                </c:pt>
                <c:pt idx="39">
                  <c:v>20.1380221260251</c:v>
                </c:pt>
                <c:pt idx="40">
                  <c:v>20.1380221260251</c:v>
                </c:pt>
                <c:pt idx="41">
                  <c:v>20.1380221260251</c:v>
                </c:pt>
                <c:pt idx="42">
                  <c:v>20.1380221260251</c:v>
                </c:pt>
                <c:pt idx="43">
                  <c:v>20.1380221260251</c:v>
                </c:pt>
                <c:pt idx="44">
                  <c:v>20.1380221260251</c:v>
                </c:pt>
                <c:pt idx="45">
                  <c:v>20.1380221260251</c:v>
                </c:pt>
                <c:pt idx="46">
                  <c:v>20.1380221260251</c:v>
                </c:pt>
                <c:pt idx="47">
                  <c:v>20.1380221260251</c:v>
                </c:pt>
                <c:pt idx="48">
                  <c:v>20.1380221260251</c:v>
                </c:pt>
                <c:pt idx="49">
                  <c:v>20.1380221260251</c:v>
                </c:pt>
                <c:pt idx="50">
                  <c:v>20.1380221260251</c:v>
                </c:pt>
                <c:pt idx="51">
                  <c:v>20.1380221260251</c:v>
                </c:pt>
                <c:pt idx="52">
                  <c:v>20.1380221260251</c:v>
                </c:pt>
                <c:pt idx="53">
                  <c:v>20.1380221260251</c:v>
                </c:pt>
                <c:pt idx="54">
                  <c:v>20.1380221260251</c:v>
                </c:pt>
                <c:pt idx="55">
                  <c:v>20.1380221260251</c:v>
                </c:pt>
                <c:pt idx="56">
                  <c:v>20.1380221260251</c:v>
                </c:pt>
                <c:pt idx="57">
                  <c:v>20.1380221260251</c:v>
                </c:pt>
                <c:pt idx="58">
                  <c:v>20.1380221260251</c:v>
                </c:pt>
                <c:pt idx="59">
                  <c:v>20.1380221260251</c:v>
                </c:pt>
                <c:pt idx="60">
                  <c:v>20.1380221260251</c:v>
                </c:pt>
                <c:pt idx="61">
                  <c:v>20.1380221260251</c:v>
                </c:pt>
                <c:pt idx="62">
                  <c:v>20.1380221260251</c:v>
                </c:pt>
                <c:pt idx="63">
                  <c:v>20.1380221260251</c:v>
                </c:pt>
                <c:pt idx="64">
                  <c:v>20.1380221260251</c:v>
                </c:pt>
                <c:pt idx="65">
                  <c:v>20.1380221260251</c:v>
                </c:pt>
                <c:pt idx="66">
                  <c:v>20.1380221260251</c:v>
                </c:pt>
                <c:pt idx="67">
                  <c:v>20.1380221260251</c:v>
                </c:pt>
                <c:pt idx="68">
                  <c:v>20.1380221260251</c:v>
                </c:pt>
                <c:pt idx="69">
                  <c:v>20.1380221260251</c:v>
                </c:pt>
                <c:pt idx="70">
                  <c:v>20.1380221260251</c:v>
                </c:pt>
                <c:pt idx="71">
                  <c:v>20.1380221260251</c:v>
                </c:pt>
                <c:pt idx="72">
                  <c:v>20.1380221260251</c:v>
                </c:pt>
                <c:pt idx="73">
                  <c:v>20.1380221260251</c:v>
                </c:pt>
                <c:pt idx="74">
                  <c:v>20.1380221260251</c:v>
                </c:pt>
                <c:pt idx="75">
                  <c:v>20.1380221260251</c:v>
                </c:pt>
                <c:pt idx="76">
                  <c:v>20.1380221260251</c:v>
                </c:pt>
                <c:pt idx="77">
                  <c:v>20.1380221260251</c:v>
                </c:pt>
                <c:pt idx="78">
                  <c:v>20.1380221260251</c:v>
                </c:pt>
                <c:pt idx="79">
                  <c:v>20.1380221260251</c:v>
                </c:pt>
                <c:pt idx="80">
                  <c:v>20.1380221260251</c:v>
                </c:pt>
                <c:pt idx="81">
                  <c:v>20.1380221260251</c:v>
                </c:pt>
                <c:pt idx="82">
                  <c:v>20.1380221260251</c:v>
                </c:pt>
                <c:pt idx="83">
                  <c:v>20.1380221260251</c:v>
                </c:pt>
                <c:pt idx="84">
                  <c:v>20.1380221260251</c:v>
                </c:pt>
                <c:pt idx="85">
                  <c:v>20.1380221260251</c:v>
                </c:pt>
                <c:pt idx="86">
                  <c:v>20.1380221260251</c:v>
                </c:pt>
                <c:pt idx="87">
                  <c:v>20.1380221260251</c:v>
                </c:pt>
                <c:pt idx="88">
                  <c:v>20.1380221260251</c:v>
                </c:pt>
                <c:pt idx="89">
                  <c:v>20.1380221260251</c:v>
                </c:pt>
                <c:pt idx="90">
                  <c:v>20.1380221260251</c:v>
                </c:pt>
                <c:pt idx="91">
                  <c:v>20.1380221260251</c:v>
                </c:pt>
                <c:pt idx="92">
                  <c:v>20.1380221260251</c:v>
                </c:pt>
                <c:pt idx="93">
                  <c:v>20.1380221260251</c:v>
                </c:pt>
                <c:pt idx="94">
                  <c:v>20.1380221260251</c:v>
                </c:pt>
                <c:pt idx="95">
                  <c:v>20.1380221260251</c:v>
                </c:pt>
                <c:pt idx="96">
                  <c:v>20.1380221260251</c:v>
                </c:pt>
                <c:pt idx="97">
                  <c:v>20.1380221260251</c:v>
                </c:pt>
                <c:pt idx="98">
                  <c:v>20.1380221260251</c:v>
                </c:pt>
                <c:pt idx="99">
                  <c:v>20.1380221260251</c:v>
                </c:pt>
              </c:numCache>
            </c:numRef>
          </c:val>
          <c:smooth val="0"/>
        </c:ser>
        <c:marker val="1"/>
        <c:axId val="8770821"/>
        <c:axId val="11828526"/>
      </c:lineChart>
      <c:catAx>
        <c:axId val="8770821"/>
        <c:scaling>
          <c:orientation val="minMax"/>
        </c:scaling>
        <c:axPos val="b"/>
        <c:title>
          <c:tx>
            <c:rich>
              <a:bodyPr vert="horz" rot="0" anchor="ctr"/>
              <a:lstStyle/>
              <a:p>
                <a:pPr algn="ctr">
                  <a:defRPr/>
                </a:pPr>
                <a:r>
                  <a:rPr lang="en-US" cap="none" sz="1000" b="0" i="0" u="none" baseline="0">
                    <a:latin typeface="Arial"/>
                    <a:ea typeface="Arial"/>
                    <a:cs typeface="Arial"/>
                  </a:rPr>
                  <a:t>Days</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11828526"/>
        <c:crosses val="autoZero"/>
        <c:auto val="1"/>
        <c:lblOffset val="100"/>
        <c:tickLblSkip val="4"/>
        <c:tickMarkSkip val="5"/>
        <c:noMultiLvlLbl val="0"/>
      </c:catAx>
      <c:valAx>
        <c:axId val="11828526"/>
        <c:scaling>
          <c:orientation val="minMax"/>
        </c:scaling>
        <c:axPos val="l"/>
        <c:title>
          <c:tx>
            <c:rich>
              <a:bodyPr vert="horz" rot="-5400000" anchor="ctr"/>
              <a:lstStyle/>
              <a:p>
                <a:pPr algn="ctr">
                  <a:defRPr/>
                </a:pPr>
                <a:r>
                  <a:rPr lang="en-US" cap="none" sz="1000" b="0" i="0" u="none" baseline="0">
                    <a:latin typeface="Arial"/>
                    <a:ea typeface="Arial"/>
                    <a:cs typeface="Arial"/>
                  </a:rPr>
                  <a:t>Concentration (mg ai/kg dietary item)</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8770821"/>
        <c:crossesAt val="1"/>
        <c:crossBetween val="midCat"/>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txPr>
    <a:bodyPr vert="horz" rot="0"/>
    <a:lstStyle/>
    <a:p>
      <a:pPr>
        <a:defRPr lang="en-US" cap="none" sz="1000" b="0" i="0" u="sng"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Terrestrial Residues (upper bound estimates)
vs
Mammalian Granivore LOCs (as dietary concentrations)</a:t>
            </a:r>
          </a:p>
        </c:rich>
      </c:tx>
      <c:layout>
        <c:manualLayout>
          <c:xMode val="factor"/>
          <c:yMode val="factor"/>
          <c:x val="-0.02525"/>
          <c:y val="0"/>
        </c:manualLayout>
      </c:layout>
      <c:spPr>
        <a:noFill/>
        <a:ln>
          <a:noFill/>
        </a:ln>
      </c:spPr>
    </c:title>
    <c:plotArea>
      <c:layout>
        <c:manualLayout>
          <c:xMode val="edge"/>
          <c:yMode val="edge"/>
          <c:x val="0.02725"/>
          <c:y val="0.09375"/>
          <c:w val="0.76525"/>
          <c:h val="0.8465"/>
        </c:manualLayout>
      </c:layout>
      <c:lineChart>
        <c:grouping val="standard"/>
        <c:varyColors val="0"/>
        <c:ser>
          <c:idx val="0"/>
          <c:order val="0"/>
          <c:tx>
            <c:strRef>
              <c:f>'upper bound Kenaga'!$A$27:$A$27</c:f>
              <c:strCache>
                <c:ptCount val="1"/>
                <c:pt idx="0">
                  <c:v>Short Grass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'upper bound Kenaga'!$P$21:$P$126</c:f>
              <c:numCache>
                <c:ptCount val="101"/>
                <c:pt idx="0">
                  <c:v>300</c:v>
                </c:pt>
                <c:pt idx="1">
                  <c:v>294.11718298193205</c:v>
                </c:pt>
                <c:pt idx="2">
                  <c:v>288.34972441742434</c:v>
                </c:pt>
                <c:pt idx="3">
                  <c:v>282.69536219756424</c:v>
                </c:pt>
                <c:pt idx="4">
                  <c:v>277.15187857201516</c:v>
                </c:pt>
                <c:pt idx="5">
                  <c:v>271.717099279172</c:v>
                </c:pt>
                <c:pt idx="6">
                  <c:v>266.3888926933734</c:v>
                </c:pt>
                <c:pt idx="7">
                  <c:v>261.1651689888372</c:v>
                </c:pt>
                <c:pt idx="8">
                  <c:v>256.0438793199901</c:v>
                </c:pt>
                <c:pt idx="9">
                  <c:v>251.02301501787082</c:v>
                </c:pt>
                <c:pt idx="10">
                  <c:v>246.10060680229128</c:v>
                </c:pt>
                <c:pt idx="11">
                  <c:v>241.27472400944671</c:v>
                </c:pt>
                <c:pt idx="12">
                  <c:v>236.54347383467197</c:v>
                </c:pt>
                <c:pt idx="13">
                  <c:v>231.90500059004688</c:v>
                </c:pt>
                <c:pt idx="14">
                  <c:v>527.3574849765596</c:v>
                </c:pt>
                <c:pt idx="15">
                  <c:v>517.0163263524742</c:v>
                </c:pt>
                <c:pt idx="16">
                  <c:v>506.8779515415231</c:v>
                </c:pt>
                <c:pt idx="17">
                  <c:v>496.93838407681676</c:v>
                </c:pt>
                <c:pt idx="18">
                  <c:v>487.1937254675558</c:v>
                </c:pt>
                <c:pt idx="19">
                  <c:v>477.64015366996756</c:v>
                </c:pt>
                <c:pt idx="20">
                  <c:v>468.27392158822664</c:v>
                </c:pt>
                <c:pt idx="21">
                  <c:v>459.09135560477114</c:v>
                </c:pt>
                <c:pt idx="22">
                  <c:v>450.088854139439</c:v>
                </c:pt>
                <c:pt idx="23">
                  <c:v>441.2628862368583</c:v>
                </c:pt>
                <c:pt idx="24">
                  <c:v>432.60999018153836</c:v>
                </c:pt>
                <c:pt idx="25">
                  <c:v>424.1267721401178</c:v>
                </c:pt>
                <c:pt idx="26">
                  <c:v>415.8099048302374</c:v>
                </c:pt>
                <c:pt idx="27">
                  <c:v>407.65612621551554</c:v>
                </c:pt>
                <c:pt idx="28">
                  <c:v>699.6622382261146</c:v>
                </c:pt>
                <c:pt idx="29">
                  <c:v>685.9422884863276</c:v>
                </c:pt>
                <c:pt idx="30">
                  <c:v>672.4913785925947</c:v>
                </c:pt>
                <c:pt idx="31">
                  <c:v>659.3042328376331</c:v>
                </c:pt>
                <c:pt idx="32">
                  <c:v>646.3756789675615</c:v>
                </c:pt>
                <c:pt idx="33">
                  <c:v>633.7006461532428</c:v>
                </c:pt>
                <c:pt idx="34">
                  <c:v>621.2741630014062</c:v>
                </c:pt>
                <c:pt idx="35">
                  <c:v>609.0913556047709</c:v>
                </c:pt>
                <c:pt idx="36">
                  <c:v>597.1474456304048</c:v>
                </c:pt>
                <c:pt idx="37">
                  <c:v>585.4377484455703</c:v>
                </c:pt>
                <c:pt idx="38">
                  <c:v>573.9576712803203</c:v>
                </c:pt>
                <c:pt idx="39">
                  <c:v>562.7027114261251</c:v>
                </c:pt>
                <c:pt idx="40">
                  <c:v>551.6684544698231</c:v>
                </c:pt>
                <c:pt idx="41">
                  <c:v>540.850572562202</c:v>
                </c:pt>
                <c:pt idx="42">
                  <c:v>530.244822720533</c:v>
                </c:pt>
                <c:pt idx="43">
                  <c:v>519.8470451643904</c:v>
                </c:pt>
                <c:pt idx="44">
                  <c:v>509.6531616841056</c:v>
                </c:pt>
                <c:pt idx="45">
                  <c:v>499.65917404121427</c:v>
                </c:pt>
                <c:pt idx="46">
                  <c:v>489.86116240026945</c:v>
                </c:pt>
                <c:pt idx="47">
                  <c:v>480.25528379140655</c:v>
                </c:pt>
                <c:pt idx="48">
                  <c:v>470.8377706030561</c:v>
                </c:pt>
                <c:pt idx="49">
                  <c:v>461.6049291042133</c:v>
                </c:pt>
                <c:pt idx="50">
                  <c:v>452.5531379956855</c:v>
                </c:pt>
                <c:pt idx="51">
                  <c:v>443.6788469897486</c:v>
                </c:pt>
                <c:pt idx="52">
                  <c:v>434.97857541765507</c:v>
                </c:pt>
                <c:pt idx="53">
                  <c:v>426.4489108644486</c:v>
                </c:pt>
                <c:pt idx="54">
                  <c:v>418.08650783054884</c:v>
                </c:pt>
                <c:pt idx="55">
                  <c:v>409.88808641958167</c:v>
                </c:pt>
                <c:pt idx="56">
                  <c:v>401.85043105194023</c:v>
                </c:pt>
                <c:pt idx="57">
                  <c:v>393.97038920357255</c:v>
                </c:pt>
                <c:pt idx="58">
                  <c:v>386.2448701695004</c:v>
                </c:pt>
                <c:pt idx="59">
                  <c:v>378.6708438515851</c:v>
                </c:pt>
                <c:pt idx="60">
                  <c:v>371.24533957006423</c:v>
                </c:pt>
                <c:pt idx="61">
                  <c:v>363.96544489839357</c:v>
                </c:pt>
                <c:pt idx="62">
                  <c:v>356.8283045209371</c:v>
                </c:pt>
                <c:pt idx="63">
                  <c:v>349.83111911305673</c:v>
                </c:pt>
                <c:pt idx="64">
                  <c:v>342.9711442431632</c:v>
                </c:pt>
                <c:pt idx="65">
                  <c:v>336.2456892962968</c:v>
                </c:pt>
                <c:pt idx="66">
                  <c:v>329.652116418816</c:v>
                </c:pt>
                <c:pt idx="67">
                  <c:v>323.1878394837802</c:v>
                </c:pt>
                <c:pt idx="68">
                  <c:v>316.85032307662084</c:v>
                </c:pt>
                <c:pt idx="69">
                  <c:v>310.6370815007026</c:v>
                </c:pt>
                <c:pt idx="70">
                  <c:v>304.54567780238494</c:v>
                </c:pt>
                <c:pt idx="71">
                  <c:v>298.5737228152019</c:v>
                </c:pt>
                <c:pt idx="72">
                  <c:v>292.7188742227846</c:v>
                </c:pt>
                <c:pt idx="73">
                  <c:v>286.9788356401596</c:v>
                </c:pt>
                <c:pt idx="74">
                  <c:v>281.3513557130621</c:v>
                </c:pt>
                <c:pt idx="75">
                  <c:v>275.8342272349111</c:v>
                </c:pt>
                <c:pt idx="76">
                  <c:v>270.42528628110057</c:v>
                </c:pt>
                <c:pt idx="77">
                  <c:v>265.122411360266</c:v>
                </c:pt>
                <c:pt idx="78">
                  <c:v>259.9235225821947</c:v>
                </c:pt>
                <c:pt idx="79">
                  <c:v>254.82658084205235</c:v>
                </c:pt>
                <c:pt idx="80">
                  <c:v>249.82958702060668</c:v>
                </c:pt>
                <c:pt idx="81">
                  <c:v>244.9305812001343</c:v>
                </c:pt>
                <c:pt idx="82">
                  <c:v>240.12764189570288</c:v>
                </c:pt>
                <c:pt idx="83">
                  <c:v>235.41888530152764</c:v>
                </c:pt>
                <c:pt idx="84">
                  <c:v>230.80246455210624</c:v>
                </c:pt>
                <c:pt idx="85">
                  <c:v>226.2765689978424</c:v>
                </c:pt>
                <c:pt idx="86">
                  <c:v>221.83942349487393</c:v>
                </c:pt>
                <c:pt idx="87">
                  <c:v>217.48928770882716</c:v>
                </c:pt>
                <c:pt idx="88">
                  <c:v>213.22445543222395</c:v>
                </c:pt>
                <c:pt idx="89">
                  <c:v>209.04325391527408</c:v>
                </c:pt>
                <c:pt idx="90">
                  <c:v>204.9440432097905</c:v>
                </c:pt>
                <c:pt idx="91">
                  <c:v>200.92521552596978</c:v>
                </c:pt>
                <c:pt idx="92">
                  <c:v>196.98519460178593</c:v>
                </c:pt>
                <c:pt idx="93">
                  <c:v>193.12243508474987</c:v>
                </c:pt>
                <c:pt idx="94">
                  <c:v>189.33542192579222</c:v>
                </c:pt>
                <c:pt idx="95">
                  <c:v>185.62266978503177</c:v>
                </c:pt>
                <c:pt idx="96">
                  <c:v>181.98272244919644</c:v>
                </c:pt>
                <c:pt idx="97">
                  <c:v>178.4141522604682</c:v>
                </c:pt>
                <c:pt idx="98">
                  <c:v>174.91555955652802</c:v>
                </c:pt>
                <c:pt idx="99">
                  <c:v>171.48557212158127</c:v>
                </c:pt>
                <c:pt idx="100">
                  <c:v>168.12284464814806</c:v>
                </c:pt>
              </c:numCache>
            </c:numRef>
          </c:val>
          <c:smooth val="0"/>
        </c:ser>
        <c:ser>
          <c:idx val="1"/>
          <c:order val="1"/>
          <c:tx>
            <c:strRef>
              <c:f>'upper bound Kenaga'!$A$28:$A$28</c:f>
              <c:strCache>
                <c:ptCount val="1"/>
                <c:pt idx="0">
                  <c:v>Tall Grass </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'upper bound Kenaga'!$Q$21:$Q$126</c:f>
              <c:numCache>
                <c:ptCount val="101"/>
                <c:pt idx="0">
                  <c:v>137.5</c:v>
                </c:pt>
                <c:pt idx="1">
                  <c:v>134.80370886671884</c:v>
                </c:pt>
                <c:pt idx="2">
                  <c:v>132.16029035798613</c:v>
                </c:pt>
                <c:pt idx="3">
                  <c:v>129.56870767388358</c:v>
                </c:pt>
                <c:pt idx="4">
                  <c:v>127.02794434550692</c:v>
                </c:pt>
                <c:pt idx="5">
                  <c:v>124.53700383628713</c:v>
                </c:pt>
                <c:pt idx="6">
                  <c:v>122.09490915112944</c:v>
                </c:pt>
                <c:pt idx="7">
                  <c:v>119.70070245321702</c:v>
                </c:pt>
                <c:pt idx="8">
                  <c:v>117.35344468832876</c:v>
                </c:pt>
                <c:pt idx="9">
                  <c:v>115.0522152165241</c:v>
                </c:pt>
                <c:pt idx="10">
                  <c:v>112.79611145105015</c:v>
                </c:pt>
                <c:pt idx="11">
                  <c:v>110.58424850432972</c:v>
                </c:pt>
                <c:pt idx="12">
                  <c:v>108.4157588408913</c:v>
                </c:pt>
                <c:pt idx="13">
                  <c:v>106.28979193710481</c:v>
                </c:pt>
                <c:pt idx="14">
                  <c:v>241.7055139475898</c:v>
                </c:pt>
                <c:pt idx="15">
                  <c:v>236.96581624488397</c:v>
                </c:pt>
                <c:pt idx="16">
                  <c:v>232.31906112319808</c:v>
                </c:pt>
                <c:pt idx="17">
                  <c:v>227.7634260352077</c:v>
                </c:pt>
                <c:pt idx="18">
                  <c:v>223.29712417262974</c:v>
                </c:pt>
                <c:pt idx="19">
                  <c:v>218.9184037654018</c:v>
                </c:pt>
                <c:pt idx="20">
                  <c:v>214.62554739460387</c:v>
                </c:pt>
                <c:pt idx="21">
                  <c:v>210.41687131885345</c:v>
                </c:pt>
                <c:pt idx="22">
                  <c:v>206.29072481390955</c:v>
                </c:pt>
                <c:pt idx="23">
                  <c:v>202.24548952522673</c:v>
                </c:pt>
                <c:pt idx="24">
                  <c:v>198.2795788332051</c:v>
                </c:pt>
                <c:pt idx="25">
                  <c:v>194.39143723088736</c:v>
                </c:pt>
                <c:pt idx="26">
                  <c:v>190.57953971385885</c:v>
                </c:pt>
                <c:pt idx="27">
                  <c:v>186.84239118211136</c:v>
                </c:pt>
                <c:pt idx="28">
                  <c:v>320.6785258536359</c:v>
                </c:pt>
                <c:pt idx="29">
                  <c:v>314.3902155562335</c:v>
                </c:pt>
                <c:pt idx="30">
                  <c:v>308.2252151882726</c:v>
                </c:pt>
                <c:pt idx="31">
                  <c:v>302.1811067172485</c:v>
                </c:pt>
                <c:pt idx="32">
                  <c:v>296.25551952679905</c:v>
                </c:pt>
                <c:pt idx="33">
                  <c:v>290.446129486903</c:v>
                </c:pt>
                <c:pt idx="34">
                  <c:v>284.7506580423112</c:v>
                </c:pt>
                <c:pt idx="35">
                  <c:v>279.16687131885334</c:v>
                </c:pt>
                <c:pt idx="36">
                  <c:v>273.6925792472689</c:v>
                </c:pt>
                <c:pt idx="37">
                  <c:v>268.32563470421974</c:v>
                </c:pt>
                <c:pt idx="38">
                  <c:v>263.0639326701468</c:v>
                </c:pt>
                <c:pt idx="39">
                  <c:v>257.9054094036407</c:v>
                </c:pt>
                <c:pt idx="40">
                  <c:v>252.8480416320023</c:v>
                </c:pt>
                <c:pt idx="41">
                  <c:v>247.88984575767597</c:v>
                </c:pt>
                <c:pt idx="42">
                  <c:v>243.0288770802443</c:v>
                </c:pt>
                <c:pt idx="43">
                  <c:v>238.26322903367895</c:v>
                </c:pt>
                <c:pt idx="44">
                  <c:v>233.59103243854844</c:v>
                </c:pt>
                <c:pt idx="45">
                  <c:v>229.0104547688899</c:v>
                </c:pt>
                <c:pt idx="46">
                  <c:v>224.51969943345688</c:v>
                </c:pt>
                <c:pt idx="47">
                  <c:v>220.11700507106139</c:v>
                </c:pt>
                <c:pt idx="48">
                  <c:v>215.80064485973406</c:v>
                </c:pt>
                <c:pt idx="49">
                  <c:v>211.5689258394311</c:v>
                </c:pt>
                <c:pt idx="50">
                  <c:v>207.42018824802255</c:v>
                </c:pt>
                <c:pt idx="51">
                  <c:v>203.35280487030147</c:v>
                </c:pt>
                <c:pt idx="52">
                  <c:v>199.3651803997586</c:v>
                </c:pt>
                <c:pt idx="53">
                  <c:v>195.4557508128723</c:v>
                </c:pt>
                <c:pt idx="54">
                  <c:v>191.62298275566826</c:v>
                </c:pt>
                <c:pt idx="55">
                  <c:v>187.86537294230828</c:v>
                </c:pt>
                <c:pt idx="56">
                  <c:v>184.18144756547264</c:v>
                </c:pt>
                <c:pt idx="57">
                  <c:v>180.5697617183041</c:v>
                </c:pt>
                <c:pt idx="58">
                  <c:v>177.02889882768773</c:v>
                </c:pt>
                <c:pt idx="59">
                  <c:v>173.55747009864322</c:v>
                </c:pt>
                <c:pt idx="60">
                  <c:v>170.1541139696128</c:v>
                </c:pt>
                <c:pt idx="61">
                  <c:v>166.81749557843042</c:v>
                </c:pt>
                <c:pt idx="62">
                  <c:v>163.54630623876287</c:v>
                </c:pt>
                <c:pt idx="63">
                  <c:v>160.3392629268177</c:v>
                </c:pt>
                <c:pt idx="64">
                  <c:v>157.1951077781165</c:v>
                </c:pt>
                <c:pt idx="65">
                  <c:v>154.11260759413605</c:v>
                </c:pt>
                <c:pt idx="66">
                  <c:v>151.090553358624</c:v>
                </c:pt>
                <c:pt idx="67">
                  <c:v>148.12775976339927</c:v>
                </c:pt>
                <c:pt idx="68">
                  <c:v>145.22306474345123</c:v>
                </c:pt>
                <c:pt idx="69">
                  <c:v>142.37532902115535</c:v>
                </c:pt>
                <c:pt idx="70">
                  <c:v>139.5834356594264</c:v>
                </c:pt>
                <c:pt idx="71">
                  <c:v>136.8462896236342</c:v>
                </c:pt>
                <c:pt idx="72">
                  <c:v>134.1628173521096</c:v>
                </c:pt>
                <c:pt idx="73">
                  <c:v>131.53196633507318</c:v>
                </c:pt>
                <c:pt idx="74">
                  <c:v>128.95270470182015</c:v>
                </c:pt>
                <c:pt idx="75">
                  <c:v>126.42402081600095</c:v>
                </c:pt>
                <c:pt idx="76">
                  <c:v>123.94492287883779</c:v>
                </c:pt>
                <c:pt idx="77">
                  <c:v>121.51443854012196</c:v>
                </c:pt>
                <c:pt idx="78">
                  <c:v>119.13161451683928</c:v>
                </c:pt>
                <c:pt idx="79">
                  <c:v>116.79551621927403</c:v>
                </c:pt>
                <c:pt idx="80">
                  <c:v>114.50522738444478</c:v>
                </c:pt>
                <c:pt idx="81">
                  <c:v>112.25984971672827</c:v>
                </c:pt>
                <c:pt idx="82">
                  <c:v>110.05850253553054</c:v>
                </c:pt>
                <c:pt idx="83">
                  <c:v>107.90032242986689</c:v>
                </c:pt>
                <c:pt idx="84">
                  <c:v>105.78446291971542</c:v>
                </c:pt>
                <c:pt idx="85">
                  <c:v>103.71009412401115</c:v>
                </c:pt>
                <c:pt idx="86">
                  <c:v>101.6764024351506</c:v>
                </c:pt>
                <c:pt idx="87">
                  <c:v>99.68259019987917</c:v>
                </c:pt>
                <c:pt idx="88">
                  <c:v>97.72787540643603</c:v>
                </c:pt>
                <c:pt idx="89">
                  <c:v>95.811491377834</c:v>
                </c:pt>
                <c:pt idx="90">
                  <c:v>93.93268647115403</c:v>
                </c:pt>
                <c:pt idx="91">
                  <c:v>92.0907237827362</c:v>
                </c:pt>
                <c:pt idx="92">
                  <c:v>90.28488085915195</c:v>
                </c:pt>
                <c:pt idx="93">
                  <c:v>88.51444941384376</c:v>
                </c:pt>
                <c:pt idx="94">
                  <c:v>86.77873504932151</c:v>
                </c:pt>
                <c:pt idx="95">
                  <c:v>85.07705698480632</c:v>
                </c:pt>
                <c:pt idx="96">
                  <c:v>83.40874778921513</c:v>
                </c:pt>
                <c:pt idx="97">
                  <c:v>81.77315311938135</c:v>
                </c:pt>
                <c:pt idx="98">
                  <c:v>80.16963146340876</c:v>
                </c:pt>
                <c:pt idx="99">
                  <c:v>78.59755388905818</c:v>
                </c:pt>
                <c:pt idx="100">
                  <c:v>77.05630379706795</c:v>
                </c:pt>
              </c:numCache>
            </c:numRef>
          </c:val>
          <c:smooth val="0"/>
        </c:ser>
        <c:ser>
          <c:idx val="2"/>
          <c:order val="2"/>
          <c:tx>
            <c:strRef>
              <c:f>'upper bound Kenaga'!$A$29:$A$29</c:f>
              <c:strCache>
                <c:ptCount val="1"/>
                <c:pt idx="0">
                  <c:v>Broadleaf plants/sm Insects</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'upper bound Kenaga'!$R$21:$R$126</c:f>
              <c:numCache>
                <c:ptCount val="101"/>
                <c:pt idx="0">
                  <c:v>168.75</c:v>
                </c:pt>
                <c:pt idx="1">
                  <c:v>165.44091542733676</c:v>
                </c:pt>
                <c:pt idx="2">
                  <c:v>162.19671998480115</c:v>
                </c:pt>
                <c:pt idx="3">
                  <c:v>159.01614123612984</c:v>
                </c:pt>
                <c:pt idx="4">
                  <c:v>155.8979316967585</c:v>
                </c:pt>
                <c:pt idx="5">
                  <c:v>152.8408683445342</c:v>
                </c:pt>
                <c:pt idx="6">
                  <c:v>149.84375214002247</c:v>
                </c:pt>
                <c:pt idx="7">
                  <c:v>146.90540755622087</c:v>
                </c:pt>
                <c:pt idx="8">
                  <c:v>144.02468211749436</c:v>
                </c:pt>
                <c:pt idx="9">
                  <c:v>141.20044594755228</c:v>
                </c:pt>
                <c:pt idx="10">
                  <c:v>138.43159132628878</c:v>
                </c:pt>
                <c:pt idx="11">
                  <c:v>135.7170322553137</c:v>
                </c:pt>
                <c:pt idx="12">
                  <c:v>133.05570403200292</c:v>
                </c:pt>
                <c:pt idx="13">
                  <c:v>130.44656283190133</c:v>
                </c:pt>
                <c:pt idx="14">
                  <c:v>296.63858529931474</c:v>
                </c:pt>
                <c:pt idx="15">
                  <c:v>290.8216835732667</c:v>
                </c:pt>
                <c:pt idx="16">
                  <c:v>285.1188477421067</c:v>
                </c:pt>
                <c:pt idx="17">
                  <c:v>279.5278410432094</c:v>
                </c:pt>
                <c:pt idx="18">
                  <c:v>274.0464705755001</c:v>
                </c:pt>
                <c:pt idx="19">
                  <c:v>268.67258643935673</c:v>
                </c:pt>
                <c:pt idx="20">
                  <c:v>263.40408089337745</c:v>
                </c:pt>
                <c:pt idx="21">
                  <c:v>258.23888752768374</c:v>
                </c:pt>
                <c:pt idx="22">
                  <c:v>253.17498045343442</c:v>
                </c:pt>
                <c:pt idx="23">
                  <c:v>248.21037350823278</c:v>
                </c:pt>
                <c:pt idx="24">
                  <c:v>243.34311947711532</c:v>
                </c:pt>
                <c:pt idx="25">
                  <c:v>238.57130932881626</c:v>
                </c:pt>
                <c:pt idx="26">
                  <c:v>233.89307146700853</c:v>
                </c:pt>
                <c:pt idx="27">
                  <c:v>229.30657099622752</c:v>
                </c:pt>
                <c:pt idx="28">
                  <c:v>393.5600090021895</c:v>
                </c:pt>
                <c:pt idx="29">
                  <c:v>385.8425372735593</c:v>
                </c:pt>
                <c:pt idx="30">
                  <c:v>378.27640045833454</c:v>
                </c:pt>
                <c:pt idx="31">
                  <c:v>370.85863097116857</c:v>
                </c:pt>
                <c:pt idx="32">
                  <c:v>363.5863194192533</c:v>
                </c:pt>
                <c:pt idx="33">
                  <c:v>356.456613461199</c:v>
                </c:pt>
                <c:pt idx="34">
                  <c:v>349.466716688291</c:v>
                </c:pt>
                <c:pt idx="35">
                  <c:v>342.61388752768363</c:v>
                </c:pt>
                <c:pt idx="36">
                  <c:v>335.89543816710267</c:v>
                </c:pt>
                <c:pt idx="37">
                  <c:v>329.30873350063325</c:v>
                </c:pt>
                <c:pt idx="38">
                  <c:v>322.85119009518013</c:v>
                </c:pt>
                <c:pt idx="39">
                  <c:v>316.5202751771954</c:v>
                </c:pt>
                <c:pt idx="40">
                  <c:v>310.31350563927555</c:v>
                </c:pt>
                <c:pt idx="41">
                  <c:v>304.2284470662387</c:v>
                </c:pt>
                <c:pt idx="42">
                  <c:v>298.2627127802998</c:v>
                </c:pt>
                <c:pt idx="43">
                  <c:v>292.4139629049696</c:v>
                </c:pt>
                <c:pt idx="44">
                  <c:v>286.6799034473094</c:v>
                </c:pt>
                <c:pt idx="45">
                  <c:v>281.05828539818305</c:v>
                </c:pt>
                <c:pt idx="46">
                  <c:v>275.5469038501516</c:v>
                </c:pt>
                <c:pt idx="47">
                  <c:v>270.14359713266623</c:v>
                </c:pt>
                <c:pt idx="48">
                  <c:v>264.84624596421907</c:v>
                </c:pt>
                <c:pt idx="49">
                  <c:v>259.65277262112</c:v>
                </c:pt>
                <c:pt idx="50">
                  <c:v>254.56114012257314</c:v>
                </c:pt>
                <c:pt idx="51">
                  <c:v>249.56935143173362</c:v>
                </c:pt>
                <c:pt idx="52">
                  <c:v>244.675448672431</c:v>
                </c:pt>
                <c:pt idx="53">
                  <c:v>239.87751236125237</c:v>
                </c:pt>
                <c:pt idx="54">
                  <c:v>235.17366065468374</c:v>
                </c:pt>
                <c:pt idx="55">
                  <c:v>230.5620486110147</c:v>
                </c:pt>
                <c:pt idx="56">
                  <c:v>226.04086746671638</c:v>
                </c:pt>
                <c:pt idx="57">
                  <c:v>221.60834392700957</c:v>
                </c:pt>
                <c:pt idx="58">
                  <c:v>217.262739470344</c:v>
                </c:pt>
                <c:pt idx="59">
                  <c:v>213.00234966651664</c:v>
                </c:pt>
                <c:pt idx="60">
                  <c:v>208.82550350816115</c:v>
                </c:pt>
                <c:pt idx="61">
                  <c:v>204.7305627553464</c:v>
                </c:pt>
                <c:pt idx="62">
                  <c:v>200.71592129302712</c:v>
                </c:pt>
                <c:pt idx="63">
                  <c:v>196.78000450109442</c:v>
                </c:pt>
                <c:pt idx="64">
                  <c:v>192.92126863677933</c:v>
                </c:pt>
                <c:pt idx="65">
                  <c:v>189.13820022916698</c:v>
                </c:pt>
                <c:pt idx="66">
                  <c:v>185.42931548558403</c:v>
                </c:pt>
                <c:pt idx="67">
                  <c:v>181.7931597096264</c:v>
                </c:pt>
                <c:pt idx="68">
                  <c:v>178.22830673059926</c:v>
                </c:pt>
                <c:pt idx="69">
                  <c:v>174.73335834414524</c:v>
                </c:pt>
                <c:pt idx="70">
                  <c:v>171.30694376384156</c:v>
                </c:pt>
                <c:pt idx="71">
                  <c:v>167.9477190835511</c:v>
                </c:pt>
                <c:pt idx="72">
                  <c:v>164.6543667503164</c:v>
                </c:pt>
                <c:pt idx="73">
                  <c:v>161.42559504758984</c:v>
                </c:pt>
                <c:pt idx="74">
                  <c:v>158.26013758859747</c:v>
                </c:pt>
                <c:pt idx="75">
                  <c:v>155.15675281963755</c:v>
                </c:pt>
                <c:pt idx="76">
                  <c:v>152.11422353311912</c:v>
                </c:pt>
                <c:pt idx="77">
                  <c:v>149.13135639014968</c:v>
                </c:pt>
                <c:pt idx="78">
                  <c:v>146.20698145248457</c:v>
                </c:pt>
                <c:pt idx="79">
                  <c:v>143.33995172365448</c:v>
                </c:pt>
                <c:pt idx="80">
                  <c:v>140.5291426990913</c:v>
                </c:pt>
                <c:pt idx="81">
                  <c:v>137.77345192507556</c:v>
                </c:pt>
                <c:pt idx="82">
                  <c:v>135.0717985663329</c:v>
                </c:pt>
                <c:pt idx="83">
                  <c:v>132.4231229821093</c:v>
                </c:pt>
                <c:pt idx="84">
                  <c:v>129.82638631055977</c:v>
                </c:pt>
                <c:pt idx="85">
                  <c:v>127.28057006128634</c:v>
                </c:pt>
                <c:pt idx="86">
                  <c:v>124.78467571586658</c:v>
                </c:pt>
                <c:pt idx="87">
                  <c:v>122.33772433621527</c:v>
                </c:pt>
                <c:pt idx="88">
                  <c:v>119.93875618062596</c:v>
                </c:pt>
                <c:pt idx="89">
                  <c:v>117.58683032734166</c:v>
                </c:pt>
                <c:pt idx="90">
                  <c:v>115.28102430550715</c:v>
                </c:pt>
                <c:pt idx="91">
                  <c:v>113.020433733358</c:v>
                </c:pt>
                <c:pt idx="92">
                  <c:v>110.8041719635046</c:v>
                </c:pt>
                <c:pt idx="93">
                  <c:v>108.63136973517182</c:v>
                </c:pt>
                <c:pt idx="94">
                  <c:v>106.50117483325815</c:v>
                </c:pt>
                <c:pt idx="95">
                  <c:v>104.4127517540804</c:v>
                </c:pt>
                <c:pt idx="96">
                  <c:v>102.36528137767304</c:v>
                </c:pt>
                <c:pt idx="97">
                  <c:v>100.3579606465134</c:v>
                </c:pt>
                <c:pt idx="98">
                  <c:v>98.39000225054706</c:v>
                </c:pt>
                <c:pt idx="99">
                  <c:v>96.46063431838951</c:v>
                </c:pt>
                <c:pt idx="100">
                  <c:v>94.56910011458334</c:v>
                </c:pt>
              </c:numCache>
            </c:numRef>
          </c:val>
          <c:smooth val="0"/>
        </c:ser>
        <c:ser>
          <c:idx val="3"/>
          <c:order val="3"/>
          <c:tx>
            <c:strRef>
              <c:f>'upper bound Kenaga'!$A$30:$A$30</c:f>
              <c:strCache>
                <c:ptCount val="1"/>
                <c:pt idx="0">
                  <c:v>Fruits/pods/seeds/lg insects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'upper bound Kenaga'!$M$21:$M$126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'upper bound Kenaga'!$S$21:$S$126</c:f>
              <c:numCache>
                <c:ptCount val="101"/>
                <c:pt idx="0">
                  <c:v>18.75</c:v>
                </c:pt>
                <c:pt idx="1">
                  <c:v>18.382323936370753</c:v>
                </c:pt>
                <c:pt idx="2">
                  <c:v>18.02185777608902</c:v>
                </c:pt>
                <c:pt idx="3">
                  <c:v>17.668460137347765</c:v>
                </c:pt>
                <c:pt idx="4">
                  <c:v>17.321992410750948</c:v>
                </c:pt>
                <c:pt idx="5">
                  <c:v>16.98231870494825</c:v>
                </c:pt>
                <c:pt idx="6">
                  <c:v>16.649305793335838</c:v>
                </c:pt>
                <c:pt idx="7">
                  <c:v>16.322823061802325</c:v>
                </c:pt>
                <c:pt idx="8">
                  <c:v>16.00274245749938</c:v>
                </c:pt>
                <c:pt idx="9">
                  <c:v>15.688938438616926</c:v>
                </c:pt>
                <c:pt idx="10">
                  <c:v>15.381287925143205</c:v>
                </c:pt>
                <c:pt idx="11">
                  <c:v>15.07967025059042</c:v>
                </c:pt>
                <c:pt idx="12">
                  <c:v>14.783967114666998</c:v>
                </c:pt>
                <c:pt idx="13">
                  <c:v>14.49406253687793</c:v>
                </c:pt>
                <c:pt idx="14">
                  <c:v>32.959842811034974</c:v>
                </c:pt>
                <c:pt idx="15">
                  <c:v>32.313520397029635</c:v>
                </c:pt>
                <c:pt idx="16">
                  <c:v>31.679871971345193</c:v>
                </c:pt>
                <c:pt idx="17">
                  <c:v>31.058649004801048</c:v>
                </c:pt>
                <c:pt idx="18">
                  <c:v>30.449607841722237</c:v>
                </c:pt>
                <c:pt idx="19">
                  <c:v>29.852509604372973</c:v>
                </c:pt>
                <c:pt idx="20">
                  <c:v>29.267120099264165</c:v>
                </c:pt>
                <c:pt idx="21">
                  <c:v>28.693209725298196</c:v>
                </c:pt>
                <c:pt idx="22">
                  <c:v>28.130553383714936</c:v>
                </c:pt>
                <c:pt idx="23">
                  <c:v>27.578930389803645</c:v>
                </c:pt>
                <c:pt idx="24">
                  <c:v>27.038124386346148</c:v>
                </c:pt>
                <c:pt idx="25">
                  <c:v>26.507923258757362</c:v>
                </c:pt>
                <c:pt idx="26">
                  <c:v>25.988119051889836</c:v>
                </c:pt>
                <c:pt idx="27">
                  <c:v>25.47850788846972</c:v>
                </c:pt>
                <c:pt idx="28">
                  <c:v>43.72888988913216</c:v>
                </c:pt>
                <c:pt idx="29">
                  <c:v>42.871393030395474</c:v>
                </c:pt>
                <c:pt idx="30">
                  <c:v>42.03071116203717</c:v>
                </c:pt>
                <c:pt idx="31">
                  <c:v>41.20651455235207</c:v>
                </c:pt>
                <c:pt idx="32">
                  <c:v>40.398479935472594</c:v>
                </c:pt>
                <c:pt idx="33">
                  <c:v>39.606290384577676</c:v>
                </c:pt>
                <c:pt idx="34">
                  <c:v>38.82963518758789</c:v>
                </c:pt>
                <c:pt idx="35">
                  <c:v>38.06820972529818</c:v>
                </c:pt>
                <c:pt idx="36">
                  <c:v>37.3217153519003</c:v>
                </c:pt>
                <c:pt idx="37">
                  <c:v>36.58985927784814</c:v>
                </c:pt>
                <c:pt idx="38">
                  <c:v>35.872354455020016</c:v>
                </c:pt>
                <c:pt idx="39">
                  <c:v>35.16891946413282</c:v>
                </c:pt>
                <c:pt idx="40">
                  <c:v>34.479278404363946</c:v>
                </c:pt>
                <c:pt idx="41">
                  <c:v>33.80316078513763</c:v>
                </c:pt>
                <c:pt idx="42">
                  <c:v>33.14030142003331</c:v>
                </c:pt>
                <c:pt idx="43">
                  <c:v>32.4904403227744</c:v>
                </c:pt>
                <c:pt idx="44">
                  <c:v>31.8533226052566</c:v>
                </c:pt>
                <c:pt idx="45">
                  <c:v>31.228698377575892</c:v>
                </c:pt>
                <c:pt idx="46">
                  <c:v>30.61632265001684</c:v>
                </c:pt>
                <c:pt idx="47">
                  <c:v>30.01595523696291</c:v>
                </c:pt>
                <c:pt idx="48">
                  <c:v>29.427360662691004</c:v>
                </c:pt>
                <c:pt idx="49">
                  <c:v>28.85030806901333</c:v>
                </c:pt>
                <c:pt idx="50">
                  <c:v>28.284571124730345</c:v>
                </c:pt>
                <c:pt idx="51">
                  <c:v>27.729927936859287</c:v>
                </c:pt>
                <c:pt idx="52">
                  <c:v>27.18616096360344</c:v>
                </c:pt>
                <c:pt idx="53">
                  <c:v>26.653056929028036</c:v>
                </c:pt>
                <c:pt idx="54">
                  <c:v>26.130406739409302</c:v>
                </c:pt>
                <c:pt idx="55">
                  <c:v>25.618005401223854</c:v>
                </c:pt>
                <c:pt idx="56">
                  <c:v>25.115651940746265</c:v>
                </c:pt>
                <c:pt idx="57">
                  <c:v>24.623149325223284</c:v>
                </c:pt>
                <c:pt idx="58">
                  <c:v>24.140304385593776</c:v>
                </c:pt>
                <c:pt idx="59">
                  <c:v>23.66692774072407</c:v>
                </c:pt>
                <c:pt idx="60">
                  <c:v>23.202833723129014</c:v>
                </c:pt>
                <c:pt idx="61">
                  <c:v>22.747840306149598</c:v>
                </c:pt>
                <c:pt idx="62">
                  <c:v>22.301769032558568</c:v>
                </c:pt>
                <c:pt idx="63">
                  <c:v>21.864444944566046</c:v>
                </c:pt>
                <c:pt idx="64">
                  <c:v>21.4356965151977</c:v>
                </c:pt>
                <c:pt idx="65">
                  <c:v>21.01535558101855</c:v>
                </c:pt>
                <c:pt idx="66">
                  <c:v>20.603257276176</c:v>
                </c:pt>
                <c:pt idx="67">
                  <c:v>20.19923996773626</c:v>
                </c:pt>
                <c:pt idx="68">
                  <c:v>19.803145192288802</c:v>
                </c:pt>
                <c:pt idx="69">
                  <c:v>19.414817593793913</c:v>
                </c:pt>
                <c:pt idx="70">
                  <c:v>19.03410486264906</c:v>
                </c:pt>
                <c:pt idx="71">
                  <c:v>18.66085767595012</c:v>
                </c:pt>
                <c:pt idx="72">
                  <c:v>18.29492963892404</c:v>
                </c:pt>
                <c:pt idx="73">
                  <c:v>17.936177227509976</c:v>
                </c:pt>
                <c:pt idx="74">
                  <c:v>17.58445973206638</c:v>
                </c:pt>
                <c:pt idx="75">
                  <c:v>17.239639202181944</c:v>
                </c:pt>
                <c:pt idx="76">
                  <c:v>16.901580392568786</c:v>
                </c:pt>
                <c:pt idx="77">
                  <c:v>16.570150710016627</c:v>
                </c:pt>
                <c:pt idx="78">
                  <c:v>16.24522016138717</c:v>
                </c:pt>
                <c:pt idx="79">
                  <c:v>15.926661302628272</c:v>
                </c:pt>
                <c:pt idx="80">
                  <c:v>15.614349188787918</c:v>
                </c:pt>
                <c:pt idx="81">
                  <c:v>15.308161325008394</c:v>
                </c:pt>
                <c:pt idx="82">
                  <c:v>15.00797761848143</c:v>
                </c:pt>
                <c:pt idx="83">
                  <c:v>14.713680331345477</c:v>
                </c:pt>
                <c:pt idx="84">
                  <c:v>14.42515403450664</c:v>
                </c:pt>
                <c:pt idx="85">
                  <c:v>14.14228556236515</c:v>
                </c:pt>
                <c:pt idx="86">
                  <c:v>13.86496396842962</c:v>
                </c:pt>
                <c:pt idx="87">
                  <c:v>13.593080481801698</c:v>
                </c:pt>
                <c:pt idx="88">
                  <c:v>13.326528464513997</c:v>
                </c:pt>
                <c:pt idx="89">
                  <c:v>13.06520336970463</c:v>
                </c:pt>
                <c:pt idx="90">
                  <c:v>12.809002700611906</c:v>
                </c:pt>
                <c:pt idx="91">
                  <c:v>12.557825970373111</c:v>
                </c:pt>
                <c:pt idx="92">
                  <c:v>12.311574662611621</c:v>
                </c:pt>
                <c:pt idx="93">
                  <c:v>12.070152192796867</c:v>
                </c:pt>
                <c:pt idx="94">
                  <c:v>11.833463870362014</c:v>
                </c:pt>
                <c:pt idx="95">
                  <c:v>11.601416861564486</c:v>
                </c:pt>
                <c:pt idx="96">
                  <c:v>11.373920153074778</c:v>
                </c:pt>
                <c:pt idx="97">
                  <c:v>11.150884516279262</c:v>
                </c:pt>
                <c:pt idx="98">
                  <c:v>10.932222472283001</c:v>
                </c:pt>
                <c:pt idx="99">
                  <c:v>10.71784825759883</c:v>
                </c:pt>
                <c:pt idx="100">
                  <c:v>10.507677790509254</c:v>
                </c:pt>
              </c:numCache>
            </c:numRef>
          </c:val>
          <c:smooth val="0"/>
        </c:ser>
        <c:ser>
          <c:idx val="4"/>
          <c:order val="4"/>
          <c:tx>
            <c:v>Chronic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numRef>
              <c:f>'upper bound Kenaga'!$M$21:$M$126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Graphs!$AQ$4:$AQ$103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5"/>
          <c:order val="5"/>
          <c:tx>
            <c:v>15 g Mammal Acute LOC</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Graphs!$AH$4:$AH$103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6"/>
          <c:order val="6"/>
          <c:tx>
            <c:v>35 g Mammal Acute LOC</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Kenaga'!$M$21:$M$126</c:f>
              <c:numCach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Graphs!$AI$4:$AI$103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7"/>
          <c:order val="7"/>
          <c:tx>
            <c:v>1000 g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6"/>
            <c:spPr>
              <a:solidFill>
                <a:srgbClr val="FF0000"/>
              </a:solidFill>
              <a:ln>
                <a:solidFill>
                  <a:srgbClr val="FF0000"/>
                </a:solidFill>
              </a:ln>
            </c:spPr>
          </c:marker>
          <c:val>
            <c:numRef>
              <c:f>Graphs!$AJ$4:$AJ$103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8"/>
          <c:order val="8"/>
          <c:tx>
            <c:v>15 g Endangered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FF0000"/>
                </a:solidFill>
              </a:ln>
            </c:spPr>
          </c:marker>
          <c:val>
            <c:numRef>
              <c:f>Graphs!$AN$4:$AN$103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9"/>
          <c:order val="9"/>
          <c:tx>
            <c:v>35 g Endangered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FF0000"/>
                </a:solidFill>
              </a:ln>
            </c:spPr>
          </c:marker>
          <c:val>
            <c:numRef>
              <c:f>Graphs!$AO$4:$AO$103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ser>
          <c:idx val="10"/>
          <c:order val="10"/>
          <c:tx>
            <c:v>1000 g Endangered Mammal Acute LOC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FF0000"/>
                </a:solidFill>
              </a:ln>
            </c:spPr>
          </c:marker>
          <c:val>
            <c:numRef>
              <c:f>Graphs!$AP$4:$AP$103</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39347871"/>
        <c:axId val="18586520"/>
      </c:lineChart>
      <c:catAx>
        <c:axId val="39347871"/>
        <c:scaling>
          <c:orientation val="minMax"/>
        </c:scaling>
        <c:axPos val="b"/>
        <c:title>
          <c:tx>
            <c:rich>
              <a:bodyPr vert="horz" rot="0" anchor="ctr"/>
              <a:lstStyle/>
              <a:p>
                <a:pPr algn="ctr">
                  <a:defRPr/>
                </a:pPr>
                <a:r>
                  <a:rPr lang="en-US" cap="none" sz="1000" b="0" i="0" u="none" baseline="0">
                    <a:latin typeface="Arial"/>
                    <a:ea typeface="Arial"/>
                    <a:cs typeface="Arial"/>
                  </a:rPr>
                  <a:t>Days</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18586520"/>
        <c:crosses val="autoZero"/>
        <c:auto val="1"/>
        <c:lblOffset val="100"/>
        <c:tickLblSkip val="4"/>
        <c:tickMarkSkip val="5"/>
        <c:noMultiLvlLbl val="0"/>
      </c:catAx>
      <c:valAx>
        <c:axId val="18586520"/>
        <c:scaling>
          <c:orientation val="minMax"/>
        </c:scaling>
        <c:axPos val="l"/>
        <c:title>
          <c:tx>
            <c:rich>
              <a:bodyPr vert="horz" rot="-5400000" anchor="ctr"/>
              <a:lstStyle/>
              <a:p>
                <a:pPr algn="ctr">
                  <a:defRPr/>
                </a:pPr>
                <a:r>
                  <a:rPr lang="en-US" cap="none" sz="1000" b="0" i="0" u="none" baseline="0">
                    <a:latin typeface="Arial"/>
                    <a:ea typeface="Arial"/>
                    <a:cs typeface="Arial"/>
                  </a:rPr>
                  <a:t>Concentration (mg ai/kg dietary item)</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39347871"/>
        <c:crossesAt val="1"/>
        <c:crossBetween val="midCat"/>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txPr>
    <a:bodyPr vert="horz" rot="0"/>
    <a:lstStyle/>
    <a:p>
      <a:pPr>
        <a:defRPr lang="en-US" cap="none" sz="1000" b="0" i="0" u="sng"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0.7675</cdr:x>
      <cdr:y>0</cdr:y>
    </cdr:from>
    <cdr:to>
      <cdr:x>0.965</cdr:x>
      <cdr:y>0.041</cdr:y>
    </cdr:to>
    <cdr:sp>
      <cdr:nvSpPr>
        <cdr:cNvPr id="1" name="TextBox 1"/>
        <cdr:cNvSpPr txBox="1">
          <a:spLocks noChangeArrowheads="1"/>
        </cdr:cNvSpPr>
      </cdr:nvSpPr>
      <cdr:spPr>
        <a:xfrm>
          <a:off x="6953250" y="0"/>
          <a:ext cx="1790700" cy="238125"/>
        </a:xfrm>
        <a:prstGeom prst="rect">
          <a:avLst/>
        </a:prstGeom>
        <a:noFill/>
        <a:ln w="9525" cmpd="sng">
          <a:noFill/>
        </a:ln>
      </cdr:spPr>
      <cdr:txBody>
        <a:bodyPr vertOverflow="clip" wrap="square"/>
        <a:p>
          <a:pPr algn="l">
            <a:defRPr/>
          </a:pPr>
          <a:r>
            <a:rPr lang="en-US" cap="none" sz="950" b="0" i="0" u="sng" baseline="0">
              <a:latin typeface="Arial"/>
              <a:ea typeface="Arial"/>
              <a:cs typeface="Arial"/>
            </a:rPr>
            <a:t>For Risk Discussion Purposes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185</xdr:row>
      <xdr:rowOff>0</xdr:rowOff>
    </xdr:from>
    <xdr:to>
      <xdr:col>7</xdr:col>
      <xdr:colOff>314325</xdr:colOff>
      <xdr:row>220</xdr:row>
      <xdr:rowOff>142875</xdr:rowOff>
    </xdr:to>
    <xdr:graphicFrame>
      <xdr:nvGraphicFramePr>
        <xdr:cNvPr id="1" name="Chart 1"/>
        <xdr:cNvGraphicFramePr/>
      </xdr:nvGraphicFramePr>
      <xdr:xfrm>
        <a:off x="485775" y="30518100"/>
        <a:ext cx="9067800" cy="5810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134</xdr:row>
      <xdr:rowOff>0</xdr:rowOff>
    </xdr:from>
    <xdr:to>
      <xdr:col>6</xdr:col>
      <xdr:colOff>847725</xdr:colOff>
      <xdr:row>169</xdr:row>
      <xdr:rowOff>142875</xdr:rowOff>
    </xdr:to>
    <xdr:graphicFrame>
      <xdr:nvGraphicFramePr>
        <xdr:cNvPr id="1" name="Chart 1"/>
        <xdr:cNvGraphicFramePr/>
      </xdr:nvGraphicFramePr>
      <xdr:xfrm>
        <a:off x="47625" y="24269700"/>
        <a:ext cx="9086850" cy="5810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4</xdr:col>
      <xdr:colOff>0</xdr:colOff>
      <xdr:row>8</xdr:row>
      <xdr:rowOff>57150</xdr:rowOff>
    </xdr:to>
    <xdr:sp>
      <xdr:nvSpPr>
        <xdr:cNvPr id="1" name="TextBox 1"/>
        <xdr:cNvSpPr txBox="1">
          <a:spLocks noChangeArrowheads="1"/>
        </xdr:cNvSpPr>
      </xdr:nvSpPr>
      <xdr:spPr>
        <a:xfrm>
          <a:off x="104775" y="142875"/>
          <a:ext cx="8953500" cy="120967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analysis below calculates the number of granules needed to be consumed by a bird and mammal to achieve a dose that would exceed the adjusted LD50 and trigger the endangered species LOC of 0.1 and the acute LOC of 0.5.  There are three inputs (blue cells): (1) weight of assessed animal  (2) weight of a single granule; and (3) percent a.i. in the formulation.  Weight of assessed bird and mammal is typically 20 grams (0.02 kg) and 15 grams (0.015 kg), respectively, but any weight may be entered.   In addition, the minimum foraging area with sufficient number of granules to achieve a dose that exceedes the adjusted LD50, 1/2 the adjusted LD50, or 1/10th the adjusted LD50 is estimated by assuming that a bird consumes 100%, 50%, and 10% of the available granules.  This analysis may be used to characterize the LD50/square foot calculation presented in the "LD50 ft-2" worksheet.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20</xdr:col>
      <xdr:colOff>9525</xdr:colOff>
      <xdr:row>50</xdr:row>
      <xdr:rowOff>85725</xdr:rowOff>
    </xdr:to>
    <xdr:graphicFrame>
      <xdr:nvGraphicFramePr>
        <xdr:cNvPr id="1" name="Chart 2"/>
        <xdr:cNvGraphicFramePr/>
      </xdr:nvGraphicFramePr>
      <xdr:xfrm>
        <a:off x="28575" y="28575"/>
        <a:ext cx="12172950" cy="818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0</xdr:rowOff>
    </xdr:from>
    <xdr:to>
      <xdr:col>19</xdr:col>
      <xdr:colOff>600075</xdr:colOff>
      <xdr:row>102</xdr:row>
      <xdr:rowOff>28575</xdr:rowOff>
    </xdr:to>
    <xdr:graphicFrame>
      <xdr:nvGraphicFramePr>
        <xdr:cNvPr id="2" name="Chart 3"/>
        <xdr:cNvGraphicFramePr/>
      </xdr:nvGraphicFramePr>
      <xdr:xfrm>
        <a:off x="0" y="8286750"/>
        <a:ext cx="12182475" cy="828675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103</xdr:row>
      <xdr:rowOff>19050</xdr:rowOff>
    </xdr:from>
    <xdr:to>
      <xdr:col>20</xdr:col>
      <xdr:colOff>0</xdr:colOff>
      <xdr:row>154</xdr:row>
      <xdr:rowOff>28575</xdr:rowOff>
    </xdr:to>
    <xdr:graphicFrame>
      <xdr:nvGraphicFramePr>
        <xdr:cNvPr id="3" name="Chart 4"/>
        <xdr:cNvGraphicFramePr/>
      </xdr:nvGraphicFramePr>
      <xdr:xfrm>
        <a:off x="38100" y="16725900"/>
        <a:ext cx="12153900" cy="82677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85725</xdr:rowOff>
    </xdr:from>
    <xdr:to>
      <xdr:col>18</xdr:col>
      <xdr:colOff>428625</xdr:colOff>
      <xdr:row>5</xdr:row>
      <xdr:rowOff>152400</xdr:rowOff>
    </xdr:to>
    <xdr:sp>
      <xdr:nvSpPr>
        <xdr:cNvPr id="1" name="TextBox 2"/>
        <xdr:cNvSpPr txBox="1">
          <a:spLocks noChangeArrowheads="1"/>
        </xdr:cNvSpPr>
      </xdr:nvSpPr>
      <xdr:spPr>
        <a:xfrm>
          <a:off x="533400" y="85725"/>
          <a:ext cx="8401050" cy="8763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This worksheet is designed so that the individual tables may be easily cut and pasted directly into Microsoft Word documents with minimal formatting changes.  This sheet is password protected; however, formatting changes (e.g. changing significant digits) are allowed.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estdata.ncsu.edu/cropprofiles/cplist.cfm?org=crop" TargetMode="External" /><Relationship Id="rId2" Type="http://schemas.openxmlformats.org/officeDocument/2006/relationships/hyperlink" Target="http://pestdata.ncsu.edu/cropprofiles/cplist.cfm?org=crop" TargetMode="External" /><Relationship Id="rId3" Type="http://schemas.openxmlformats.org/officeDocument/2006/relationships/hyperlink" Target="http://pestdata.ncsu.edu/cropprofiles/cplist.cfm?org=crop" TargetMode="External" /><Relationship Id="rId4" Type="http://schemas.openxmlformats.org/officeDocument/2006/relationships/hyperlink" Target="http://www.ext.nodak.edu/extpubs/plantsci/rowcrops/a1133-1.htm#Planting" TargetMode="External" /><Relationship Id="rId5" Type="http://schemas.openxmlformats.org/officeDocument/2006/relationships/hyperlink" Target="http://pestdata.ncsu.edu/cropprofiles/docs/mncanola.html" TargetMode="External" /><Relationship Id="rId6" Type="http://schemas.openxmlformats.org/officeDocument/2006/relationships/hyperlink" Target="http://www.hort.purdue.edu/newcrop/afcm/lupine.html" TargetMode="External" /><Relationship Id="rId7" Type="http://schemas.openxmlformats.org/officeDocument/2006/relationships/hyperlink" Target="http://www.hort.purdue.edu/newcrop/afcm/lupine.html" TargetMode="External" /><Relationship Id="rId8" Type="http://schemas.openxmlformats.org/officeDocument/2006/relationships/hyperlink" Target="http://www.nsrl.uiuc.edu/aboutsoy/production02.html" TargetMode="External" /><Relationship Id="rId9" Type="http://schemas.openxmlformats.org/officeDocument/2006/relationships/hyperlink" Target="http://www.nsrl.uiuc.edu/aboutsoy/production02.html" TargetMode="External" /><Relationship Id="rId10" Type="http://schemas.openxmlformats.org/officeDocument/2006/relationships/hyperlink" Target="http://www.agecon.ucdavis.edu/outreach/crop/Archives/SugarBeets.pdf" TargetMode="External" /><Relationship Id="rId11" Type="http://schemas.openxmlformats.org/officeDocument/2006/relationships/hyperlink" Target="http://www.ext.nodak.edu/extpubs/plantsci/rowcrops/a1133-1.htm#Planting" TargetMode="External" /><Relationship Id="rId12" Type="http://schemas.openxmlformats.org/officeDocument/2006/relationships/hyperlink" Target="http://pestdata.ncsu.edu/cropprofiles/docs/mncanola.html" TargetMode="External" /><Relationship Id="rId13" Type="http://schemas.openxmlformats.org/officeDocument/2006/relationships/hyperlink" Target="http://pestdata.ncsu.edu/cropprofiles/docs/mncanola.html" TargetMode="External" /><Relationship Id="rId14" Type="http://schemas.openxmlformats.org/officeDocument/2006/relationships/hyperlink" Target="http://pestdata.ncsu.edu/cropprofiles/docs/mncanola.html" TargetMode="External" /><Relationship Id="rId15" Type="http://schemas.openxmlformats.org/officeDocument/2006/relationships/hyperlink" Target="http://pestdata.ncsu.edu/cropprofiles/docs/mncanola.html" TargetMode="External" /><Relationship Id="rId16" Type="http://schemas.openxmlformats.org/officeDocument/2006/relationships/hyperlink" Target="http://pestdata.ncsu.edu/cropprofiles/docs/mncanola.html" TargetMode="External" /><Relationship Id="rId17" Type="http://schemas.openxmlformats.org/officeDocument/2006/relationships/hyperlink" Target="http://pestdata.ncsu.edu/cropprofiles/docs/mncanola.html" TargetMode="External" /><Relationship Id="rId18" Type="http://schemas.openxmlformats.org/officeDocument/2006/relationships/hyperlink" Target="http://pestdata.ncsu.edu/cropprofiles/docs/mncanola.html" TargetMode="External" /><Relationship Id="rId19" Type="http://schemas.openxmlformats.org/officeDocument/2006/relationships/hyperlink" Target="http://pestdata.ncsu.edu/cropprofiles/docs/mncanola.html" TargetMode="External" /><Relationship Id="rId20" Type="http://schemas.openxmlformats.org/officeDocument/2006/relationships/hyperlink" Target="http://pestdata.ncsu.edu/cropprofiles/docs/mncanola.html" TargetMode="External" /><Relationship Id="rId21" Type="http://schemas.openxmlformats.org/officeDocument/2006/relationships/hyperlink" Target="http://pestdata.ncsu.edu/cropprofiles/docs/mncanola.html" TargetMode="External" /><Relationship Id="rId22" Type="http://schemas.openxmlformats.org/officeDocument/2006/relationships/hyperlink" Target="http://pestdata.ncsu.edu/cropprofiles/docs/mncanola.html" TargetMode="External" /><Relationship Id="rId23" Type="http://schemas.openxmlformats.org/officeDocument/2006/relationships/hyperlink" Target="http://pestdata.ncsu.edu/cropprofiles/docs/mncanola.html" TargetMode="External" /><Relationship Id="rId24" Type="http://schemas.openxmlformats.org/officeDocument/2006/relationships/hyperlink" Target="http://pestdata.ncsu.edu/cropprofiles/docs/mncanola.html" TargetMode="External" /><Relationship Id="rId25" Type="http://schemas.openxmlformats.org/officeDocument/2006/relationships/hyperlink" Target="http://pestdata.ncsu.edu/cropprofiles/docs/mncanola.html" TargetMode="External" /><Relationship Id="rId26" Type="http://schemas.openxmlformats.org/officeDocument/2006/relationships/comments" Target="../comments8.xml" /><Relationship Id="rId27" Type="http://schemas.openxmlformats.org/officeDocument/2006/relationships/vmlDrawing" Target="../drawings/vmlDrawing5.vml" /><Relationship Id="rId2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2">
    <tabColor indexed="41"/>
  </sheetPr>
  <dimension ref="A1:W166"/>
  <sheetViews>
    <sheetView showGridLines="0" tabSelected="1" zoomScale="86" zoomScaleNormal="86" workbookViewId="0" topLeftCell="A19">
      <selection activeCell="C22" sqref="C22"/>
    </sheetView>
  </sheetViews>
  <sheetFormatPr defaultColWidth="9.140625" defaultRowHeight="12.75"/>
  <cols>
    <col min="1" max="1" width="16.28125" style="0" customWidth="1"/>
    <col min="2" max="2" width="7.7109375" style="0" customWidth="1"/>
    <col min="3" max="3" width="7.8515625" style="0" customWidth="1"/>
    <col min="4" max="11" width="8.421875" style="0" customWidth="1"/>
    <col min="12" max="12" width="10.140625" style="0" customWidth="1"/>
    <col min="13" max="255" width="8.421875" style="0" customWidth="1"/>
  </cols>
  <sheetData>
    <row r="1" spans="2:11" ht="18">
      <c r="B1" s="35"/>
      <c r="C1" s="36"/>
      <c r="D1" s="822" t="s">
        <v>491</v>
      </c>
      <c r="E1" s="815"/>
      <c r="F1" s="815"/>
      <c r="G1" s="815"/>
      <c r="H1" s="815"/>
      <c r="I1" s="815"/>
      <c r="J1" s="36"/>
      <c r="K1" s="37"/>
    </row>
    <row r="2" spans="2:11" ht="13.5" thickBot="1">
      <c r="B2" s="38"/>
      <c r="C2" s="39"/>
      <c r="D2" s="820">
        <v>39730</v>
      </c>
      <c r="E2" s="821"/>
      <c r="F2" s="821"/>
      <c r="G2" s="821"/>
      <c r="H2" s="821"/>
      <c r="I2" s="821"/>
      <c r="J2" s="39"/>
      <c r="K2" s="40"/>
    </row>
    <row r="4" ht="12.75">
      <c r="B4" t="s">
        <v>232</v>
      </c>
    </row>
    <row r="5" ht="12.75">
      <c r="B5" t="s">
        <v>282</v>
      </c>
    </row>
    <row r="6" ht="12.75">
      <c r="B6" t="s">
        <v>418</v>
      </c>
    </row>
    <row r="8" spans="2:8" ht="12.75">
      <c r="B8" s="132" t="s">
        <v>305</v>
      </c>
      <c r="C8" s="133"/>
      <c r="D8" s="133"/>
      <c r="E8" s="133"/>
      <c r="F8" s="133"/>
      <c r="G8" s="133"/>
      <c r="H8" s="134"/>
    </row>
    <row r="9" spans="2:8" ht="12.75">
      <c r="B9" s="135" t="s">
        <v>233</v>
      </c>
      <c r="C9" s="42"/>
      <c r="D9" s="42"/>
      <c r="E9" s="42"/>
      <c r="F9" s="42"/>
      <c r="G9" s="42"/>
      <c r="H9" s="136"/>
    </row>
    <row r="10" spans="2:8" ht="12.75">
      <c r="B10" s="135" t="s">
        <v>234</v>
      </c>
      <c r="C10" s="42"/>
      <c r="D10" s="42"/>
      <c r="E10" s="42"/>
      <c r="F10" s="42"/>
      <c r="G10" s="42"/>
      <c r="H10" s="136"/>
    </row>
    <row r="11" spans="2:8" ht="12.75">
      <c r="B11" s="137" t="s">
        <v>235</v>
      </c>
      <c r="C11" s="138"/>
      <c r="D11" s="138"/>
      <c r="E11" s="138"/>
      <c r="F11" s="138"/>
      <c r="G11" s="138"/>
      <c r="H11" s="139"/>
    </row>
    <row r="12" ht="12.75">
      <c r="B12" s="131"/>
    </row>
    <row r="14" ht="12.75">
      <c r="B14" s="25" t="s">
        <v>67</v>
      </c>
    </row>
    <row r="15" spans="1:2" ht="25.5">
      <c r="A15" s="303" t="s">
        <v>425</v>
      </c>
      <c r="B15" s="130" t="s">
        <v>360</v>
      </c>
    </row>
    <row r="16" spans="2:3" ht="12.75">
      <c r="B16" s="130"/>
      <c r="C16" t="s">
        <v>500</v>
      </c>
    </row>
    <row r="17" spans="2:3" ht="12.75">
      <c r="B17" s="130"/>
      <c r="C17" t="s">
        <v>359</v>
      </c>
    </row>
    <row r="18" ht="12.75">
      <c r="B18" s="130" t="s">
        <v>261</v>
      </c>
    </row>
    <row r="19" ht="12.75">
      <c r="B19" s="130" t="s">
        <v>304</v>
      </c>
    </row>
    <row r="20" ht="12.75">
      <c r="B20" s="130" t="s">
        <v>501</v>
      </c>
    </row>
    <row r="21" ht="12.75">
      <c r="B21" s="130" t="s">
        <v>262</v>
      </c>
    </row>
    <row r="22" ht="12.75">
      <c r="B22" s="130" t="s">
        <v>263</v>
      </c>
    </row>
    <row r="23" ht="12.75">
      <c r="B23" s="130" t="s">
        <v>264</v>
      </c>
    </row>
    <row r="24" ht="12.75">
      <c r="B24" s="130" t="s">
        <v>265</v>
      </c>
    </row>
    <row r="25" spans="1:2" ht="12.75">
      <c r="A25" s="303" t="s">
        <v>424</v>
      </c>
      <c r="B25" s="130" t="s">
        <v>357</v>
      </c>
    </row>
    <row r="26" ht="12.75">
      <c r="C26" t="s">
        <v>358</v>
      </c>
    </row>
    <row r="27" spans="1:23" ht="38.25">
      <c r="A27" s="302" t="s">
        <v>423</v>
      </c>
      <c r="B27" s="89" t="s">
        <v>426</v>
      </c>
      <c r="C27" s="89"/>
      <c r="D27" s="89"/>
      <c r="E27" s="89"/>
      <c r="F27" s="89"/>
      <c r="G27" s="89"/>
      <c r="H27" s="89"/>
      <c r="I27" s="89"/>
      <c r="J27" s="89"/>
      <c r="K27" s="89"/>
      <c r="L27" s="89"/>
      <c r="M27" s="89"/>
      <c r="N27" s="89"/>
      <c r="O27" s="89"/>
      <c r="P27" s="89"/>
      <c r="Q27" s="89"/>
      <c r="R27" s="89"/>
      <c r="S27" s="89"/>
      <c r="T27" s="89"/>
      <c r="U27" s="89"/>
      <c r="V27" s="89"/>
      <c r="W27" s="89"/>
    </row>
    <row r="28" spans="1:23" ht="12.75">
      <c r="A28" s="89"/>
      <c r="B28" s="89" t="s">
        <v>383</v>
      </c>
      <c r="C28" s="89"/>
      <c r="D28" s="89"/>
      <c r="E28" s="89"/>
      <c r="F28" s="89"/>
      <c r="G28" s="89"/>
      <c r="H28" s="89"/>
      <c r="I28" s="89"/>
      <c r="J28" s="89"/>
      <c r="K28" s="89"/>
      <c r="L28" s="89"/>
      <c r="M28" s="89"/>
      <c r="N28" s="89"/>
      <c r="O28" s="89"/>
      <c r="P28" s="89"/>
      <c r="Q28" s="89"/>
      <c r="R28" s="89"/>
      <c r="S28" s="89"/>
      <c r="T28" s="89"/>
      <c r="U28" s="89"/>
      <c r="V28" s="89"/>
      <c r="W28" s="89"/>
    </row>
    <row r="29" spans="1:23" ht="12.75">
      <c r="A29" s="89"/>
      <c r="B29" s="89" t="s">
        <v>427</v>
      </c>
      <c r="C29" s="89"/>
      <c r="D29" s="89"/>
      <c r="E29" s="89"/>
      <c r="F29" s="89"/>
      <c r="G29" s="89"/>
      <c r="H29" s="89"/>
      <c r="I29" s="89"/>
      <c r="J29" s="89"/>
      <c r="K29" s="89"/>
      <c r="L29" s="89"/>
      <c r="M29" s="89"/>
      <c r="N29" s="89"/>
      <c r="O29" s="89"/>
      <c r="P29" s="89"/>
      <c r="Q29" s="89"/>
      <c r="R29" s="89"/>
      <c r="S29" s="89"/>
      <c r="T29" s="89"/>
      <c r="U29" s="89"/>
      <c r="V29" s="89"/>
      <c r="W29" s="89"/>
    </row>
    <row r="30" spans="1:23" ht="12.75">
      <c r="A30" s="89"/>
      <c r="B30" s="89"/>
      <c r="C30" s="89" t="s">
        <v>384</v>
      </c>
      <c r="D30" s="89"/>
      <c r="E30" s="89"/>
      <c r="F30" s="89"/>
      <c r="G30" s="89"/>
      <c r="H30" s="89"/>
      <c r="I30" s="89"/>
      <c r="J30" s="89"/>
      <c r="K30" s="89"/>
      <c r="L30" s="89"/>
      <c r="M30" s="89"/>
      <c r="N30" s="89"/>
      <c r="O30" s="89"/>
      <c r="P30" s="89"/>
      <c r="Q30" s="89"/>
      <c r="R30" s="89"/>
      <c r="S30" s="89"/>
      <c r="T30" s="89"/>
      <c r="U30" s="89"/>
      <c r="V30" s="89"/>
      <c r="W30" s="89"/>
    </row>
    <row r="31" spans="1:23" ht="40.5" customHeight="1">
      <c r="A31" s="89"/>
      <c r="B31" s="818" t="s">
        <v>422</v>
      </c>
      <c r="C31" s="814"/>
      <c r="D31" s="814"/>
      <c r="E31" s="814"/>
      <c r="F31" s="814"/>
      <c r="G31" s="814"/>
      <c r="H31" s="814"/>
      <c r="I31" s="814"/>
      <c r="J31" s="814"/>
      <c r="K31" s="814"/>
      <c r="L31" s="814"/>
      <c r="M31" s="814"/>
      <c r="N31" s="814"/>
      <c r="O31" s="814"/>
      <c r="P31" s="814"/>
      <c r="Q31" s="814"/>
      <c r="R31" s="814"/>
      <c r="S31" s="814"/>
      <c r="T31" s="814"/>
      <c r="U31" s="814"/>
      <c r="V31" s="814"/>
      <c r="W31" s="89"/>
    </row>
    <row r="32" spans="1:23" ht="24" customHeight="1">
      <c r="A32" s="308" t="s">
        <v>444</v>
      </c>
      <c r="B32" s="818" t="s">
        <v>445</v>
      </c>
      <c r="C32" s="819"/>
      <c r="D32" s="819"/>
      <c r="E32" s="819"/>
      <c r="F32" s="819"/>
      <c r="G32" s="819"/>
      <c r="H32" s="819"/>
      <c r="I32" s="819"/>
      <c r="J32" s="819"/>
      <c r="K32" s="819"/>
      <c r="L32" s="819"/>
      <c r="M32" s="819"/>
      <c r="N32" s="819"/>
      <c r="O32" s="819"/>
      <c r="P32" s="819"/>
      <c r="Q32" s="819"/>
      <c r="R32" s="819"/>
      <c r="S32" s="819"/>
      <c r="T32" s="819"/>
      <c r="U32" s="819"/>
      <c r="V32" s="304"/>
      <c r="W32" s="89"/>
    </row>
    <row r="33" spans="1:23" ht="48.75" customHeight="1">
      <c r="A33" s="816" t="s">
        <v>499</v>
      </c>
      <c r="B33" s="818" t="s">
        <v>502</v>
      </c>
      <c r="C33" s="819"/>
      <c r="D33" s="819"/>
      <c r="E33" s="819"/>
      <c r="F33" s="819"/>
      <c r="G33" s="819"/>
      <c r="H33" s="819"/>
      <c r="I33" s="819"/>
      <c r="J33" s="819"/>
      <c r="K33" s="819"/>
      <c r="L33" s="819"/>
      <c r="M33" s="819"/>
      <c r="N33" s="819"/>
      <c r="O33" s="819"/>
      <c r="P33" s="819"/>
      <c r="Q33" s="819"/>
      <c r="R33" s="819"/>
      <c r="S33" s="819"/>
      <c r="T33" s="819"/>
      <c r="U33" s="819"/>
      <c r="V33" s="304"/>
      <c r="W33" s="89"/>
    </row>
    <row r="34" spans="1:23" ht="51" customHeight="1">
      <c r="A34" s="817"/>
      <c r="B34" s="819"/>
      <c r="C34" s="819"/>
      <c r="D34" s="819"/>
      <c r="E34" s="819"/>
      <c r="F34" s="819"/>
      <c r="G34" s="819"/>
      <c r="H34" s="819"/>
      <c r="I34" s="819"/>
      <c r="J34" s="819"/>
      <c r="K34" s="819"/>
      <c r="L34" s="819"/>
      <c r="M34" s="819"/>
      <c r="N34" s="819"/>
      <c r="O34" s="819"/>
      <c r="P34" s="819"/>
      <c r="Q34" s="819"/>
      <c r="R34" s="819"/>
      <c r="S34" s="819"/>
      <c r="T34" s="819"/>
      <c r="U34" s="819"/>
      <c r="V34" s="304"/>
      <c r="W34" s="89"/>
    </row>
    <row r="35" ht="30.75" customHeight="1">
      <c r="B35" s="25" t="s">
        <v>236</v>
      </c>
    </row>
    <row r="36" ht="12.75">
      <c r="B36" s="202" t="s">
        <v>361</v>
      </c>
    </row>
    <row r="37" ht="12.75">
      <c r="B37" t="s">
        <v>503</v>
      </c>
    </row>
    <row r="40" ht="12.75">
      <c r="B40" s="25" t="s">
        <v>89</v>
      </c>
    </row>
    <row r="41" ht="12.75">
      <c r="B41" s="25"/>
    </row>
    <row r="42" ht="12.75">
      <c r="B42" s="130" t="s">
        <v>250</v>
      </c>
    </row>
    <row r="43" ht="12.75">
      <c r="C43" t="s">
        <v>249</v>
      </c>
    </row>
    <row r="44" ht="12.75">
      <c r="B44" t="s">
        <v>91</v>
      </c>
    </row>
    <row r="45" ht="12.75">
      <c r="C45" t="s">
        <v>92</v>
      </c>
    </row>
    <row r="46" ht="12.75">
      <c r="C46" t="s">
        <v>93</v>
      </c>
    </row>
    <row r="47" ht="12.75">
      <c r="B47" t="s">
        <v>283</v>
      </c>
    </row>
    <row r="48" ht="12.75">
      <c r="C48" t="s">
        <v>94</v>
      </c>
    </row>
    <row r="49" ht="12.75">
      <c r="C49" t="s">
        <v>95</v>
      </c>
    </row>
    <row r="50" ht="12.75">
      <c r="C50" t="s">
        <v>96</v>
      </c>
    </row>
    <row r="51" ht="12.75">
      <c r="B51" t="s">
        <v>245</v>
      </c>
    </row>
    <row r="52" ht="12.75">
      <c r="C52" t="s">
        <v>242</v>
      </c>
    </row>
    <row r="53" ht="12.75">
      <c r="B53" t="s">
        <v>277</v>
      </c>
    </row>
    <row r="54" ht="12.75">
      <c r="C54" t="s">
        <v>278</v>
      </c>
    </row>
    <row r="55" ht="12.75">
      <c r="B55" t="s">
        <v>253</v>
      </c>
    </row>
    <row r="56" ht="12.75">
      <c r="C56" t="s">
        <v>90</v>
      </c>
    </row>
    <row r="57" ht="12.75">
      <c r="B57" t="s">
        <v>252</v>
      </c>
    </row>
    <row r="58" ht="12.75">
      <c r="C58" t="s">
        <v>251</v>
      </c>
    </row>
    <row r="59" ht="12.75">
      <c r="B59" t="s">
        <v>118</v>
      </c>
    </row>
    <row r="89" spans="2:5" ht="12.75">
      <c r="B89" s="2"/>
      <c r="C89" s="2"/>
      <c r="D89" s="2"/>
      <c r="E89" s="2"/>
    </row>
    <row r="90" spans="2:5" ht="12.75">
      <c r="B90" s="2"/>
      <c r="C90" s="2"/>
      <c r="D90" s="2"/>
      <c r="E90" s="2"/>
    </row>
    <row r="91" spans="2:5" ht="12.75">
      <c r="B91" s="2"/>
      <c r="C91" s="2"/>
      <c r="D91" s="2"/>
      <c r="E91" s="2"/>
    </row>
    <row r="92" spans="2:5" ht="12.75">
      <c r="B92" s="2"/>
      <c r="C92" s="2"/>
      <c r="D92" s="2"/>
      <c r="E92" s="2"/>
    </row>
    <row r="99" ht="12.75">
      <c r="B99" s="25"/>
    </row>
    <row r="103" spans="2:10" ht="12.75">
      <c r="B103" s="42"/>
      <c r="C103" s="42"/>
      <c r="D103" s="42"/>
      <c r="E103" s="42"/>
      <c r="F103" s="42"/>
      <c r="G103" s="42"/>
      <c r="H103" s="42"/>
      <c r="I103" s="42"/>
      <c r="J103" s="42"/>
    </row>
    <row r="104" spans="2:10" ht="12.75">
      <c r="B104" s="42"/>
      <c r="C104" s="8"/>
      <c r="D104" s="41"/>
      <c r="E104" s="8"/>
      <c r="F104" s="42"/>
      <c r="G104" s="42"/>
      <c r="H104" s="42"/>
      <c r="I104" s="42"/>
      <c r="J104" s="42"/>
    </row>
    <row r="105" spans="2:10" ht="12.75">
      <c r="B105" s="42"/>
      <c r="C105" s="42"/>
      <c r="D105" s="42"/>
      <c r="E105" s="42"/>
      <c r="F105" s="42"/>
      <c r="G105" s="42"/>
      <c r="H105" s="42"/>
      <c r="I105" s="42"/>
      <c r="J105" s="42"/>
    </row>
    <row r="106" spans="2:10" ht="12.75">
      <c r="B106" s="42"/>
      <c r="C106" s="42"/>
      <c r="D106" s="42"/>
      <c r="E106" s="42"/>
      <c r="F106" s="42"/>
      <c r="G106" s="42"/>
      <c r="H106" s="42"/>
      <c r="I106" s="42"/>
      <c r="J106" s="42"/>
    </row>
    <row r="107" spans="2:10" ht="12.75">
      <c r="B107" s="42"/>
      <c r="C107" s="42"/>
      <c r="D107" s="42"/>
      <c r="E107" s="42"/>
      <c r="F107" s="42"/>
      <c r="G107" s="42"/>
      <c r="H107" s="42"/>
      <c r="I107" s="42"/>
      <c r="J107" s="42"/>
    </row>
    <row r="108" spans="2:10" ht="12.75">
      <c r="B108" s="42"/>
      <c r="C108" s="140"/>
      <c r="D108" s="140"/>
      <c r="E108" s="140"/>
      <c r="F108" s="141"/>
      <c r="G108" s="42"/>
      <c r="H108" s="42"/>
      <c r="I108" s="42"/>
      <c r="J108" s="42"/>
    </row>
    <row r="109" spans="2:10" ht="12.75">
      <c r="B109" s="42"/>
      <c r="C109" s="140"/>
      <c r="D109" s="142"/>
      <c r="E109" s="142"/>
      <c r="F109" s="143"/>
      <c r="G109" s="144"/>
      <c r="H109" s="42"/>
      <c r="I109" s="42"/>
      <c r="J109" s="42"/>
    </row>
    <row r="110" spans="2:10" ht="12.75">
      <c r="B110" s="42"/>
      <c r="C110" s="140"/>
      <c r="D110" s="142"/>
      <c r="E110" s="142"/>
      <c r="F110" s="143"/>
      <c r="G110" s="144"/>
      <c r="H110" s="42"/>
      <c r="I110" s="42"/>
      <c r="J110" s="42"/>
    </row>
    <row r="111" spans="2:10" ht="12.75">
      <c r="B111" s="42"/>
      <c r="C111" s="30"/>
      <c r="D111" s="142"/>
      <c r="E111" s="142"/>
      <c r="F111" s="143"/>
      <c r="G111" s="144"/>
      <c r="H111" s="42"/>
      <c r="I111" s="42"/>
      <c r="J111" s="42"/>
    </row>
    <row r="112" spans="2:10" ht="12.75">
      <c r="B112" s="42"/>
      <c r="C112" s="42"/>
      <c r="D112" s="42"/>
      <c r="E112" s="42"/>
      <c r="F112" s="42"/>
      <c r="G112" s="42"/>
      <c r="H112" s="42"/>
      <c r="I112" s="42"/>
      <c r="J112" s="42"/>
    </row>
    <row r="113" spans="2:10" ht="12.75">
      <c r="B113" s="42"/>
      <c r="C113" s="42"/>
      <c r="D113" s="42"/>
      <c r="E113" s="42"/>
      <c r="F113" s="42"/>
      <c r="G113" s="42"/>
      <c r="H113" s="42"/>
      <c r="I113" s="42"/>
      <c r="J113" s="42"/>
    </row>
    <row r="114" spans="2:10" ht="12.75">
      <c r="B114" s="42"/>
      <c r="C114" s="42"/>
      <c r="D114" s="42"/>
      <c r="E114" s="42"/>
      <c r="F114" s="42"/>
      <c r="G114" s="42"/>
      <c r="H114" s="42"/>
      <c r="I114" s="42"/>
      <c r="J114" s="42"/>
    </row>
    <row r="115" spans="2:10" ht="12.75">
      <c r="B115" s="42"/>
      <c r="C115" s="42"/>
      <c r="D115" s="42"/>
      <c r="E115" s="42"/>
      <c r="F115" s="42"/>
      <c r="G115" s="42"/>
      <c r="H115" s="42"/>
      <c r="I115" s="42"/>
      <c r="J115" s="42"/>
    </row>
    <row r="116" spans="2:10" ht="12.75">
      <c r="B116" s="42"/>
      <c r="C116" s="42"/>
      <c r="D116" s="42"/>
      <c r="E116" s="42"/>
      <c r="F116" s="42"/>
      <c r="G116" s="42"/>
      <c r="H116" s="42"/>
      <c r="I116" s="42"/>
      <c r="J116" s="42"/>
    </row>
    <row r="117" spans="2:10" ht="12.75">
      <c r="B117" s="42"/>
      <c r="C117" s="42"/>
      <c r="D117" s="42"/>
      <c r="E117" s="42"/>
      <c r="F117" s="42"/>
      <c r="G117" s="42"/>
      <c r="H117" s="42"/>
      <c r="I117" s="42"/>
      <c r="J117" s="42"/>
    </row>
    <row r="118" spans="2:10" ht="12.75">
      <c r="B118" s="42"/>
      <c r="C118" s="42"/>
      <c r="D118" s="42"/>
      <c r="E118" s="42"/>
      <c r="F118" s="42"/>
      <c r="G118" s="42"/>
      <c r="H118" s="42"/>
      <c r="I118" s="42"/>
      <c r="J118" s="42"/>
    </row>
    <row r="119" spans="2:10" ht="12.75">
      <c r="B119" s="42"/>
      <c r="C119" s="42"/>
      <c r="D119" s="42"/>
      <c r="E119" s="42"/>
      <c r="F119" s="42"/>
      <c r="G119" s="42"/>
      <c r="H119" s="42"/>
      <c r="I119" s="42"/>
      <c r="J119" s="42"/>
    </row>
    <row r="120" spans="2:10" ht="12.75">
      <c r="B120" s="42"/>
      <c r="C120" s="42"/>
      <c r="D120" s="42"/>
      <c r="E120" s="42"/>
      <c r="F120" s="42"/>
      <c r="G120" s="42"/>
      <c r="H120" s="42"/>
      <c r="I120" s="42"/>
      <c r="J120" s="42"/>
    </row>
    <row r="121" spans="2:10" ht="12.75">
      <c r="B121" s="42"/>
      <c r="C121" s="42"/>
      <c r="D121" s="42"/>
      <c r="E121" s="42"/>
      <c r="F121" s="42"/>
      <c r="G121" s="42"/>
      <c r="H121" s="42"/>
      <c r="I121" s="42"/>
      <c r="J121" s="42"/>
    </row>
    <row r="122" spans="2:10" ht="12.75">
      <c r="B122" s="42"/>
      <c r="C122" s="42"/>
      <c r="D122" s="42"/>
      <c r="E122" s="42"/>
      <c r="F122" s="42"/>
      <c r="G122" s="42"/>
      <c r="H122" s="42"/>
      <c r="I122" s="42"/>
      <c r="J122" s="42"/>
    </row>
    <row r="123" spans="2:10" ht="12.75">
      <c r="B123" s="42"/>
      <c r="C123" s="42"/>
      <c r="D123" s="42"/>
      <c r="E123" s="42"/>
      <c r="F123" s="42"/>
      <c r="G123" s="42"/>
      <c r="H123" s="42"/>
      <c r="I123" s="42"/>
      <c r="J123" s="42"/>
    </row>
    <row r="124" spans="2:10" ht="12.75">
      <c r="B124" s="42"/>
      <c r="C124" s="42"/>
      <c r="D124" s="42"/>
      <c r="E124" s="42"/>
      <c r="F124" s="42"/>
      <c r="G124" s="42"/>
      <c r="H124" s="42"/>
      <c r="I124" s="42"/>
      <c r="J124" s="42"/>
    </row>
    <row r="125" spans="2:10" ht="12.75">
      <c r="B125" s="42"/>
      <c r="C125" s="42"/>
      <c r="D125" s="42"/>
      <c r="E125" s="42"/>
      <c r="F125" s="42"/>
      <c r="G125" s="42"/>
      <c r="H125" s="42"/>
      <c r="I125" s="42"/>
      <c r="J125" s="42"/>
    </row>
    <row r="126" spans="2:10" ht="12.75">
      <c r="B126" s="42"/>
      <c r="C126" s="42"/>
      <c r="D126" s="42"/>
      <c r="E126" s="42"/>
      <c r="F126" s="42"/>
      <c r="G126" s="42"/>
      <c r="H126" s="42"/>
      <c r="I126" s="42"/>
      <c r="J126" s="42"/>
    </row>
    <row r="127" spans="2:10" ht="12.75">
      <c r="B127" s="42"/>
      <c r="C127" s="42"/>
      <c r="D127" s="42"/>
      <c r="E127" s="42"/>
      <c r="F127" s="42"/>
      <c r="G127" s="42"/>
      <c r="H127" s="42"/>
      <c r="I127" s="42"/>
      <c r="J127" s="42"/>
    </row>
    <row r="128" spans="2:10" ht="12.75">
      <c r="B128" s="42"/>
      <c r="C128" s="42"/>
      <c r="D128" s="42"/>
      <c r="E128" s="42"/>
      <c r="F128" s="42"/>
      <c r="G128" s="42"/>
      <c r="H128" s="42"/>
      <c r="I128" s="42"/>
      <c r="J128" s="42"/>
    </row>
    <row r="129" spans="2:10" ht="12.75">
      <c r="B129" s="42"/>
      <c r="C129" s="42"/>
      <c r="D129" s="42"/>
      <c r="E129" s="42"/>
      <c r="F129" s="42"/>
      <c r="G129" s="42"/>
      <c r="H129" s="42"/>
      <c r="I129" s="42"/>
      <c r="J129" s="42"/>
    </row>
    <row r="130" spans="2:10" ht="12.75">
      <c r="B130" s="42"/>
      <c r="C130" s="42"/>
      <c r="D130" s="42"/>
      <c r="E130" s="42"/>
      <c r="F130" s="42"/>
      <c r="G130" s="42"/>
      <c r="H130" s="42"/>
      <c r="I130" s="42"/>
      <c r="J130" s="42"/>
    </row>
    <row r="131" spans="2:10" ht="12.75">
      <c r="B131" s="145"/>
      <c r="C131" s="42"/>
      <c r="D131" s="42"/>
      <c r="E131" s="42"/>
      <c r="F131" s="42"/>
      <c r="G131" s="42"/>
      <c r="H131" s="42"/>
      <c r="I131" s="42"/>
      <c r="J131" s="42"/>
    </row>
    <row r="132" spans="2:10" ht="12.75">
      <c r="B132" s="42"/>
      <c r="C132" s="42"/>
      <c r="D132" s="42"/>
      <c r="E132" s="42"/>
      <c r="F132" s="42"/>
      <c r="G132" s="42"/>
      <c r="H132" s="42"/>
      <c r="I132" s="42"/>
      <c r="J132" s="42"/>
    </row>
    <row r="133" spans="2:10" ht="12.75">
      <c r="B133" s="42"/>
      <c r="C133" s="42"/>
      <c r="D133" s="42"/>
      <c r="E133" s="42"/>
      <c r="F133" s="42"/>
      <c r="G133" s="42"/>
      <c r="H133" s="42"/>
      <c r="I133" s="42"/>
      <c r="J133" s="42"/>
    </row>
    <row r="134" spans="2:10" ht="12.75">
      <c r="B134" s="42"/>
      <c r="C134" s="42"/>
      <c r="D134" s="42"/>
      <c r="E134" s="42"/>
      <c r="F134" s="42"/>
      <c r="G134" s="42"/>
      <c r="H134" s="42"/>
      <c r="I134" s="42"/>
      <c r="J134" s="42"/>
    </row>
    <row r="135" spans="2:10" ht="12.75">
      <c r="B135" s="42"/>
      <c r="C135" s="42"/>
      <c r="D135" s="42"/>
      <c r="E135" s="42"/>
      <c r="F135" s="42"/>
      <c r="G135" s="42"/>
      <c r="H135" s="42"/>
      <c r="I135" s="42"/>
      <c r="J135" s="42"/>
    </row>
    <row r="136" spans="2:10" ht="12.75">
      <c r="B136" s="42"/>
      <c r="C136" s="42"/>
      <c r="D136" s="42"/>
      <c r="E136" s="42"/>
      <c r="F136" s="42"/>
      <c r="G136" s="42"/>
      <c r="H136" s="42"/>
      <c r="I136" s="42"/>
      <c r="J136" s="42"/>
    </row>
    <row r="137" spans="2:10" ht="12.75">
      <c r="B137" s="42"/>
      <c r="C137" s="42"/>
      <c r="D137" s="42"/>
      <c r="E137" s="42"/>
      <c r="F137" s="42"/>
      <c r="G137" s="42"/>
      <c r="H137" s="42"/>
      <c r="I137" s="42"/>
      <c r="J137" s="42"/>
    </row>
    <row r="138" spans="2:10" ht="12.75">
      <c r="B138" s="42"/>
      <c r="C138" s="42"/>
      <c r="D138" s="42"/>
      <c r="E138" s="42"/>
      <c r="F138" s="42"/>
      <c r="G138" s="42"/>
      <c r="H138" s="42"/>
      <c r="I138" s="42"/>
      <c r="J138" s="42"/>
    </row>
    <row r="139" spans="2:10" ht="12.75">
      <c r="B139" s="145"/>
      <c r="C139" s="42"/>
      <c r="D139" s="42"/>
      <c r="E139" s="42"/>
      <c r="F139" s="42"/>
      <c r="G139" s="42"/>
      <c r="H139" s="42"/>
      <c r="I139" s="42"/>
      <c r="J139" s="42"/>
    </row>
    <row r="140" spans="2:10" ht="12.75">
      <c r="B140" s="42"/>
      <c r="C140" s="42"/>
      <c r="D140" s="42"/>
      <c r="E140" s="42"/>
      <c r="F140" s="42"/>
      <c r="G140" s="42"/>
      <c r="H140" s="42"/>
      <c r="I140" s="42"/>
      <c r="J140" s="42"/>
    </row>
    <row r="141" spans="2:10" ht="12.75">
      <c r="B141" s="42"/>
      <c r="C141" s="42"/>
      <c r="D141" s="42"/>
      <c r="E141" s="42"/>
      <c r="F141" s="42"/>
      <c r="G141" s="42"/>
      <c r="H141" s="42"/>
      <c r="I141" s="42"/>
      <c r="J141" s="42"/>
    </row>
    <row r="142" spans="2:10" ht="12.75">
      <c r="B142" s="42"/>
      <c r="C142" s="42"/>
      <c r="D142" s="42"/>
      <c r="E142" s="42"/>
      <c r="F142" s="42"/>
      <c r="G142" s="42"/>
      <c r="H142" s="42"/>
      <c r="I142" s="42"/>
      <c r="J142" s="42"/>
    </row>
    <row r="143" spans="2:10" ht="12.75">
      <c r="B143" s="145"/>
      <c r="C143" s="42"/>
      <c r="D143" s="42"/>
      <c r="E143" s="42"/>
      <c r="F143" s="42"/>
      <c r="G143" s="42"/>
      <c r="H143" s="42"/>
      <c r="I143" s="42"/>
      <c r="J143" s="42"/>
    </row>
    <row r="144" spans="2:10" ht="12.75">
      <c r="B144" s="145"/>
      <c r="C144" s="42"/>
      <c r="D144" s="42"/>
      <c r="E144" s="42"/>
      <c r="F144" s="42"/>
      <c r="G144" s="42"/>
      <c r="H144" s="42"/>
      <c r="I144" s="42"/>
      <c r="J144" s="42"/>
    </row>
    <row r="145" spans="2:10" ht="12.75">
      <c r="B145" s="42"/>
      <c r="C145" s="42"/>
      <c r="D145" s="42"/>
      <c r="E145" s="42"/>
      <c r="F145" s="42"/>
      <c r="G145" s="42"/>
      <c r="H145" s="42"/>
      <c r="I145" s="42"/>
      <c r="J145" s="42"/>
    </row>
    <row r="146" spans="2:10" ht="12.75">
      <c r="B146" s="42"/>
      <c r="C146" s="42"/>
      <c r="D146" s="42"/>
      <c r="E146" s="42"/>
      <c r="F146" s="42"/>
      <c r="G146" s="42"/>
      <c r="H146" s="42"/>
      <c r="I146" s="42"/>
      <c r="J146" s="42"/>
    </row>
    <row r="147" spans="2:10" ht="12.75">
      <c r="B147" s="42"/>
      <c r="C147" s="42"/>
      <c r="D147" s="42"/>
      <c r="E147" s="42"/>
      <c r="F147" s="42"/>
      <c r="G147" s="42"/>
      <c r="H147" s="42"/>
      <c r="I147" s="42"/>
      <c r="J147" s="42"/>
    </row>
    <row r="148" spans="2:10" ht="12.75">
      <c r="B148" s="42"/>
      <c r="C148" s="42"/>
      <c r="D148" s="42"/>
      <c r="E148" s="42"/>
      <c r="F148" s="42"/>
      <c r="G148" s="42"/>
      <c r="H148" s="42"/>
      <c r="I148" s="42"/>
      <c r="J148" s="42"/>
    </row>
    <row r="149" spans="2:10" ht="12.75">
      <c r="B149" s="42"/>
      <c r="C149" s="42"/>
      <c r="D149" s="42"/>
      <c r="E149" s="42"/>
      <c r="F149" s="42"/>
      <c r="G149" s="42"/>
      <c r="H149" s="42"/>
      <c r="I149" s="42"/>
      <c r="J149" s="42"/>
    </row>
    <row r="150" spans="2:10" ht="12.75">
      <c r="B150" s="42"/>
      <c r="C150" s="42"/>
      <c r="D150" s="42"/>
      <c r="E150" s="42"/>
      <c r="F150" s="42"/>
      <c r="G150" s="42"/>
      <c r="H150" s="42"/>
      <c r="I150" s="42"/>
      <c r="J150" s="42"/>
    </row>
    <row r="151" spans="2:10" ht="12.75">
      <c r="B151" s="42"/>
      <c r="C151" s="42"/>
      <c r="D151" s="42"/>
      <c r="E151" s="42"/>
      <c r="F151" s="42"/>
      <c r="G151" s="42"/>
      <c r="H151" s="42"/>
      <c r="I151" s="42"/>
      <c r="J151" s="42"/>
    </row>
    <row r="152" spans="2:10" ht="12.75">
      <c r="B152" s="42"/>
      <c r="C152" s="42"/>
      <c r="D152" s="42"/>
      <c r="E152" s="42"/>
      <c r="F152" s="42"/>
      <c r="G152" s="42"/>
      <c r="H152" s="42"/>
      <c r="I152" s="42"/>
      <c r="J152" s="42"/>
    </row>
    <row r="153" spans="2:10" ht="12.75">
      <c r="B153" s="42"/>
      <c r="C153" s="42"/>
      <c r="D153" s="42"/>
      <c r="E153" s="42"/>
      <c r="F153" s="42"/>
      <c r="G153" s="42"/>
      <c r="H153" s="42"/>
      <c r="I153" s="42"/>
      <c r="J153" s="42"/>
    </row>
    <row r="154" spans="2:10" ht="12.75">
      <c r="B154" s="145"/>
      <c r="C154" s="42"/>
      <c r="D154" s="42"/>
      <c r="E154" s="42"/>
      <c r="F154" s="42"/>
      <c r="G154" s="42"/>
      <c r="H154" s="42"/>
      <c r="I154" s="42"/>
      <c r="J154" s="42"/>
    </row>
    <row r="155" spans="2:10" ht="12.75">
      <c r="B155" s="42"/>
      <c r="C155" s="42"/>
      <c r="D155" s="42"/>
      <c r="E155" s="42"/>
      <c r="F155" s="42"/>
      <c r="G155" s="42"/>
      <c r="H155" s="42"/>
      <c r="I155" s="42"/>
      <c r="J155" s="42"/>
    </row>
    <row r="156" spans="2:10" ht="12.75">
      <c r="B156" s="42"/>
      <c r="C156" s="42"/>
      <c r="D156" s="42"/>
      <c r="E156" s="42"/>
      <c r="F156" s="42"/>
      <c r="G156" s="42"/>
      <c r="H156" s="42"/>
      <c r="I156" s="42"/>
      <c r="J156" s="42"/>
    </row>
    <row r="157" spans="2:10" ht="12.75">
      <c r="B157" s="42"/>
      <c r="C157" s="42"/>
      <c r="D157" s="42"/>
      <c r="E157" s="42"/>
      <c r="F157" s="42"/>
      <c r="G157" s="42"/>
      <c r="H157" s="42"/>
      <c r="I157" s="42"/>
      <c r="J157" s="42"/>
    </row>
    <row r="158" spans="2:10" ht="12.75">
      <c r="B158" s="42"/>
      <c r="C158" s="42"/>
      <c r="D158" s="42"/>
      <c r="E158" s="42"/>
      <c r="F158" s="42"/>
      <c r="G158" s="42"/>
      <c r="H158" s="42"/>
      <c r="I158" s="42"/>
      <c r="J158" s="42"/>
    </row>
    <row r="159" spans="2:10" ht="12.75">
      <c r="B159" s="42"/>
      <c r="C159" s="42"/>
      <c r="D159" s="42"/>
      <c r="E159" s="42"/>
      <c r="F159" s="42"/>
      <c r="G159" s="42"/>
      <c r="H159" s="42"/>
      <c r="I159" s="42"/>
      <c r="J159" s="42"/>
    </row>
    <row r="160" spans="2:10" ht="12.75">
      <c r="B160" s="42"/>
      <c r="C160" s="42"/>
      <c r="D160" s="42"/>
      <c r="E160" s="42"/>
      <c r="F160" s="42"/>
      <c r="G160" s="42"/>
      <c r="H160" s="42"/>
      <c r="I160" s="42"/>
      <c r="J160" s="42"/>
    </row>
    <row r="161" spans="2:10" ht="12.75">
      <c r="B161" s="42"/>
      <c r="C161" s="42"/>
      <c r="D161" s="42"/>
      <c r="E161" s="42"/>
      <c r="F161" s="42"/>
      <c r="G161" s="42"/>
      <c r="H161" s="42"/>
      <c r="I161" s="42"/>
      <c r="J161" s="42"/>
    </row>
    <row r="162" spans="2:13" ht="12.75">
      <c r="B162" s="67"/>
      <c r="C162" s="67"/>
      <c r="D162" s="67"/>
      <c r="E162" s="67"/>
      <c r="F162" s="67"/>
      <c r="G162" s="67"/>
      <c r="H162" s="67"/>
      <c r="I162" s="67"/>
      <c r="J162" s="67"/>
      <c r="K162" s="67"/>
      <c r="L162" s="67"/>
      <c r="M162" s="67"/>
    </row>
    <row r="163" spans="2:13" ht="12.75">
      <c r="B163" s="67"/>
      <c r="C163" s="67"/>
      <c r="D163" s="67"/>
      <c r="E163" s="67"/>
      <c r="F163" s="146"/>
      <c r="G163" s="67"/>
      <c r="H163" s="67"/>
      <c r="I163" s="67"/>
      <c r="J163" s="67"/>
      <c r="K163" s="67"/>
      <c r="L163" s="67"/>
      <c r="M163" s="67"/>
    </row>
    <row r="164" spans="2:13" ht="12.75">
      <c r="B164" s="67"/>
      <c r="C164" s="67"/>
      <c r="D164" s="67"/>
      <c r="E164" s="67"/>
      <c r="F164" s="67"/>
      <c r="G164" s="67"/>
      <c r="H164" s="67"/>
      <c r="I164" s="67"/>
      <c r="J164" s="67"/>
      <c r="K164" s="67"/>
      <c r="L164" s="67"/>
      <c r="M164" s="67"/>
    </row>
    <row r="165" spans="2:13" ht="12.75">
      <c r="B165" s="67"/>
      <c r="C165" s="67"/>
      <c r="D165" s="67"/>
      <c r="E165" s="67"/>
      <c r="F165" s="67"/>
      <c r="G165" s="67"/>
      <c r="H165" s="67"/>
      <c r="I165" s="67"/>
      <c r="J165" s="67"/>
      <c r="K165" s="67"/>
      <c r="L165" s="67"/>
      <c r="M165" s="67"/>
    </row>
    <row r="166" spans="2:13" ht="12.75">
      <c r="B166" s="67"/>
      <c r="C166" s="67"/>
      <c r="D166" s="67"/>
      <c r="E166" s="67"/>
      <c r="F166" s="67"/>
      <c r="G166" s="67"/>
      <c r="H166" s="67"/>
      <c r="I166" s="67"/>
      <c r="J166" s="67"/>
      <c r="K166" s="67"/>
      <c r="L166" s="67"/>
      <c r="M166" s="67"/>
    </row>
  </sheetData>
  <sheetProtection password="F115" sheet="1" objects="1" scenarios="1" formatCells="0" formatColumns="0" formatRows="0"/>
  <mergeCells count="6">
    <mergeCell ref="A33:A34"/>
    <mergeCell ref="B33:U34"/>
    <mergeCell ref="D2:I2"/>
    <mergeCell ref="D1:I1"/>
    <mergeCell ref="B31:V31"/>
    <mergeCell ref="B32:U32"/>
  </mergeCells>
  <printOptions/>
  <pageMargins left="0.18" right="0.18" top="0.39" bottom="0.47" header="0.19" footer="0.19"/>
  <pageSetup horizontalDpi="600" verticalDpi="600" orientation="landscape" scale="67" r:id="rId1"/>
  <headerFooter alignWithMargins="0">
    <oddHeader>&amp;C&amp;A</oddHeader>
  </headerFooter>
  <rowBreaks count="1" manualBreakCount="1">
    <brk id="39" max="22" man="1"/>
  </rowBreaks>
</worksheet>
</file>

<file path=xl/worksheets/sheet10.xml><?xml version="1.0" encoding="utf-8"?>
<worksheet xmlns="http://schemas.openxmlformats.org/spreadsheetml/2006/main" xmlns:r="http://schemas.openxmlformats.org/officeDocument/2006/relationships">
  <sheetPr codeName="Sheet5"/>
  <dimension ref="A1:H37"/>
  <sheetViews>
    <sheetView workbookViewId="0" topLeftCell="A1">
      <selection activeCell="H2" sqref="H2"/>
    </sheetView>
  </sheetViews>
  <sheetFormatPr defaultColWidth="9.140625" defaultRowHeight="12.75"/>
  <cols>
    <col min="1" max="1" width="47.28125" style="0" customWidth="1"/>
    <col min="2" max="2" width="62.57421875" style="0" customWidth="1"/>
    <col min="4" max="4" width="23.140625" style="0" customWidth="1"/>
  </cols>
  <sheetData>
    <row r="1" spans="1:8" ht="26.25">
      <c r="A1" s="774" t="s">
        <v>354</v>
      </c>
      <c r="B1" s="775"/>
      <c r="C1" s="521"/>
      <c r="D1" s="521"/>
      <c r="E1" s="521"/>
      <c r="F1" s="154"/>
      <c r="G1" s="44"/>
      <c r="H1" s="44"/>
    </row>
    <row r="2" spans="1:8" ht="13.5" thickBot="1">
      <c r="A2" s="776" t="s">
        <v>356</v>
      </c>
      <c r="B2" s="777"/>
      <c r="C2" s="60"/>
      <c r="D2" s="60"/>
      <c r="E2" s="60"/>
      <c r="F2" s="778"/>
      <c r="G2" s="44"/>
      <c r="H2" s="44"/>
    </row>
    <row r="3" spans="1:8" ht="18.75" thickBot="1">
      <c r="A3" s="779" t="s">
        <v>498</v>
      </c>
      <c r="B3" s="771"/>
      <c r="C3" s="60"/>
      <c r="D3" s="60"/>
      <c r="E3" s="60"/>
      <c r="F3" s="778"/>
      <c r="G3" s="44"/>
      <c r="H3" s="44"/>
    </row>
    <row r="4" spans="1:8" ht="18.75" thickBot="1">
      <c r="A4" s="779"/>
      <c r="B4" s="772">
        <f ca="1">NOW()</f>
        <v>39756.45175925926</v>
      </c>
      <c r="C4" s="60"/>
      <c r="D4" s="60"/>
      <c r="E4" s="60"/>
      <c r="F4" s="778"/>
      <c r="G4" s="44"/>
      <c r="H4" s="44"/>
    </row>
    <row r="5" spans="1:8" ht="18.75" thickBot="1">
      <c r="A5" s="779"/>
      <c r="B5" s="777"/>
      <c r="C5" s="60"/>
      <c r="D5" s="60"/>
      <c r="E5" s="60"/>
      <c r="F5" s="778"/>
      <c r="G5" s="44"/>
      <c r="H5" s="44"/>
    </row>
    <row r="6" spans="1:8" ht="166.5" customHeight="1" thickBot="1">
      <c r="A6" s="780" t="s">
        <v>355</v>
      </c>
      <c r="B6" s="773"/>
      <c r="C6" s="60"/>
      <c r="D6" s="60"/>
      <c r="E6" s="60"/>
      <c r="F6" s="778"/>
      <c r="G6" s="44"/>
      <c r="H6" s="44"/>
    </row>
    <row r="7" spans="1:8" ht="12.75">
      <c r="A7" s="781"/>
      <c r="B7" s="60"/>
      <c r="C7" s="60"/>
      <c r="D7" s="60"/>
      <c r="E7" s="60"/>
      <c r="F7" s="778"/>
      <c r="G7" s="44"/>
      <c r="H7" s="44"/>
    </row>
    <row r="8" spans="1:8" ht="110.25">
      <c r="A8" s="782"/>
      <c r="B8" s="783" t="s">
        <v>362</v>
      </c>
      <c r="C8" s="152"/>
      <c r="D8" s="152"/>
      <c r="E8" s="152"/>
      <c r="F8" s="784"/>
      <c r="G8" s="44"/>
      <c r="H8" s="44"/>
    </row>
    <row r="9" spans="1:8" ht="93.75" customHeight="1">
      <c r="A9" s="44"/>
      <c r="B9" s="44"/>
      <c r="C9" s="44"/>
      <c r="D9" s="44"/>
      <c r="E9" s="44"/>
      <c r="F9" s="44"/>
      <c r="G9" s="44"/>
      <c r="H9" s="44"/>
    </row>
    <row r="10" spans="1:8" ht="12.75">
      <c r="A10" s="44"/>
      <c r="B10" s="44"/>
      <c r="C10" s="44"/>
      <c r="D10" s="44"/>
      <c r="E10" s="44"/>
      <c r="F10" s="44"/>
      <c r="G10" s="44"/>
      <c r="H10" s="44"/>
    </row>
    <row r="11" spans="1:8" ht="12.75">
      <c r="A11" s="44"/>
      <c r="B11" s="44"/>
      <c r="C11" s="44"/>
      <c r="D11" s="44"/>
      <c r="E11" s="44"/>
      <c r="F11" s="44"/>
      <c r="G11" s="44"/>
      <c r="H11" s="44"/>
    </row>
    <row r="12" spans="1:8" ht="12.75">
      <c r="A12" s="44"/>
      <c r="B12" s="44"/>
      <c r="C12" s="44"/>
      <c r="D12" s="44"/>
      <c r="E12" s="44"/>
      <c r="F12" s="44"/>
      <c r="G12" s="44"/>
      <c r="H12" s="44"/>
    </row>
    <row r="13" spans="1:8" ht="12.75">
      <c r="A13" s="44"/>
      <c r="B13" s="44"/>
      <c r="C13" s="44"/>
      <c r="D13" s="44"/>
      <c r="E13" s="44"/>
      <c r="F13" s="44"/>
      <c r="G13" s="44"/>
      <c r="H13" s="44"/>
    </row>
    <row r="14" spans="1:8" ht="12.75">
      <c r="A14" s="44"/>
      <c r="B14" s="44"/>
      <c r="C14" s="44"/>
      <c r="D14" s="44"/>
      <c r="E14" s="44"/>
      <c r="F14" s="44"/>
      <c r="G14" s="44"/>
      <c r="H14" s="44"/>
    </row>
    <row r="15" spans="1:8" ht="12.75">
      <c r="A15" s="44"/>
      <c r="B15" s="44"/>
      <c r="C15" s="44"/>
      <c r="D15" s="44"/>
      <c r="E15" s="44"/>
      <c r="F15" s="44"/>
      <c r="G15" s="44"/>
      <c r="H15" s="44"/>
    </row>
    <row r="16" spans="1:8" ht="12.75">
      <c r="A16" s="44"/>
      <c r="B16" s="44"/>
      <c r="C16" s="44"/>
      <c r="D16" s="44"/>
      <c r="E16" s="44"/>
      <c r="F16" s="44"/>
      <c r="G16" s="44"/>
      <c r="H16" s="44"/>
    </row>
    <row r="17" spans="1:8" ht="12.75">
      <c r="A17" s="44"/>
      <c r="B17" s="44"/>
      <c r="C17" s="44"/>
      <c r="D17" s="44"/>
      <c r="E17" s="44"/>
      <c r="F17" s="44"/>
      <c r="G17" s="44"/>
      <c r="H17" s="44"/>
    </row>
    <row r="18" spans="1:8" ht="12.75">
      <c r="A18" s="44"/>
      <c r="B18" s="44"/>
      <c r="C18" s="44"/>
      <c r="D18" s="44"/>
      <c r="E18" s="44"/>
      <c r="F18" s="44"/>
      <c r="G18" s="44"/>
      <c r="H18" s="44"/>
    </row>
    <row r="19" spans="1:8" ht="12.75">
      <c r="A19" s="44"/>
      <c r="B19" s="44"/>
      <c r="C19" s="44"/>
      <c r="D19" s="44"/>
      <c r="E19" s="44"/>
      <c r="F19" s="44"/>
      <c r="G19" s="44"/>
      <c r="H19" s="44"/>
    </row>
    <row r="20" spans="1:8" ht="12.75">
      <c r="A20" s="44"/>
      <c r="B20" s="44"/>
      <c r="C20" s="44"/>
      <c r="D20" s="44"/>
      <c r="E20" s="44"/>
      <c r="F20" s="44"/>
      <c r="G20" s="44"/>
      <c r="H20" s="44"/>
    </row>
    <row r="21" spans="1:8" ht="12.75">
      <c r="A21" s="44"/>
      <c r="B21" s="44"/>
      <c r="C21" s="44"/>
      <c r="D21" s="44"/>
      <c r="E21" s="44"/>
      <c r="F21" s="44"/>
      <c r="G21" s="44"/>
      <c r="H21" s="44"/>
    </row>
    <row r="22" spans="1:8" ht="12.75">
      <c r="A22" s="44"/>
      <c r="B22" s="44"/>
      <c r="C22" s="44"/>
      <c r="D22" s="44"/>
      <c r="E22" s="44"/>
      <c r="F22" s="44"/>
      <c r="G22" s="44"/>
      <c r="H22" s="44"/>
    </row>
    <row r="23" spans="1:8" ht="12.75">
      <c r="A23" s="44"/>
      <c r="B23" s="44"/>
      <c r="C23" s="44"/>
      <c r="D23" s="44"/>
      <c r="E23" s="44"/>
      <c r="F23" s="44"/>
      <c r="G23" s="44"/>
      <c r="H23" s="44"/>
    </row>
    <row r="24" spans="1:8" ht="12.75">
      <c r="A24" s="44"/>
      <c r="B24" s="44"/>
      <c r="C24" s="44"/>
      <c r="D24" s="44"/>
      <c r="E24" s="44"/>
      <c r="F24" s="44"/>
      <c r="G24" s="44"/>
      <c r="H24" s="44"/>
    </row>
    <row r="25" spans="1:8" ht="12.75">
      <c r="A25" s="44"/>
      <c r="B25" s="44"/>
      <c r="C25" s="44"/>
      <c r="D25" s="44"/>
      <c r="E25" s="44"/>
      <c r="F25" s="44"/>
      <c r="G25" s="44"/>
      <c r="H25" s="44"/>
    </row>
    <row r="26" spans="1:8" ht="12.75">
      <c r="A26" s="44"/>
      <c r="B26" s="44"/>
      <c r="C26" s="44"/>
      <c r="D26" s="44"/>
      <c r="E26" s="44"/>
      <c r="F26" s="44"/>
      <c r="G26" s="44"/>
      <c r="H26" s="44"/>
    </row>
    <row r="27" spans="1:8" ht="12.75">
      <c r="A27" s="44"/>
      <c r="B27" s="44"/>
      <c r="C27" s="44"/>
      <c r="D27" s="44"/>
      <c r="E27" s="44"/>
      <c r="F27" s="44"/>
      <c r="G27" s="44"/>
      <c r="H27" s="44"/>
    </row>
    <row r="28" spans="1:8" ht="12.75">
      <c r="A28" s="44"/>
      <c r="B28" s="44"/>
      <c r="C28" s="44"/>
      <c r="D28" s="44"/>
      <c r="E28" s="44"/>
      <c r="F28" s="44"/>
      <c r="G28" s="44"/>
      <c r="H28" s="44"/>
    </row>
    <row r="29" spans="1:8" ht="12.75">
      <c r="A29" s="44"/>
      <c r="B29" s="44"/>
      <c r="C29" s="44"/>
      <c r="D29" s="44"/>
      <c r="E29" s="44"/>
      <c r="F29" s="44"/>
      <c r="G29" s="44"/>
      <c r="H29" s="44"/>
    </row>
    <row r="30" spans="1:8" ht="12.75">
      <c r="A30" s="44"/>
      <c r="B30" s="44"/>
      <c r="C30" s="44"/>
      <c r="D30" s="44"/>
      <c r="E30" s="44"/>
      <c r="F30" s="44"/>
      <c r="G30" s="44"/>
      <c r="H30" s="44"/>
    </row>
    <row r="31" spans="1:8" ht="12.75">
      <c r="A31" s="44"/>
      <c r="B31" s="44"/>
      <c r="C31" s="44"/>
      <c r="D31" s="44"/>
      <c r="E31" s="44"/>
      <c r="F31" s="44"/>
      <c r="G31" s="44"/>
      <c r="H31" s="44"/>
    </row>
    <row r="32" spans="1:8" ht="12.75">
      <c r="A32" s="44"/>
      <c r="B32" s="44"/>
      <c r="C32" s="44"/>
      <c r="D32" s="44"/>
      <c r="E32" s="44"/>
      <c r="F32" s="44"/>
      <c r="G32" s="44"/>
      <c r="H32" s="44"/>
    </row>
    <row r="33" spans="1:8" ht="12.75">
      <c r="A33" s="44"/>
      <c r="B33" s="44"/>
      <c r="C33" s="44"/>
      <c r="D33" s="44"/>
      <c r="E33" s="44"/>
      <c r="F33" s="44"/>
      <c r="G33" s="44"/>
      <c r="H33" s="44"/>
    </row>
    <row r="34" spans="1:8" ht="12.75">
      <c r="A34" s="44"/>
      <c r="B34" s="44"/>
      <c r="C34" s="44"/>
      <c r="D34" s="44"/>
      <c r="E34" s="44"/>
      <c r="F34" s="44"/>
      <c r="G34" s="44"/>
      <c r="H34" s="44"/>
    </row>
    <row r="35" spans="1:8" ht="12.75">
      <c r="A35" s="44"/>
      <c r="B35" s="44"/>
      <c r="C35" s="44"/>
      <c r="D35" s="44"/>
      <c r="E35" s="44"/>
      <c r="F35" s="44"/>
      <c r="G35" s="44"/>
      <c r="H35" s="44"/>
    </row>
    <row r="36" spans="7:8" ht="12.75">
      <c r="G36" s="44"/>
      <c r="H36" s="44"/>
    </row>
    <row r="37" spans="7:8" ht="12.75">
      <c r="G37" s="44"/>
      <c r="H37" s="44"/>
    </row>
  </sheetData>
  <sheetProtection password="F155" sheet="1" objects="1" scenarios="1"/>
  <printOptions/>
  <pageMargins left="0.75" right="0.75" top="1" bottom="1" header="0.5" footer="0.5"/>
  <pageSetup horizontalDpi="300" verticalDpi="300" orientation="portrait" r:id="rId2"/>
  <legacyDrawing r:id="rId1"/>
</worksheet>
</file>

<file path=xl/worksheets/sheet11.xml><?xml version="1.0" encoding="utf-8"?>
<worksheet xmlns="http://schemas.openxmlformats.org/spreadsheetml/2006/main" xmlns:r="http://schemas.openxmlformats.org/officeDocument/2006/relationships">
  <dimension ref="A9:AI68"/>
  <sheetViews>
    <sheetView view="pageBreakPreview" zoomScale="75" zoomScaleSheetLayoutView="75" workbookViewId="0" topLeftCell="A1">
      <selection activeCell="C15" sqref="C15"/>
    </sheetView>
  </sheetViews>
  <sheetFormatPr defaultColWidth="9.140625" defaultRowHeight="12.75"/>
  <cols>
    <col min="1" max="1" width="8.00390625" style="255" customWidth="1"/>
    <col min="2" max="2" width="8.28125" style="255" customWidth="1"/>
    <col min="3" max="3" width="6.421875" style="255" customWidth="1"/>
    <col min="4" max="4" width="7.140625" style="255" bestFit="1" customWidth="1"/>
    <col min="5" max="6" width="6.421875" style="255" customWidth="1"/>
    <col min="7" max="7" width="7.140625" style="255" bestFit="1" customWidth="1"/>
    <col min="8" max="12" width="6.421875" style="255" customWidth="1"/>
    <col min="13" max="13" width="9.7109375" style="255" customWidth="1"/>
    <col min="14" max="14" width="10.140625" style="255" customWidth="1"/>
    <col min="15" max="23" width="6.421875" style="255" customWidth="1"/>
    <col min="24" max="24" width="7.140625" style="255" bestFit="1" customWidth="1"/>
    <col min="25" max="25" width="12.140625" style="255" customWidth="1"/>
    <col min="26" max="26" width="9.8515625" style="255" customWidth="1"/>
    <col min="27" max="27" width="10.140625" style="255" customWidth="1"/>
    <col min="28" max="28" width="8.7109375" style="255" customWidth="1"/>
    <col min="29" max="29" width="11.57421875" style="255" customWidth="1"/>
    <col min="30" max="30" width="9.8515625" style="255" customWidth="1"/>
    <col min="31" max="31" width="9.140625" style="255" customWidth="1"/>
    <col min="32" max="32" width="11.00390625" style="255" customWidth="1"/>
    <col min="33" max="33" width="12.00390625" style="255" customWidth="1"/>
    <col min="34" max="34" width="42.140625" style="255" customWidth="1"/>
    <col min="35" max="35" width="18.7109375" style="255" customWidth="1"/>
    <col min="36" max="16384" width="9.140625" style="255" customWidth="1"/>
  </cols>
  <sheetData>
    <row r="9" spans="1:35" ht="33.75" customHeight="1">
      <c r="A9" s="1072" t="s">
        <v>429</v>
      </c>
      <c r="B9" s="1073"/>
      <c r="C9" s="1073"/>
      <c r="D9" s="1073"/>
      <c r="E9" s="1073"/>
      <c r="F9" s="1073"/>
      <c r="G9" s="1073"/>
      <c r="H9" s="1073"/>
      <c r="I9" s="1073"/>
      <c r="J9" s="1073"/>
      <c r="K9" s="1073"/>
      <c r="L9" s="1073"/>
      <c r="M9" s="1074" t="s">
        <v>428</v>
      </c>
      <c r="N9" s="1073"/>
      <c r="O9" s="1073"/>
      <c r="P9" s="1073"/>
      <c r="Q9" s="1073"/>
      <c r="R9" s="1073"/>
      <c r="S9" s="1073"/>
      <c r="T9" s="1073"/>
      <c r="U9" s="1073"/>
      <c r="V9" s="1073"/>
      <c r="W9" s="1073"/>
      <c r="X9" s="1073"/>
      <c r="Y9" s="294" t="s">
        <v>382</v>
      </c>
      <c r="Z9" s="295"/>
      <c r="AA9" s="295"/>
      <c r="AB9" s="295"/>
      <c r="AC9" s="295"/>
      <c r="AD9" s="295"/>
      <c r="AE9" s="295"/>
      <c r="AF9" s="295"/>
      <c r="AH9" s="1118" t="s">
        <v>407</v>
      </c>
      <c r="AI9" s="1118"/>
    </row>
    <row r="10" spans="1:34" ht="12.75">
      <c r="A10" s="256"/>
      <c r="M10" s="256"/>
      <c r="AG10" s="259"/>
      <c r="AH10" s="256" t="s">
        <v>492</v>
      </c>
    </row>
    <row r="11" spans="1:35" s="296" customFormat="1" ht="28.5" customHeight="1">
      <c r="A11" s="1134" t="s">
        <v>435</v>
      </c>
      <c r="B11" s="1135"/>
      <c r="C11" s="1135"/>
      <c r="D11" s="1135"/>
      <c r="E11" s="1135"/>
      <c r="F11" s="1135"/>
      <c r="G11" s="1135"/>
      <c r="H11" s="1135"/>
      <c r="I11" s="1135"/>
      <c r="J11" s="1136"/>
      <c r="K11" s="817"/>
      <c r="L11" s="1137"/>
      <c r="M11" s="1144" t="s">
        <v>375</v>
      </c>
      <c r="N11" s="1145"/>
      <c r="O11" s="1145"/>
      <c r="P11" s="1145"/>
      <c r="Q11" s="1145"/>
      <c r="R11" s="1145"/>
      <c r="S11" s="1145"/>
      <c r="T11" s="1145"/>
      <c r="U11" s="1145"/>
      <c r="V11" s="1146"/>
      <c r="W11" s="817"/>
      <c r="X11" s="1137"/>
      <c r="Y11" s="1096" t="s">
        <v>379</v>
      </c>
      <c r="Z11" s="1076"/>
      <c r="AA11" s="1076"/>
      <c r="AB11" s="1076"/>
      <c r="AC11" s="1076"/>
      <c r="AD11" s="1076"/>
      <c r="AE11" s="1076"/>
      <c r="AF11" s="1105"/>
      <c r="AG11" s="297"/>
      <c r="AH11" s="1119" t="str">
        <f>'Granular Characterization Calcs'!A10</f>
        <v>Estimation of the number of granules needed to achieve toxicity thresholds</v>
      </c>
      <c r="AI11" s="1120"/>
    </row>
    <row r="12" spans="1:35" ht="12.75">
      <c r="A12" s="1102" t="s">
        <v>367</v>
      </c>
      <c r="B12" s="1102" t="s">
        <v>421</v>
      </c>
      <c r="C12" s="1138" t="s">
        <v>366</v>
      </c>
      <c r="D12" s="1139"/>
      <c r="E12" s="1140"/>
      <c r="F12" s="1140"/>
      <c r="G12" s="1140"/>
      <c r="H12" s="1140"/>
      <c r="I12" s="1140"/>
      <c r="J12" s="1141"/>
      <c r="K12" s="1142"/>
      <c r="L12" s="1143"/>
      <c r="M12" s="1102" t="s">
        <v>367</v>
      </c>
      <c r="N12" s="1102" t="s">
        <v>370</v>
      </c>
      <c r="O12" s="1125" t="s">
        <v>366</v>
      </c>
      <c r="P12" s="1126"/>
      <c r="Q12" s="1127"/>
      <c r="R12" s="1127"/>
      <c r="S12" s="1127"/>
      <c r="T12" s="1127"/>
      <c r="U12" s="1127"/>
      <c r="V12" s="1128"/>
      <c r="W12" s="1147"/>
      <c r="X12" s="1148"/>
      <c r="Y12" s="1077" t="s">
        <v>367</v>
      </c>
      <c r="Z12" s="1093" t="s">
        <v>193</v>
      </c>
      <c r="AA12" s="1096" t="s">
        <v>377</v>
      </c>
      <c r="AB12" s="1096"/>
      <c r="AC12" s="1096"/>
      <c r="AD12" s="1097" t="s">
        <v>376</v>
      </c>
      <c r="AE12" s="1098"/>
      <c r="AF12" s="1099"/>
      <c r="AG12" s="259"/>
      <c r="AH12" s="274" t="s">
        <v>402</v>
      </c>
      <c r="AI12" s="293" t="e">
        <f>'Granular Characterization Calcs'!B24</f>
        <v>#DIV/0!</v>
      </c>
    </row>
    <row r="13" spans="1:35" ht="40.5" customHeight="1">
      <c r="A13" s="1103"/>
      <c r="B13" s="1103"/>
      <c r="C13" s="1096" t="s">
        <v>33</v>
      </c>
      <c r="D13" s="1096"/>
      <c r="E13" s="1096" t="s">
        <v>28</v>
      </c>
      <c r="F13" s="1096"/>
      <c r="G13" s="1077" t="s">
        <v>368</v>
      </c>
      <c r="H13" s="1096"/>
      <c r="I13" s="1077" t="s">
        <v>369</v>
      </c>
      <c r="J13" s="1078"/>
      <c r="K13" s="1097" t="s">
        <v>419</v>
      </c>
      <c r="L13" s="1099"/>
      <c r="M13" s="1103"/>
      <c r="N13" s="1103"/>
      <c r="O13" s="1096" t="s">
        <v>33</v>
      </c>
      <c r="P13" s="1096"/>
      <c r="Q13" s="1096" t="s">
        <v>28</v>
      </c>
      <c r="R13" s="1096"/>
      <c r="S13" s="1077" t="s">
        <v>368</v>
      </c>
      <c r="T13" s="1096"/>
      <c r="U13" s="1077" t="s">
        <v>369</v>
      </c>
      <c r="V13" s="1078"/>
      <c r="W13" s="1096" t="s">
        <v>419</v>
      </c>
      <c r="X13" s="1129"/>
      <c r="Y13" s="1078"/>
      <c r="Z13" s="1094"/>
      <c r="AA13" s="1100" t="s">
        <v>378</v>
      </c>
      <c r="AB13" s="1101"/>
      <c r="AC13" s="1104" t="s">
        <v>240</v>
      </c>
      <c r="AD13" s="1100" t="s">
        <v>378</v>
      </c>
      <c r="AE13" s="1101"/>
      <c r="AF13" s="1104" t="s">
        <v>240</v>
      </c>
      <c r="AG13" s="259"/>
      <c r="AH13" s="274" t="s">
        <v>416</v>
      </c>
      <c r="AI13" s="293" t="e">
        <f>'Granular Characterization Calcs'!B25</f>
        <v>#DIV/0!</v>
      </c>
    </row>
    <row r="14" spans="1:35" ht="25.5">
      <c r="A14" s="1103"/>
      <c r="B14" s="1103"/>
      <c r="C14" s="257" t="s">
        <v>363</v>
      </c>
      <c r="D14" s="257" t="s">
        <v>365</v>
      </c>
      <c r="E14" s="257" t="s">
        <v>363</v>
      </c>
      <c r="F14" s="257" t="s">
        <v>365</v>
      </c>
      <c r="G14" s="257" t="s">
        <v>363</v>
      </c>
      <c r="H14" s="257" t="s">
        <v>365</v>
      </c>
      <c r="I14" s="257" t="s">
        <v>363</v>
      </c>
      <c r="J14" s="257" t="s">
        <v>365</v>
      </c>
      <c r="K14" s="257" t="s">
        <v>363</v>
      </c>
      <c r="L14" s="257" t="s">
        <v>365</v>
      </c>
      <c r="M14" s="1103"/>
      <c r="N14" s="1103"/>
      <c r="O14" s="257" t="s">
        <v>363</v>
      </c>
      <c r="P14" s="257" t="s">
        <v>365</v>
      </c>
      <c r="Q14" s="257" t="s">
        <v>363</v>
      </c>
      <c r="R14" s="257" t="s">
        <v>365</v>
      </c>
      <c r="S14" s="257" t="s">
        <v>363</v>
      </c>
      <c r="T14" s="257" t="s">
        <v>365</v>
      </c>
      <c r="U14" s="257" t="s">
        <v>363</v>
      </c>
      <c r="V14" s="257" t="s">
        <v>365</v>
      </c>
      <c r="W14" s="257" t="s">
        <v>363</v>
      </c>
      <c r="X14" s="257" t="s">
        <v>365</v>
      </c>
      <c r="Y14" s="1078"/>
      <c r="Z14" s="1095"/>
      <c r="AA14" s="263" t="s">
        <v>225</v>
      </c>
      <c r="AB14" s="263" t="s">
        <v>226</v>
      </c>
      <c r="AC14" s="1104"/>
      <c r="AD14" s="263" t="s">
        <v>225</v>
      </c>
      <c r="AE14" s="263" t="s">
        <v>226</v>
      </c>
      <c r="AF14" s="1104"/>
      <c r="AH14" s="274" t="s">
        <v>415</v>
      </c>
      <c r="AI14" s="293" t="e">
        <f>'Granular Characterization Calcs'!B26</f>
        <v>#DIV/0!</v>
      </c>
    </row>
    <row r="15" spans="1:35" ht="30" customHeight="1">
      <c r="A15" s="261">
        <f>'upper bound Kenaga'!C36</f>
        <v>20</v>
      </c>
      <c r="B15" s="258">
        <f>'upper bound Kenaga'!$C$46</f>
        <v>0</v>
      </c>
      <c r="C15" s="258" t="e">
        <f>'upper bound Kenaga'!$B53</f>
        <v>#DIV/0!</v>
      </c>
      <c r="D15" s="258" t="e">
        <f>'upper bound Kenaga'!$B68</f>
        <v>#DIV/0!</v>
      </c>
      <c r="E15" s="258" t="e">
        <f>'upper bound Kenaga'!$B54</f>
        <v>#DIV/0!</v>
      </c>
      <c r="F15" s="258" t="e">
        <f>'upper bound Kenaga'!B69</f>
        <v>#DIV/0!</v>
      </c>
      <c r="G15" s="258" t="e">
        <f>'upper bound Kenaga'!$B55</f>
        <v>#DIV/0!</v>
      </c>
      <c r="H15" s="258" t="e">
        <f>'upper bound Kenaga'!$B70</f>
        <v>#DIV/0!</v>
      </c>
      <c r="I15" s="258" t="e">
        <f>'upper bound Kenaga'!$B56</f>
        <v>#DIV/0!</v>
      </c>
      <c r="J15" s="258" t="e">
        <f>'upper bound Kenaga'!$B71</f>
        <v>#DIV/0!</v>
      </c>
      <c r="K15" s="258" t="e">
        <f>'upper bound Kenaga'!E56</f>
        <v>#DIV/0!</v>
      </c>
      <c r="L15" s="258" t="e">
        <f>'upper bound Kenaga'!B72</f>
        <v>#DIV/0!</v>
      </c>
      <c r="M15" s="261">
        <f>'upper bound Kenaga'!C36</f>
        <v>20</v>
      </c>
      <c r="N15" s="258">
        <f>'mean Kenaga'!$E36</f>
        <v>0</v>
      </c>
      <c r="O15" s="258" t="e">
        <f>'mean Kenaga'!$B47</f>
        <v>#DIV/0!</v>
      </c>
      <c r="P15" s="266" t="e">
        <f>'mean Kenaga'!$B54</f>
        <v>#DIV/0!</v>
      </c>
      <c r="Q15" s="258" t="e">
        <f>'mean Kenaga'!$B48</f>
        <v>#DIV/0!</v>
      </c>
      <c r="R15" s="266" t="e">
        <f>'mean Kenaga'!$B55</f>
        <v>#DIV/0!</v>
      </c>
      <c r="S15" s="258" t="e">
        <f>'mean Kenaga'!$B49</f>
        <v>#DIV/0!</v>
      </c>
      <c r="T15" s="266" t="e">
        <f>'mean Kenaga'!$B56</f>
        <v>#DIV/0!</v>
      </c>
      <c r="U15" s="258" t="e">
        <f>'mean Kenaga'!$B50</f>
        <v>#DIV/0!</v>
      </c>
      <c r="V15" s="266" t="e">
        <f>'mean Kenaga'!$B57</f>
        <v>#DIV/0!</v>
      </c>
      <c r="W15" s="258" t="e">
        <f>'mean Kenaga'!E50</f>
        <v>#DIV/0!</v>
      </c>
      <c r="X15" s="258" t="e">
        <f>'mean Kenaga'!B58</f>
        <v>#DIV/0!</v>
      </c>
      <c r="Y15" s="261">
        <f>'upper bound Kenaga'!C36</f>
        <v>20</v>
      </c>
      <c r="Z15" s="258">
        <f>N15</f>
        <v>0</v>
      </c>
      <c r="AA15" s="1079" t="e">
        <f>'LD50 ft-2'!D27:E27</f>
        <v>#VALUE!</v>
      </c>
      <c r="AB15" s="1079" t="e">
        <f>'LD50 ft-2'!I25:J25</f>
        <v>#VALUE!</v>
      </c>
      <c r="AC15" s="1088">
        <f>'LD50 ft-2'!C42</f>
        <v>0</v>
      </c>
      <c r="AD15" s="258" t="str">
        <f>'LD50 ft-2'!D31</f>
        <v>N/A</v>
      </c>
      <c r="AE15" s="258" t="str">
        <f>'LD50 ft-2'!I31</f>
        <v>N/A</v>
      </c>
      <c r="AF15" s="258" t="e">
        <f>'LD50 ft-2'!D46</f>
        <v>#DIV/0!</v>
      </c>
      <c r="AH15" s="292"/>
      <c r="AI15" s="292"/>
    </row>
    <row r="16" spans="1:35" ht="15.75">
      <c r="A16" s="261">
        <f>'upper bound Kenaga'!C37</f>
        <v>100</v>
      </c>
      <c r="B16" s="258">
        <f>'upper bound Kenaga'!$C47</f>
        <v>0</v>
      </c>
      <c r="C16" s="258" t="e">
        <f>'upper bound Kenaga'!$C53</f>
        <v>#DIV/0!</v>
      </c>
      <c r="D16" s="258" t="e">
        <f>'upper bound Kenaga'!$C68</f>
        <v>#DIV/0!</v>
      </c>
      <c r="E16" s="258" t="e">
        <f>'upper bound Kenaga'!$C54</f>
        <v>#DIV/0!</v>
      </c>
      <c r="F16" s="258" t="e">
        <f>'upper bound Kenaga'!$C69</f>
        <v>#DIV/0!</v>
      </c>
      <c r="G16" s="258" t="e">
        <f>'upper bound Kenaga'!$C55</f>
        <v>#DIV/0!</v>
      </c>
      <c r="H16" s="258" t="e">
        <f>'upper bound Kenaga'!$C70</f>
        <v>#DIV/0!</v>
      </c>
      <c r="I16" s="258" t="e">
        <f>'upper bound Kenaga'!$C56</f>
        <v>#DIV/0!</v>
      </c>
      <c r="J16" s="258" t="e">
        <f>'upper bound Kenaga'!$C71</f>
        <v>#DIV/0!</v>
      </c>
      <c r="K16" s="258" t="e">
        <f>'upper bound Kenaga'!F56</f>
        <v>#DIV/0!</v>
      </c>
      <c r="L16" s="258" t="e">
        <f>'upper bound Kenaga'!C72</f>
        <v>#DIV/0!</v>
      </c>
      <c r="M16" s="261">
        <f>'upper bound Kenaga'!C37</f>
        <v>100</v>
      </c>
      <c r="N16" s="258">
        <f>'mean Kenaga'!$E37</f>
        <v>0</v>
      </c>
      <c r="O16" s="258" t="e">
        <f>'mean Kenaga'!$C47</f>
        <v>#DIV/0!</v>
      </c>
      <c r="P16" s="266" t="e">
        <f>'mean Kenaga'!$C54</f>
        <v>#DIV/0!</v>
      </c>
      <c r="Q16" s="258" t="e">
        <f>'mean Kenaga'!$C48</f>
        <v>#DIV/0!</v>
      </c>
      <c r="R16" s="266" t="e">
        <f>'mean Kenaga'!$C55</f>
        <v>#DIV/0!</v>
      </c>
      <c r="S16" s="258" t="e">
        <f>'mean Kenaga'!$C49</f>
        <v>#DIV/0!</v>
      </c>
      <c r="T16" s="266" t="e">
        <f>'mean Kenaga'!$C56</f>
        <v>#DIV/0!</v>
      </c>
      <c r="U16" s="258" t="e">
        <f>'mean Kenaga'!$C50</f>
        <v>#DIV/0!</v>
      </c>
      <c r="V16" s="266" t="e">
        <f>'mean Kenaga'!$C57</f>
        <v>#DIV/0!</v>
      </c>
      <c r="W16" s="258" t="e">
        <f>'mean Kenaga'!F50</f>
        <v>#DIV/0!</v>
      </c>
      <c r="X16" s="258" t="e">
        <f>'mean Kenaga'!C58</f>
        <v>#DIV/0!</v>
      </c>
      <c r="Y16" s="261">
        <f>'upper bound Kenaga'!C37</f>
        <v>100</v>
      </c>
      <c r="Z16" s="258">
        <f>N16</f>
        <v>0</v>
      </c>
      <c r="AA16" s="1079"/>
      <c r="AB16" s="1080"/>
      <c r="AC16" s="1089"/>
      <c r="AD16" s="258" t="str">
        <f>'LD50 ft-2'!D32</f>
        <v>N/A</v>
      </c>
      <c r="AE16" s="258" t="str">
        <f>'LD50 ft-2'!I32</f>
        <v>N/A</v>
      </c>
      <c r="AF16" s="258" t="e">
        <f>'LD50 ft-2'!D47</f>
        <v>#DIV/0!</v>
      </c>
      <c r="AH16" s="1121" t="str">
        <f>'Granular Characterization Calcs'!A29</f>
        <v>Minimum Foraging Area Needed to Allow for Ingestion of Sufficient Mass of a.i. to Achieve LOC Exceedance </v>
      </c>
      <c r="AI16" s="1122"/>
    </row>
    <row r="17" spans="1:35" ht="25.5">
      <c r="A17" s="261">
        <f>'upper bound Kenaga'!C38</f>
        <v>1000</v>
      </c>
      <c r="B17" s="258">
        <f>'upper bound Kenaga'!$C48</f>
        <v>0</v>
      </c>
      <c r="C17" s="258" t="e">
        <f>'upper bound Kenaga'!$D53</f>
        <v>#DIV/0!</v>
      </c>
      <c r="D17" s="258" t="e">
        <f>'upper bound Kenaga'!$D68</f>
        <v>#DIV/0!</v>
      </c>
      <c r="E17" s="258" t="e">
        <f>'upper bound Kenaga'!$D54</f>
        <v>#DIV/0!</v>
      </c>
      <c r="F17" s="258" t="e">
        <f>'upper bound Kenaga'!$D69</f>
        <v>#DIV/0!</v>
      </c>
      <c r="G17" s="258" t="e">
        <f>'upper bound Kenaga'!$D55</f>
        <v>#DIV/0!</v>
      </c>
      <c r="H17" s="258" t="e">
        <f>'upper bound Kenaga'!$D70</f>
        <v>#DIV/0!</v>
      </c>
      <c r="I17" s="258" t="e">
        <f>'upper bound Kenaga'!$D56</f>
        <v>#DIV/0!</v>
      </c>
      <c r="J17" s="258" t="e">
        <f>'upper bound Kenaga'!$D71</f>
        <v>#DIV/0!</v>
      </c>
      <c r="K17" s="258" t="e">
        <f>'upper bound Kenaga'!$G$56</f>
        <v>#DIV/0!</v>
      </c>
      <c r="L17" s="258" t="e">
        <f>'upper bound Kenaga'!D72</f>
        <v>#DIV/0!</v>
      </c>
      <c r="M17" s="261">
        <f>'upper bound Kenaga'!C38</f>
        <v>1000</v>
      </c>
      <c r="N17" s="258">
        <f>'mean Kenaga'!$E38</f>
        <v>0</v>
      </c>
      <c r="O17" s="258" t="e">
        <f>'mean Kenaga'!$D47</f>
        <v>#DIV/0!</v>
      </c>
      <c r="P17" s="266" t="e">
        <f>'mean Kenaga'!$D54</f>
        <v>#DIV/0!</v>
      </c>
      <c r="Q17" s="258" t="e">
        <f>'mean Kenaga'!$D48</f>
        <v>#DIV/0!</v>
      </c>
      <c r="R17" s="266" t="e">
        <f>'mean Kenaga'!$D55</f>
        <v>#DIV/0!</v>
      </c>
      <c r="S17" s="258" t="e">
        <f>'mean Kenaga'!$D49</f>
        <v>#DIV/0!</v>
      </c>
      <c r="T17" s="266" t="e">
        <f>'mean Kenaga'!$D56</f>
        <v>#DIV/0!</v>
      </c>
      <c r="U17" s="258" t="e">
        <f>'mean Kenaga'!$D50</f>
        <v>#DIV/0!</v>
      </c>
      <c r="V17" s="266" t="e">
        <f>'mean Kenaga'!$D57</f>
        <v>#DIV/0!</v>
      </c>
      <c r="W17" s="258" t="e">
        <f>'mean Kenaga'!G50</f>
        <v>#DIV/0!</v>
      </c>
      <c r="X17" s="258" t="e">
        <f>'mean Kenaga'!D58</f>
        <v>#DIV/0!</v>
      </c>
      <c r="Y17" s="261">
        <f>'upper bound Kenaga'!C38</f>
        <v>1000</v>
      </c>
      <c r="Z17" s="258">
        <f>N17</f>
        <v>0</v>
      </c>
      <c r="AA17" s="1079"/>
      <c r="AB17" s="1080"/>
      <c r="AC17" s="1090"/>
      <c r="AD17" s="258" t="str">
        <f>'LD50 ft-2'!D33</f>
        <v>N/A</v>
      </c>
      <c r="AE17" s="258" t="str">
        <f>'LD50 ft-2'!I33</f>
        <v>N/A</v>
      </c>
      <c r="AF17" s="258" t="e">
        <f>'LD50 ft-2'!D48</f>
        <v>#DIV/0!</v>
      </c>
      <c r="AH17" s="268" t="s">
        <v>404</v>
      </c>
      <c r="AI17" s="265" t="e">
        <f>'Granular Characterization Calcs'!B31</f>
        <v>#DIV/0!</v>
      </c>
    </row>
    <row r="18" spans="1:35" ht="25.5">
      <c r="A18" s="271"/>
      <c r="B18" s="272"/>
      <c r="C18" s="272"/>
      <c r="D18" s="273"/>
      <c r="E18" s="272"/>
      <c r="F18" s="273"/>
      <c r="G18" s="272"/>
      <c r="H18" s="272"/>
      <c r="I18" s="272"/>
      <c r="J18" s="273"/>
      <c r="K18" s="273"/>
      <c r="M18" s="259"/>
      <c r="N18" s="260"/>
      <c r="O18" s="260"/>
      <c r="P18" s="260"/>
      <c r="Q18" s="260"/>
      <c r="R18" s="260"/>
      <c r="S18" s="260"/>
      <c r="T18" s="260"/>
      <c r="U18" s="260"/>
      <c r="Y18" s="264"/>
      <c r="Z18" s="264"/>
      <c r="AA18" s="264"/>
      <c r="AB18" s="264"/>
      <c r="AC18" s="264"/>
      <c r="AD18" s="264"/>
      <c r="AE18" s="264"/>
      <c r="AF18" s="264"/>
      <c r="AH18" s="268" t="s">
        <v>405</v>
      </c>
      <c r="AI18" s="265" t="e">
        <f>'Granular Characterization Calcs'!B32</f>
        <v>#DIV/0!</v>
      </c>
    </row>
    <row r="19" spans="1:35" ht="29.25" customHeight="1">
      <c r="A19" s="1082" t="s">
        <v>436</v>
      </c>
      <c r="B19" s="1083"/>
      <c r="C19" s="1083"/>
      <c r="D19" s="1083"/>
      <c r="E19" s="1083"/>
      <c r="F19" s="1083"/>
      <c r="G19" s="1083"/>
      <c r="H19" s="1083"/>
      <c r="I19" s="1084"/>
      <c r="M19" s="1082" t="s">
        <v>430</v>
      </c>
      <c r="N19" s="1083"/>
      <c r="O19" s="1083"/>
      <c r="P19" s="1083"/>
      <c r="Q19" s="1083"/>
      <c r="R19" s="1083"/>
      <c r="S19" s="1083"/>
      <c r="T19" s="1083"/>
      <c r="U19" s="1084"/>
      <c r="Y19" s="1091" t="s">
        <v>380</v>
      </c>
      <c r="Z19" s="1092"/>
      <c r="AA19" s="1092"/>
      <c r="AB19" s="1092"/>
      <c r="AC19" s="1092"/>
      <c r="AD19" s="1092"/>
      <c r="AE19" s="1092"/>
      <c r="AF19" s="1092"/>
      <c r="AH19" s="268" t="s">
        <v>406</v>
      </c>
      <c r="AI19" s="265" t="e">
        <f>'Granular Characterization Calcs'!B33</f>
        <v>#DIV/0!</v>
      </c>
    </row>
    <row r="20" spans="1:32" ht="12.75">
      <c r="A20" s="1085" t="s">
        <v>364</v>
      </c>
      <c r="B20" s="1091" t="s">
        <v>366</v>
      </c>
      <c r="C20" s="1091"/>
      <c r="D20" s="1111"/>
      <c r="E20" s="1111"/>
      <c r="F20" s="1111"/>
      <c r="G20" s="1111"/>
      <c r="H20" s="1111"/>
      <c r="I20" s="1112"/>
      <c r="M20" s="1085" t="s">
        <v>364</v>
      </c>
      <c r="N20" s="1091" t="s">
        <v>366</v>
      </c>
      <c r="O20" s="1091"/>
      <c r="P20" s="1111"/>
      <c r="Q20" s="1111"/>
      <c r="R20" s="1111"/>
      <c r="S20" s="1111"/>
      <c r="T20" s="1111"/>
      <c r="U20" s="1112"/>
      <c r="Y20" s="1077" t="s">
        <v>367</v>
      </c>
      <c r="Z20" s="1093" t="s">
        <v>193</v>
      </c>
      <c r="AA20" s="1096" t="s">
        <v>377</v>
      </c>
      <c r="AB20" s="1096"/>
      <c r="AC20" s="1096"/>
      <c r="AD20" s="1097" t="s">
        <v>376</v>
      </c>
      <c r="AE20" s="1098"/>
      <c r="AF20" s="1099"/>
    </row>
    <row r="21" spans="1:34" ht="42.75" customHeight="1">
      <c r="A21" s="1086"/>
      <c r="B21" s="1096" t="s">
        <v>33</v>
      </c>
      <c r="C21" s="1096"/>
      <c r="D21" s="1096" t="s">
        <v>28</v>
      </c>
      <c r="E21" s="1096"/>
      <c r="F21" s="1077" t="s">
        <v>368</v>
      </c>
      <c r="G21" s="1096"/>
      <c r="H21" s="1077" t="s">
        <v>369</v>
      </c>
      <c r="I21" s="1078"/>
      <c r="M21" s="1086"/>
      <c r="N21" s="1096" t="s">
        <v>33</v>
      </c>
      <c r="O21" s="1096"/>
      <c r="P21" s="1096" t="s">
        <v>28</v>
      </c>
      <c r="Q21" s="1096"/>
      <c r="R21" s="1077" t="s">
        <v>368</v>
      </c>
      <c r="S21" s="1096"/>
      <c r="T21" s="1077" t="s">
        <v>369</v>
      </c>
      <c r="U21" s="1078"/>
      <c r="Y21" s="1078"/>
      <c r="Z21" s="1094"/>
      <c r="AA21" s="1100" t="s">
        <v>378</v>
      </c>
      <c r="AB21" s="1101"/>
      <c r="AC21" s="1096" t="s">
        <v>240</v>
      </c>
      <c r="AD21" s="1100" t="s">
        <v>395</v>
      </c>
      <c r="AE21" s="1101"/>
      <c r="AF21" s="1096" t="s">
        <v>240</v>
      </c>
      <c r="AH21" s="256" t="s">
        <v>493</v>
      </c>
    </row>
    <row r="22" spans="1:35" ht="29.25" customHeight="1">
      <c r="A22" s="1087"/>
      <c r="B22" s="257" t="s">
        <v>363</v>
      </c>
      <c r="C22" s="257" t="s">
        <v>365</v>
      </c>
      <c r="D22" s="257" t="s">
        <v>363</v>
      </c>
      <c r="E22" s="257" t="s">
        <v>365</v>
      </c>
      <c r="F22" s="257" t="s">
        <v>363</v>
      </c>
      <c r="G22" s="257" t="s">
        <v>365</v>
      </c>
      <c r="H22" s="257" t="s">
        <v>363</v>
      </c>
      <c r="I22" s="257" t="s">
        <v>365</v>
      </c>
      <c r="M22" s="1087"/>
      <c r="N22" s="257" t="s">
        <v>363</v>
      </c>
      <c r="O22" s="257" t="s">
        <v>365</v>
      </c>
      <c r="P22" s="257" t="s">
        <v>363</v>
      </c>
      <c r="Q22" s="257" t="s">
        <v>365</v>
      </c>
      <c r="R22" s="257" t="s">
        <v>363</v>
      </c>
      <c r="S22" s="257" t="s">
        <v>365</v>
      </c>
      <c r="T22" s="257" t="s">
        <v>363</v>
      </c>
      <c r="U22" s="257" t="s">
        <v>365</v>
      </c>
      <c r="Y22" s="1078"/>
      <c r="Z22" s="1095"/>
      <c r="AA22" s="270" t="s">
        <v>225</v>
      </c>
      <c r="AB22" s="270" t="s">
        <v>226</v>
      </c>
      <c r="AC22" s="1096"/>
      <c r="AD22" s="270" t="s">
        <v>225</v>
      </c>
      <c r="AE22" s="270" t="s">
        <v>226</v>
      </c>
      <c r="AF22" s="1096"/>
      <c r="AH22" s="1130" t="str">
        <f>AH11</f>
        <v>Estimation of the number of granules needed to achieve toxicity thresholds</v>
      </c>
      <c r="AI22" s="1131"/>
    </row>
    <row r="23" spans="1:35" ht="12.75">
      <c r="A23" s="261">
        <f>'upper bound Kenaga'!D16</f>
        <v>0</v>
      </c>
      <c r="B23" s="258" t="e">
        <f>'upper bound Kenaga'!$B$27</f>
        <v>#DIV/0!</v>
      </c>
      <c r="C23" s="258" t="e">
        <f>'upper bound Kenaga'!$B77</f>
        <v>#DIV/0!</v>
      </c>
      <c r="D23" s="258" t="e">
        <f>'upper bound Kenaga'!$B$28</f>
        <v>#DIV/0!</v>
      </c>
      <c r="E23" s="258" t="e">
        <f>'upper bound Kenaga'!B78</f>
        <v>#DIV/0!</v>
      </c>
      <c r="F23" s="258" t="e">
        <f>'upper bound Kenaga'!B$29</f>
        <v>#DIV/0!</v>
      </c>
      <c r="G23" s="258" t="e">
        <f>'upper bound Kenaga'!B79</f>
        <v>#DIV/0!</v>
      </c>
      <c r="H23" s="258" t="e">
        <f>'upper bound Kenaga'!B$30</f>
        <v>#DIV/0!</v>
      </c>
      <c r="I23" s="258" t="e">
        <f>'upper bound Kenaga'!$B80</f>
        <v>#DIV/0!</v>
      </c>
      <c r="M23" s="261">
        <f>A23</f>
        <v>0</v>
      </c>
      <c r="N23" s="258" t="e">
        <f>'mean Kenaga'!$B27</f>
        <v>#DIV/0!</v>
      </c>
      <c r="O23" s="266" t="e">
        <f>'mean Kenaga'!$B63</f>
        <v>#DIV/0!</v>
      </c>
      <c r="P23" s="258" t="e">
        <f>'mean Kenaga'!$B28</f>
        <v>#DIV/0!</v>
      </c>
      <c r="Q23" s="266" t="e">
        <f>'mean Kenaga'!$B64</f>
        <v>#DIV/0!</v>
      </c>
      <c r="R23" s="258" t="e">
        <f>'mean Kenaga'!$B29</f>
        <v>#DIV/0!</v>
      </c>
      <c r="S23" s="266" t="e">
        <f>'mean Kenaga'!$B65</f>
        <v>#DIV/0!</v>
      </c>
      <c r="T23" s="258" t="e">
        <f>'mean Kenaga'!$B30</f>
        <v>#DIV/0!</v>
      </c>
      <c r="U23" s="266" t="e">
        <f>'mean Kenaga'!$B66</f>
        <v>#DIV/0!</v>
      </c>
      <c r="Y23" s="261">
        <f>'upper bound Kenaga'!C105</f>
        <v>15</v>
      </c>
      <c r="Z23" s="258">
        <f>Z15</f>
        <v>0</v>
      </c>
      <c r="AA23" s="1075" t="e">
        <f>'LD50 ft-2'!D27:E27</f>
        <v>#VALUE!</v>
      </c>
      <c r="AB23" s="1075" t="e">
        <f>'LD50 ft-2'!I25:J25</f>
        <v>#VALUE!</v>
      </c>
      <c r="AC23" s="1088">
        <f>'LD50 ft-2'!C42</f>
        <v>0</v>
      </c>
      <c r="AD23" s="258" t="str">
        <f>'LD50 ft-2'!D34</f>
        <v>N/A</v>
      </c>
      <c r="AE23" s="258" t="str">
        <f>'LD50 ft-2'!I34</f>
        <v>N/A</v>
      </c>
      <c r="AF23" s="265" t="e">
        <f>'LD50 ft-2'!D49</f>
        <v>#DIV/0!</v>
      </c>
      <c r="AH23" s="274" t="s">
        <v>402</v>
      </c>
      <c r="AI23" s="293" t="e">
        <f>'Granular Characterization Calcs'!C24</f>
        <v>#DIV/0!</v>
      </c>
    </row>
    <row r="24" spans="1:35" ht="25.5">
      <c r="A24" s="1081" t="s">
        <v>371</v>
      </c>
      <c r="B24" s="1081"/>
      <c r="C24" s="1081"/>
      <c r="D24" s="1081"/>
      <c r="E24" s="1081"/>
      <c r="F24" s="1081"/>
      <c r="G24" s="1081"/>
      <c r="H24" s="1081"/>
      <c r="I24" s="1081"/>
      <c r="M24" s="1081" t="s">
        <v>371</v>
      </c>
      <c r="N24" s="1081"/>
      <c r="O24" s="1081"/>
      <c r="P24" s="1081"/>
      <c r="Q24" s="1081"/>
      <c r="R24" s="1081"/>
      <c r="S24" s="1081"/>
      <c r="T24" s="1081"/>
      <c r="U24" s="1081"/>
      <c r="Y24" s="261">
        <f>'upper bound Kenaga'!C106</f>
        <v>35</v>
      </c>
      <c r="Z24" s="258">
        <f>Z16</f>
        <v>0</v>
      </c>
      <c r="AA24" s="1075"/>
      <c r="AB24" s="1076"/>
      <c r="AC24" s="1089"/>
      <c r="AD24" s="258" t="str">
        <f>'LD50 ft-2'!D35</f>
        <v>N/A</v>
      </c>
      <c r="AE24" s="258" t="str">
        <f>'LD50 ft-2'!I35</f>
        <v>N/A</v>
      </c>
      <c r="AF24" s="265" t="e">
        <f>'LD50 ft-2'!D50</f>
        <v>#DIV/0!</v>
      </c>
      <c r="AH24" s="274" t="s">
        <v>416</v>
      </c>
      <c r="AI24" s="293" t="e">
        <f>'Granular Characterization Calcs'!C25</f>
        <v>#DIV/0!</v>
      </c>
    </row>
    <row r="25" spans="25:35" ht="25.5">
      <c r="Y25" s="261">
        <f>'upper bound Kenaga'!C107</f>
        <v>1000</v>
      </c>
      <c r="Z25" s="258">
        <f>Z17</f>
        <v>0</v>
      </c>
      <c r="AA25" s="1075"/>
      <c r="AB25" s="1076"/>
      <c r="AC25" s="1090"/>
      <c r="AD25" s="258" t="str">
        <f>'LD50 ft-2'!D36</f>
        <v>N/A</v>
      </c>
      <c r="AE25" s="258" t="str">
        <f>'LD50 ft-2'!I36</f>
        <v>N/A</v>
      </c>
      <c r="AF25" s="265" t="e">
        <f>'LD50 ft-2'!D51</f>
        <v>#DIV/0!</v>
      </c>
      <c r="AH25" s="274" t="s">
        <v>415</v>
      </c>
      <c r="AI25" s="293" t="e">
        <f>'Granular Characterization Calcs'!C26</f>
        <v>#DIV/0!</v>
      </c>
    </row>
    <row r="26" spans="1:35" ht="30.75" customHeight="1">
      <c r="A26" s="1082" t="s">
        <v>437</v>
      </c>
      <c r="B26" s="1116"/>
      <c r="C26" s="1116"/>
      <c r="D26" s="1116"/>
      <c r="E26" s="1116"/>
      <c r="F26" s="1116"/>
      <c r="G26" s="1116"/>
      <c r="H26" s="1116"/>
      <c r="I26" s="1117"/>
      <c r="M26" s="1082" t="s">
        <v>431</v>
      </c>
      <c r="N26" s="1116"/>
      <c r="O26" s="1116"/>
      <c r="P26" s="1116"/>
      <c r="Q26" s="1116"/>
      <c r="R26" s="1116"/>
      <c r="S26" s="1116"/>
      <c r="T26" s="1116"/>
      <c r="U26" s="1117"/>
      <c r="AH26" s="1132" t="str">
        <f>AH16</f>
        <v>Minimum Foraging Area Needed to Allow for Ingestion of Sufficient Mass of a.i. to Achieve LOC Exceedance </v>
      </c>
      <c r="AI26" s="1133"/>
    </row>
    <row r="27" spans="1:35" ht="26.25">
      <c r="A27" s="1113" t="s">
        <v>373</v>
      </c>
      <c r="B27" s="1091" t="s">
        <v>366</v>
      </c>
      <c r="C27" s="1091"/>
      <c r="D27" s="1111"/>
      <c r="E27" s="1111"/>
      <c r="F27" s="1111"/>
      <c r="G27" s="1111"/>
      <c r="H27" s="1111"/>
      <c r="I27" s="1112"/>
      <c r="M27" s="1113" t="s">
        <v>373</v>
      </c>
      <c r="N27" s="1091" t="s">
        <v>366</v>
      </c>
      <c r="O27" s="1091"/>
      <c r="P27" s="1111"/>
      <c r="Q27" s="1111"/>
      <c r="R27" s="1111"/>
      <c r="S27" s="1111"/>
      <c r="T27" s="1111"/>
      <c r="U27" s="1112"/>
      <c r="AA27" s="292"/>
      <c r="AH27" s="268" t="s">
        <v>404</v>
      </c>
      <c r="AI27" s="265" t="e">
        <f>'Granular Characterization Calcs'!C31</f>
        <v>#DIV/0!</v>
      </c>
    </row>
    <row r="28" spans="1:35" ht="42" customHeight="1">
      <c r="A28" s="1114"/>
      <c r="B28" s="1096" t="s">
        <v>33</v>
      </c>
      <c r="C28" s="1096"/>
      <c r="D28" s="1096" t="s">
        <v>28</v>
      </c>
      <c r="E28" s="1096"/>
      <c r="F28" s="1077" t="s">
        <v>368</v>
      </c>
      <c r="G28" s="1096"/>
      <c r="H28" s="1077" t="s">
        <v>369</v>
      </c>
      <c r="I28" s="1078"/>
      <c r="M28" s="1114"/>
      <c r="N28" s="1096" t="s">
        <v>33</v>
      </c>
      <c r="O28" s="1096"/>
      <c r="P28" s="1096" t="s">
        <v>28</v>
      </c>
      <c r="Q28" s="1096"/>
      <c r="R28" s="1077" t="s">
        <v>368</v>
      </c>
      <c r="S28" s="1096"/>
      <c r="T28" s="1077" t="s">
        <v>369</v>
      </c>
      <c r="U28" s="1078"/>
      <c r="AA28" s="292"/>
      <c r="AH28" s="268" t="s">
        <v>405</v>
      </c>
      <c r="AI28" s="265" t="e">
        <f>'Granular Characterization Calcs'!C32</f>
        <v>#DIV/0!</v>
      </c>
    </row>
    <row r="29" spans="1:35" ht="26.25">
      <c r="A29" s="1115"/>
      <c r="B29" s="257" t="s">
        <v>363</v>
      </c>
      <c r="C29" s="257" t="s">
        <v>365</v>
      </c>
      <c r="D29" s="257" t="s">
        <v>363</v>
      </c>
      <c r="E29" s="257" t="s">
        <v>365</v>
      </c>
      <c r="F29" s="257" t="s">
        <v>363</v>
      </c>
      <c r="G29" s="257" t="s">
        <v>365</v>
      </c>
      <c r="H29" s="257" t="s">
        <v>363</v>
      </c>
      <c r="I29" s="257" t="s">
        <v>365</v>
      </c>
      <c r="M29" s="1115"/>
      <c r="N29" s="257" t="s">
        <v>363</v>
      </c>
      <c r="O29" s="257" t="s">
        <v>365</v>
      </c>
      <c r="P29" s="257" t="s">
        <v>363</v>
      </c>
      <c r="Q29" s="257" t="s">
        <v>365</v>
      </c>
      <c r="R29" s="257" t="s">
        <v>363</v>
      </c>
      <c r="S29" s="257" t="s">
        <v>365</v>
      </c>
      <c r="T29" s="257" t="s">
        <v>363</v>
      </c>
      <c r="U29" s="257" t="s">
        <v>365</v>
      </c>
      <c r="AA29" s="292"/>
      <c r="AH29" s="268" t="s">
        <v>406</v>
      </c>
      <c r="AI29" s="265" t="e">
        <f>'Granular Characterization Calcs'!C33</f>
        <v>#DIV/0!</v>
      </c>
    </row>
    <row r="30" spans="1:27" ht="15.75">
      <c r="A30" s="261">
        <f>'upper bound Kenaga'!D18</f>
        <v>0</v>
      </c>
      <c r="B30" s="258" t="e">
        <f>'upper bound Kenaga'!B$27</f>
        <v>#DIV/0!</v>
      </c>
      <c r="C30" s="258" t="e">
        <f>'upper bound Kenaga'!C77</f>
        <v>#DIV/0!</v>
      </c>
      <c r="D30" s="258" t="e">
        <f>'upper bound Kenaga'!B$28</f>
        <v>#DIV/0!</v>
      </c>
      <c r="E30" s="258" t="e">
        <f>'upper bound Kenaga'!C78</f>
        <v>#DIV/0!</v>
      </c>
      <c r="F30" s="258" t="e">
        <f>'upper bound Kenaga'!B$29</f>
        <v>#DIV/0!</v>
      </c>
      <c r="G30" s="258" t="e">
        <f>'upper bound Kenaga'!C79</f>
        <v>#DIV/0!</v>
      </c>
      <c r="H30" s="258" t="e">
        <f>'upper bound Kenaga'!B$30</f>
        <v>#DIV/0!</v>
      </c>
      <c r="I30" s="258" t="e">
        <f>'upper bound Kenaga'!C80</f>
        <v>#DIV/0!</v>
      </c>
      <c r="M30" s="261">
        <f>A30</f>
        <v>0</v>
      </c>
      <c r="N30" s="258" t="e">
        <f>N23</f>
        <v>#DIV/0!</v>
      </c>
      <c r="O30" s="266" t="e">
        <f>N30/M$30</f>
        <v>#DIV/0!</v>
      </c>
      <c r="P30" s="258" t="e">
        <f>P23</f>
        <v>#DIV/0!</v>
      </c>
      <c r="Q30" s="266" t="e">
        <f>P30/M$30</f>
        <v>#DIV/0!</v>
      </c>
      <c r="R30" s="258" t="e">
        <f>R23</f>
        <v>#DIV/0!</v>
      </c>
      <c r="S30" s="266" t="e">
        <f>R30/M$30</f>
        <v>#DIV/0!</v>
      </c>
      <c r="T30" s="258" t="e">
        <f>T23</f>
        <v>#DIV/0!</v>
      </c>
      <c r="U30" s="266" t="e">
        <f>T30/M$30</f>
        <v>#DIV/0!</v>
      </c>
      <c r="AA30" s="292"/>
    </row>
    <row r="31" spans="1:27" ht="15.75">
      <c r="A31" s="1081" t="s">
        <v>372</v>
      </c>
      <c r="B31" s="1081"/>
      <c r="C31" s="1081"/>
      <c r="D31" s="1081"/>
      <c r="E31" s="1081"/>
      <c r="F31" s="1081"/>
      <c r="G31" s="1081"/>
      <c r="H31" s="1081"/>
      <c r="I31" s="1081"/>
      <c r="M31" s="1081" t="s">
        <v>372</v>
      </c>
      <c r="N31" s="1081"/>
      <c r="O31" s="1081"/>
      <c r="P31" s="1081"/>
      <c r="Q31" s="1081"/>
      <c r="R31" s="1081"/>
      <c r="S31" s="1081"/>
      <c r="T31" s="1081"/>
      <c r="U31" s="1081"/>
      <c r="AA31" s="292"/>
    </row>
    <row r="32" ht="15.75">
      <c r="AA32" s="292"/>
    </row>
    <row r="33" spans="1:27" ht="27" customHeight="1">
      <c r="A33" s="1082" t="s">
        <v>438</v>
      </c>
      <c r="B33" s="1116"/>
      <c r="C33" s="1116"/>
      <c r="D33" s="1116"/>
      <c r="E33" s="1116"/>
      <c r="F33" s="1116"/>
      <c r="G33" s="1116"/>
      <c r="H33" s="1116"/>
      <c r="I33" s="1116"/>
      <c r="J33" s="1106"/>
      <c r="K33" s="1123"/>
      <c r="L33" s="1124"/>
      <c r="M33" s="1091" t="s">
        <v>394</v>
      </c>
      <c r="N33" s="1111"/>
      <c r="O33" s="1111"/>
      <c r="P33" s="1111"/>
      <c r="Q33" s="1111"/>
      <c r="R33" s="1111"/>
      <c r="S33" s="1111"/>
      <c r="T33" s="1111"/>
      <c r="U33" s="1111"/>
      <c r="V33" s="1112"/>
      <c r="W33" s="797"/>
      <c r="X33" s="797"/>
      <c r="AA33" s="292"/>
    </row>
    <row r="34" spans="1:27" ht="15.75">
      <c r="A34" s="1102" t="s">
        <v>367</v>
      </c>
      <c r="B34" s="1102" t="s">
        <v>421</v>
      </c>
      <c r="C34" s="1125" t="s">
        <v>366</v>
      </c>
      <c r="D34" s="1126"/>
      <c r="E34" s="1127"/>
      <c r="F34" s="1127"/>
      <c r="G34" s="1127"/>
      <c r="H34" s="1127"/>
      <c r="I34" s="1127"/>
      <c r="J34" s="1128"/>
      <c r="K34" s="1123"/>
      <c r="L34" s="1124"/>
      <c r="M34" s="1102" t="s">
        <v>367</v>
      </c>
      <c r="N34" s="1102" t="s">
        <v>370</v>
      </c>
      <c r="O34" s="1091" t="s">
        <v>366</v>
      </c>
      <c r="P34" s="1091"/>
      <c r="Q34" s="1111"/>
      <c r="R34" s="1111"/>
      <c r="S34" s="1111"/>
      <c r="T34" s="1111"/>
      <c r="U34" s="1111"/>
      <c r="V34" s="1112"/>
      <c r="W34" s="797"/>
      <c r="X34" s="797"/>
      <c r="AA34" s="292"/>
    </row>
    <row r="35" spans="1:27" ht="43.5" customHeight="1">
      <c r="A35" s="1103"/>
      <c r="B35" s="1103"/>
      <c r="C35" s="1096" t="s">
        <v>33</v>
      </c>
      <c r="D35" s="1096"/>
      <c r="E35" s="1096" t="s">
        <v>28</v>
      </c>
      <c r="F35" s="1096"/>
      <c r="G35" s="1077" t="s">
        <v>368</v>
      </c>
      <c r="H35" s="1096"/>
      <c r="I35" s="1077" t="s">
        <v>369</v>
      </c>
      <c r="J35" s="1078"/>
      <c r="K35" s="1097" t="s">
        <v>419</v>
      </c>
      <c r="L35" s="1099"/>
      <c r="M35" s="1103"/>
      <c r="N35" s="1103"/>
      <c r="O35" s="1096" t="s">
        <v>33</v>
      </c>
      <c r="P35" s="1096"/>
      <c r="Q35" s="1096" t="s">
        <v>28</v>
      </c>
      <c r="R35" s="1096"/>
      <c r="S35" s="1077" t="s">
        <v>368</v>
      </c>
      <c r="T35" s="1096"/>
      <c r="U35" s="1077" t="s">
        <v>369</v>
      </c>
      <c r="V35" s="1078"/>
      <c r="W35" s="1096" t="s">
        <v>419</v>
      </c>
      <c r="X35" s="1129"/>
      <c r="Y35" s="292"/>
      <c r="Z35" s="292"/>
      <c r="AA35" s="292"/>
    </row>
    <row r="36" spans="1:24" ht="12.75">
      <c r="A36" s="1103"/>
      <c r="B36" s="1103"/>
      <c r="C36" s="257" t="s">
        <v>363</v>
      </c>
      <c r="D36" s="257" t="s">
        <v>365</v>
      </c>
      <c r="E36" s="257" t="s">
        <v>363</v>
      </c>
      <c r="F36" s="257" t="s">
        <v>365</v>
      </c>
      <c r="G36" s="257" t="s">
        <v>363</v>
      </c>
      <c r="H36" s="257" t="s">
        <v>365</v>
      </c>
      <c r="I36" s="257" t="s">
        <v>363</v>
      </c>
      <c r="J36" s="257" t="s">
        <v>365</v>
      </c>
      <c r="K36" s="257" t="s">
        <v>363</v>
      </c>
      <c r="L36" s="257" t="s">
        <v>365</v>
      </c>
      <c r="M36" s="1103"/>
      <c r="N36" s="1103"/>
      <c r="O36" s="257" t="s">
        <v>363</v>
      </c>
      <c r="P36" s="257" t="s">
        <v>365</v>
      </c>
      <c r="Q36" s="257" t="s">
        <v>363</v>
      </c>
      <c r="R36" s="257" t="s">
        <v>365</v>
      </c>
      <c r="S36" s="257" t="s">
        <v>363</v>
      </c>
      <c r="T36" s="257" t="s">
        <v>365</v>
      </c>
      <c r="U36" s="257" t="s">
        <v>363</v>
      </c>
      <c r="V36" s="257" t="s">
        <v>365</v>
      </c>
      <c r="W36" s="257" t="s">
        <v>363</v>
      </c>
      <c r="X36" s="257" t="s">
        <v>365</v>
      </c>
    </row>
    <row r="37" spans="1:24" ht="12.75">
      <c r="A37" s="261">
        <f>'upper bound Kenaga'!C96</f>
        <v>15</v>
      </c>
      <c r="B37" s="258">
        <f>'upper bound Kenaga'!D$105</f>
        <v>0</v>
      </c>
      <c r="C37" s="258" t="e">
        <f>'upper bound Kenaga'!B115</f>
        <v>#DIV/0!</v>
      </c>
      <c r="D37" s="258" t="e">
        <f>'upper bound Kenaga'!B$131</f>
        <v>#DIV/0!</v>
      </c>
      <c r="E37" s="258" t="e">
        <f>'upper bound Kenaga'!B116</f>
        <v>#DIV/0!</v>
      </c>
      <c r="F37" s="258" t="e">
        <f>'upper bound Kenaga'!B$132</f>
        <v>#DIV/0!</v>
      </c>
      <c r="G37" s="258" t="e">
        <f>'upper bound Kenaga'!B117</f>
        <v>#DIV/0!</v>
      </c>
      <c r="H37" s="258" t="e">
        <f>'upper bound Kenaga'!B$133</f>
        <v>#DIV/0!</v>
      </c>
      <c r="I37" s="258" t="e">
        <f>'upper bound Kenaga'!B118</f>
        <v>#DIV/0!</v>
      </c>
      <c r="J37" s="258" t="e">
        <f>'upper bound Kenaga'!B$134</f>
        <v>#DIV/0!</v>
      </c>
      <c r="K37" s="258" t="e">
        <f>'upper bound Kenaga'!$E$118</f>
        <v>#DIV/0!</v>
      </c>
      <c r="L37" s="258" t="e">
        <f>'upper bound Kenaga'!$B$135</f>
        <v>#DIV/0!</v>
      </c>
      <c r="M37" s="261">
        <f>'upper bound Kenaga'!C96</f>
        <v>15</v>
      </c>
      <c r="N37" s="258">
        <f>B37</f>
        <v>0</v>
      </c>
      <c r="O37" s="258" t="e">
        <f>'mean Kenaga'!B$107</f>
        <v>#DIV/0!</v>
      </c>
      <c r="P37" s="266" t="e">
        <f>O37/N37</f>
        <v>#DIV/0!</v>
      </c>
      <c r="Q37" s="258" t="e">
        <f>'mean Kenaga'!B$108</f>
        <v>#DIV/0!</v>
      </c>
      <c r="R37" s="266" t="e">
        <f>Q37/N37</f>
        <v>#DIV/0!</v>
      </c>
      <c r="S37" s="258" t="e">
        <f>'mean Kenaga'!B$109</f>
        <v>#DIV/0!</v>
      </c>
      <c r="T37" s="266" t="e">
        <f>S37/N37</f>
        <v>#DIV/0!</v>
      </c>
      <c r="U37" s="258" t="e">
        <f>'mean Kenaga'!B$110</f>
        <v>#DIV/0!</v>
      </c>
      <c r="V37" s="266" t="e">
        <f>U37/N37</f>
        <v>#DIV/0!</v>
      </c>
      <c r="W37" s="258" t="e">
        <f>'mean Kenaga'!E110</f>
        <v>#DIV/0!</v>
      </c>
      <c r="X37" s="258" t="e">
        <f>'mean Kenaga'!B119</f>
        <v>#DIV/0!</v>
      </c>
    </row>
    <row r="38" spans="1:24" ht="12.75">
      <c r="A38" s="261">
        <f>'upper bound Kenaga'!C97</f>
        <v>35</v>
      </c>
      <c r="B38" s="258">
        <f>'upper bound Kenaga'!D$106</f>
        <v>0</v>
      </c>
      <c r="C38" s="258" t="e">
        <f>'upper bound Kenaga'!C115</f>
        <v>#DIV/0!</v>
      </c>
      <c r="D38" s="258" t="e">
        <f>'upper bound Kenaga'!D$131</f>
        <v>#DIV/0!</v>
      </c>
      <c r="E38" s="258" t="e">
        <f>'upper bound Kenaga'!C116</f>
        <v>#DIV/0!</v>
      </c>
      <c r="F38" s="258" t="e">
        <f>'upper bound Kenaga'!D$132</f>
        <v>#DIV/0!</v>
      </c>
      <c r="G38" s="258" t="e">
        <f>'upper bound Kenaga'!C117</f>
        <v>#DIV/0!</v>
      </c>
      <c r="H38" s="258" t="e">
        <f>'upper bound Kenaga'!D$133</f>
        <v>#DIV/0!</v>
      </c>
      <c r="I38" s="258" t="e">
        <f>'upper bound Kenaga'!C118</f>
        <v>#DIV/0!</v>
      </c>
      <c r="J38" s="258" t="e">
        <f>'upper bound Kenaga'!D$134</f>
        <v>#DIV/0!</v>
      </c>
      <c r="K38" s="258" t="e">
        <f>'upper bound Kenaga'!$F$118</f>
        <v>#DIV/0!</v>
      </c>
      <c r="L38" s="258" t="e">
        <f>'upper bound Kenaga'!$D$135</f>
        <v>#DIV/0!</v>
      </c>
      <c r="M38" s="261">
        <f>'upper bound Kenaga'!C97</f>
        <v>35</v>
      </c>
      <c r="N38" s="258">
        <f>B38</f>
        <v>0</v>
      </c>
      <c r="O38" s="258" t="e">
        <f>'mean Kenaga'!C$107</f>
        <v>#DIV/0!</v>
      </c>
      <c r="P38" s="266" t="e">
        <f>O38/N38</f>
        <v>#DIV/0!</v>
      </c>
      <c r="Q38" s="258" t="e">
        <f>'mean Kenaga'!C$108</f>
        <v>#DIV/0!</v>
      </c>
      <c r="R38" s="266" t="e">
        <f>Q38/N38</f>
        <v>#DIV/0!</v>
      </c>
      <c r="S38" s="258" t="e">
        <f>'mean Kenaga'!C$109</f>
        <v>#DIV/0!</v>
      </c>
      <c r="T38" s="266" t="e">
        <f>S38/N38</f>
        <v>#DIV/0!</v>
      </c>
      <c r="U38" s="258" t="e">
        <f>'mean Kenaga'!C$110</f>
        <v>#DIV/0!</v>
      </c>
      <c r="V38" s="266" t="e">
        <f>U38/N38</f>
        <v>#DIV/0!</v>
      </c>
      <c r="W38" s="258" t="e">
        <f>'mean Kenaga'!F110</f>
        <v>#DIV/0!</v>
      </c>
      <c r="X38" s="258" t="e">
        <f>'mean Kenaga'!D119</f>
        <v>#DIV/0!</v>
      </c>
    </row>
    <row r="39" spans="1:24" ht="12.75">
      <c r="A39" s="261">
        <f>'upper bound Kenaga'!C98</f>
        <v>1000</v>
      </c>
      <c r="B39" s="258">
        <f>'upper bound Kenaga'!D$107</f>
        <v>0</v>
      </c>
      <c r="C39" s="258" t="e">
        <f>'upper bound Kenaga'!D115</f>
        <v>#DIV/0!</v>
      </c>
      <c r="D39" s="258" t="e">
        <f>'upper bound Kenaga'!F$131</f>
        <v>#DIV/0!</v>
      </c>
      <c r="E39" s="258" t="e">
        <f>'upper bound Kenaga'!D116</f>
        <v>#DIV/0!</v>
      </c>
      <c r="F39" s="258" t="e">
        <f>'upper bound Kenaga'!F$132</f>
        <v>#DIV/0!</v>
      </c>
      <c r="G39" s="258" t="e">
        <f>'upper bound Kenaga'!D117</f>
        <v>#DIV/0!</v>
      </c>
      <c r="H39" s="258" t="e">
        <f>'upper bound Kenaga'!F$133</f>
        <v>#DIV/0!</v>
      </c>
      <c r="I39" s="258" t="e">
        <f>'upper bound Kenaga'!D118</f>
        <v>#DIV/0!</v>
      </c>
      <c r="J39" s="258" t="e">
        <f>'upper bound Kenaga'!F$134</f>
        <v>#DIV/0!</v>
      </c>
      <c r="K39" s="258" t="e">
        <f>'upper bound Kenaga'!$G$118</f>
        <v>#DIV/0!</v>
      </c>
      <c r="L39" s="258" t="e">
        <f>'upper bound Kenaga'!$F$135</f>
        <v>#DIV/0!</v>
      </c>
      <c r="M39" s="261">
        <f>'upper bound Kenaga'!C98</f>
        <v>1000</v>
      </c>
      <c r="N39" s="258">
        <f>B39</f>
        <v>0</v>
      </c>
      <c r="O39" s="258" t="e">
        <f>'mean Kenaga'!D$107</f>
        <v>#DIV/0!</v>
      </c>
      <c r="P39" s="266" t="e">
        <f>O39/N39</f>
        <v>#DIV/0!</v>
      </c>
      <c r="Q39" s="258" t="e">
        <f>'mean Kenaga'!D$108</f>
        <v>#DIV/0!</v>
      </c>
      <c r="R39" s="266" t="e">
        <f>Q39/N39</f>
        <v>#DIV/0!</v>
      </c>
      <c r="S39" s="258" t="e">
        <f>'mean Kenaga'!D$109</f>
        <v>#DIV/0!</v>
      </c>
      <c r="T39" s="266" t="e">
        <f>S39/N39</f>
        <v>#DIV/0!</v>
      </c>
      <c r="U39" s="258" t="e">
        <f>'mean Kenaga'!D$110</f>
        <v>#DIV/0!</v>
      </c>
      <c r="V39" s="266" t="e">
        <f>U39/N39</f>
        <v>#DIV/0!</v>
      </c>
      <c r="W39" s="258" t="e">
        <f>'mean Kenaga'!G110</f>
        <v>#DIV/0!</v>
      </c>
      <c r="X39" s="258" t="e">
        <f>'mean Kenaga'!F119</f>
        <v>#DIV/0!</v>
      </c>
    </row>
    <row r="40" spans="1:23" ht="12.75">
      <c r="A40" s="271"/>
      <c r="B40" s="272"/>
      <c r="C40" s="272"/>
      <c r="D40" s="272"/>
      <c r="E40" s="272"/>
      <c r="F40" s="272"/>
      <c r="G40" s="272"/>
      <c r="H40" s="272"/>
      <c r="I40" s="272"/>
      <c r="J40" s="272"/>
      <c r="K40" s="272"/>
      <c r="M40" s="271"/>
      <c r="N40" s="272"/>
      <c r="O40" s="272"/>
      <c r="P40" s="273"/>
      <c r="Q40" s="272"/>
      <c r="R40" s="273"/>
      <c r="S40" s="272"/>
      <c r="T40" s="273"/>
      <c r="U40" s="272"/>
      <c r="V40" s="273"/>
      <c r="W40" s="273"/>
    </row>
    <row r="41" spans="1:23" ht="12.75">
      <c r="A41" s="271"/>
      <c r="B41" s="272"/>
      <c r="C41" s="272"/>
      <c r="D41" s="272"/>
      <c r="E41" s="272"/>
      <c r="F41" s="272"/>
      <c r="G41" s="272"/>
      <c r="H41" s="272"/>
      <c r="I41" s="272"/>
      <c r="J41" s="272"/>
      <c r="K41" s="272"/>
      <c r="M41" s="271"/>
      <c r="N41" s="272"/>
      <c r="O41" s="272"/>
      <c r="P41" s="273"/>
      <c r="Q41" s="272"/>
      <c r="R41" s="273"/>
      <c r="S41" s="272"/>
      <c r="T41" s="273"/>
      <c r="U41" s="272"/>
      <c r="V41" s="273"/>
      <c r="W41" s="273"/>
    </row>
    <row r="42" spans="1:23" ht="31.5" customHeight="1">
      <c r="A42" s="1082" t="s">
        <v>439</v>
      </c>
      <c r="B42" s="1116"/>
      <c r="C42" s="1116"/>
      <c r="D42" s="1116"/>
      <c r="E42" s="1116"/>
      <c r="F42" s="1116"/>
      <c r="G42" s="1116"/>
      <c r="H42" s="1116"/>
      <c r="I42" s="1117"/>
      <c r="J42" s="272"/>
      <c r="K42" s="272"/>
      <c r="M42" s="1082" t="s">
        <v>432</v>
      </c>
      <c r="N42" s="1116"/>
      <c r="O42" s="1116"/>
      <c r="P42" s="1116"/>
      <c r="Q42" s="1116"/>
      <c r="R42" s="1116"/>
      <c r="S42" s="1116"/>
      <c r="T42" s="1116"/>
      <c r="U42" s="1117"/>
      <c r="V42" s="273"/>
      <c r="W42" s="273"/>
    </row>
    <row r="43" spans="1:23" ht="12.75" customHeight="1">
      <c r="A43" s="1113" t="s">
        <v>420</v>
      </c>
      <c r="B43" s="1091" t="s">
        <v>366</v>
      </c>
      <c r="C43" s="1091"/>
      <c r="D43" s="1111"/>
      <c r="E43" s="1111"/>
      <c r="F43" s="1111"/>
      <c r="G43" s="1111"/>
      <c r="H43" s="1111"/>
      <c r="I43" s="1112"/>
      <c r="J43" s="272"/>
      <c r="K43" s="272"/>
      <c r="M43" s="1113" t="s">
        <v>420</v>
      </c>
      <c r="N43" s="1091" t="s">
        <v>366</v>
      </c>
      <c r="O43" s="1091"/>
      <c r="P43" s="1111"/>
      <c r="Q43" s="1111"/>
      <c r="R43" s="1111"/>
      <c r="S43" s="1111"/>
      <c r="T43" s="1111"/>
      <c r="U43" s="1112"/>
      <c r="V43" s="273"/>
      <c r="W43" s="273"/>
    </row>
    <row r="44" spans="1:23" ht="46.5" customHeight="1">
      <c r="A44" s="1114"/>
      <c r="B44" s="1096" t="s">
        <v>33</v>
      </c>
      <c r="C44" s="1096"/>
      <c r="D44" s="1096" t="s">
        <v>28</v>
      </c>
      <c r="E44" s="1096"/>
      <c r="F44" s="1077" t="s">
        <v>368</v>
      </c>
      <c r="G44" s="1096"/>
      <c r="H44" s="1077" t="s">
        <v>369</v>
      </c>
      <c r="I44" s="1078"/>
      <c r="J44" s="272"/>
      <c r="K44" s="272"/>
      <c r="M44" s="1114"/>
      <c r="N44" s="1096" t="s">
        <v>33</v>
      </c>
      <c r="O44" s="1096"/>
      <c r="P44" s="1096" t="s">
        <v>28</v>
      </c>
      <c r="Q44" s="1096"/>
      <c r="R44" s="1077" t="s">
        <v>368</v>
      </c>
      <c r="S44" s="1096"/>
      <c r="T44" s="1077" t="s">
        <v>369</v>
      </c>
      <c r="U44" s="1078"/>
      <c r="V44" s="273"/>
      <c r="W44" s="273"/>
    </row>
    <row r="45" spans="1:23" ht="12.75">
      <c r="A45" s="1115"/>
      <c r="B45" s="257" t="s">
        <v>363</v>
      </c>
      <c r="C45" s="257" t="s">
        <v>365</v>
      </c>
      <c r="D45" s="257" t="s">
        <v>363</v>
      </c>
      <c r="E45" s="257" t="s">
        <v>365</v>
      </c>
      <c r="F45" s="257" t="s">
        <v>363</v>
      </c>
      <c r="G45" s="257" t="s">
        <v>365</v>
      </c>
      <c r="H45" s="257" t="s">
        <v>363</v>
      </c>
      <c r="I45" s="257" t="s">
        <v>365</v>
      </c>
      <c r="J45" s="272"/>
      <c r="K45" s="272"/>
      <c r="M45" s="1115"/>
      <c r="N45" s="257" t="s">
        <v>363</v>
      </c>
      <c r="O45" s="257" t="s">
        <v>365</v>
      </c>
      <c r="P45" s="257" t="s">
        <v>363</v>
      </c>
      <c r="Q45" s="257" t="s">
        <v>365</v>
      </c>
      <c r="R45" s="257" t="s">
        <v>363</v>
      </c>
      <c r="S45" s="257" t="s">
        <v>365</v>
      </c>
      <c r="T45" s="257" t="s">
        <v>363</v>
      </c>
      <c r="U45" s="257" t="s">
        <v>365</v>
      </c>
      <c r="V45" s="273"/>
      <c r="W45" s="273"/>
    </row>
    <row r="46" spans="1:23" ht="27.75" customHeight="1">
      <c r="A46" s="261">
        <f>INPUTS!C34</f>
        <v>0</v>
      </c>
      <c r="B46" s="258" t="e">
        <f>'upper bound Kenaga'!B27</f>
        <v>#DIV/0!</v>
      </c>
      <c r="C46" s="258" t="e">
        <f>'upper bound Kenaga'!B140</f>
        <v>#DIV/0!</v>
      </c>
      <c r="D46" s="258" t="e">
        <f>'upper bound Kenaga'!B28</f>
        <v>#DIV/0!</v>
      </c>
      <c r="E46" s="258" t="e">
        <f>'upper bound Kenaga'!B141</f>
        <v>#DIV/0!</v>
      </c>
      <c r="F46" s="258" t="e">
        <f>'upper bound Kenaga'!B29</f>
        <v>#DIV/0!</v>
      </c>
      <c r="G46" s="258" t="e">
        <f>'upper bound Kenaga'!B142</f>
        <v>#DIV/0!</v>
      </c>
      <c r="H46" s="258" t="e">
        <f>'upper bound Kenaga'!B$30</f>
        <v>#DIV/0!</v>
      </c>
      <c r="I46" s="258" t="e">
        <f>'upper bound Kenaga'!B143</f>
        <v>#DIV/0!</v>
      </c>
      <c r="J46" s="272"/>
      <c r="K46" s="272"/>
      <c r="M46" s="261">
        <f>INPUTS!C34</f>
        <v>0</v>
      </c>
      <c r="N46" s="258" t="e">
        <f>N30</f>
        <v>#DIV/0!</v>
      </c>
      <c r="O46" s="258" t="e">
        <f>N46/M46</f>
        <v>#DIV/0!</v>
      </c>
      <c r="P46" s="258" t="e">
        <f>P30</f>
        <v>#DIV/0!</v>
      </c>
      <c r="Q46" s="258" t="e">
        <f>P46/M46</f>
        <v>#DIV/0!</v>
      </c>
      <c r="R46" s="258" t="e">
        <f>R30</f>
        <v>#DIV/0!</v>
      </c>
      <c r="S46" s="258" t="e">
        <f>R46/M46</f>
        <v>#DIV/0!</v>
      </c>
      <c r="T46" s="258" t="e">
        <f>T30</f>
        <v>#DIV/0!</v>
      </c>
      <c r="U46" s="258" t="e">
        <f>T46/M46</f>
        <v>#DIV/0!</v>
      </c>
      <c r="V46" s="273"/>
      <c r="W46" s="273"/>
    </row>
    <row r="47" spans="1:23" ht="22.5" customHeight="1">
      <c r="A47" s="1081" t="s">
        <v>372</v>
      </c>
      <c r="B47" s="1081"/>
      <c r="C47" s="1081"/>
      <c r="D47" s="1081"/>
      <c r="E47" s="1081"/>
      <c r="F47" s="1081"/>
      <c r="G47" s="1081"/>
      <c r="H47" s="1081"/>
      <c r="I47" s="1081"/>
      <c r="J47" s="272"/>
      <c r="K47" s="272"/>
      <c r="M47" s="1081" t="s">
        <v>372</v>
      </c>
      <c r="N47" s="1081"/>
      <c r="O47" s="1081"/>
      <c r="P47" s="1081"/>
      <c r="Q47" s="1081"/>
      <c r="R47" s="1081"/>
      <c r="S47" s="1081"/>
      <c r="T47" s="1081"/>
      <c r="U47" s="1081"/>
      <c r="V47" s="273"/>
      <c r="W47" s="273"/>
    </row>
    <row r="48" spans="1:23" ht="12.75">
      <c r="A48" s="271"/>
      <c r="B48" s="272"/>
      <c r="C48" s="272"/>
      <c r="D48" s="272"/>
      <c r="E48" s="272"/>
      <c r="F48" s="272"/>
      <c r="G48" s="272"/>
      <c r="H48" s="272"/>
      <c r="I48" s="272"/>
      <c r="J48" s="272"/>
      <c r="K48" s="272"/>
      <c r="M48" s="271"/>
      <c r="N48" s="272"/>
      <c r="O48" s="272"/>
      <c r="P48" s="273"/>
      <c r="Q48" s="272"/>
      <c r="R48" s="273"/>
      <c r="S48" s="272"/>
      <c r="T48" s="273"/>
      <c r="U48" s="272"/>
      <c r="V48" s="273"/>
      <c r="W48" s="273"/>
    </row>
    <row r="49" spans="1:23" ht="12.75" customHeight="1">
      <c r="A49" s="271"/>
      <c r="B49" s="272"/>
      <c r="C49" s="272"/>
      <c r="D49" s="272"/>
      <c r="E49" s="272"/>
      <c r="F49" s="272"/>
      <c r="G49" s="272"/>
      <c r="H49" s="272"/>
      <c r="I49" s="272"/>
      <c r="J49" s="272"/>
      <c r="K49" s="272"/>
      <c r="M49" s="271"/>
      <c r="N49" s="272"/>
      <c r="O49" s="272"/>
      <c r="P49" s="273"/>
      <c r="Q49" s="272"/>
      <c r="R49" s="273"/>
      <c r="S49" s="272"/>
      <c r="T49" s="273"/>
      <c r="U49" s="272"/>
      <c r="V49" s="273"/>
      <c r="W49" s="273"/>
    </row>
    <row r="50" spans="1:21" ht="28.5" customHeight="1">
      <c r="A50" s="1082" t="s">
        <v>440</v>
      </c>
      <c r="B50" s="1083"/>
      <c r="C50" s="1083"/>
      <c r="D50" s="1083"/>
      <c r="E50" s="1083"/>
      <c r="F50" s="1083"/>
      <c r="G50" s="1083"/>
      <c r="H50" s="1083"/>
      <c r="I50" s="1084"/>
      <c r="M50" s="1082" t="s">
        <v>433</v>
      </c>
      <c r="N50" s="1106"/>
      <c r="O50" s="1106"/>
      <c r="P50" s="1106"/>
      <c r="Q50" s="1106"/>
      <c r="R50" s="1106"/>
      <c r="S50" s="1106"/>
      <c r="T50" s="1106"/>
      <c r="U50" s="1107"/>
    </row>
    <row r="51" spans="1:35" ht="12.75">
      <c r="A51" s="1108" t="s">
        <v>373</v>
      </c>
      <c r="B51" s="1091" t="s">
        <v>366</v>
      </c>
      <c r="C51" s="1091"/>
      <c r="D51" s="1111"/>
      <c r="E51" s="1111"/>
      <c r="F51" s="1111"/>
      <c r="G51" s="1111"/>
      <c r="H51" s="1111"/>
      <c r="I51" s="1112"/>
      <c r="M51" s="1108" t="s">
        <v>373</v>
      </c>
      <c r="N51" s="1091" t="s">
        <v>366</v>
      </c>
      <c r="O51" s="1091"/>
      <c r="P51" s="1111"/>
      <c r="Q51" s="1111"/>
      <c r="R51" s="1111"/>
      <c r="S51" s="1111"/>
      <c r="T51" s="1111"/>
      <c r="U51" s="1112"/>
      <c r="AI51" s="262"/>
    </row>
    <row r="52" spans="1:21" ht="12.75" customHeight="1">
      <c r="A52" s="1109"/>
      <c r="B52" s="1096" t="s">
        <v>33</v>
      </c>
      <c r="C52" s="1096"/>
      <c r="D52" s="1096" t="s">
        <v>28</v>
      </c>
      <c r="E52" s="1096"/>
      <c r="F52" s="1077" t="s">
        <v>368</v>
      </c>
      <c r="G52" s="1096"/>
      <c r="H52" s="1077" t="s">
        <v>369</v>
      </c>
      <c r="I52" s="1078"/>
      <c r="M52" s="1109"/>
      <c r="N52" s="1096" t="s">
        <v>33</v>
      </c>
      <c r="O52" s="1096"/>
      <c r="P52" s="1096" t="s">
        <v>28</v>
      </c>
      <c r="Q52" s="1096"/>
      <c r="R52" s="1077" t="s">
        <v>368</v>
      </c>
      <c r="S52" s="1096"/>
      <c r="T52" s="1077" t="s">
        <v>369</v>
      </c>
      <c r="U52" s="1078"/>
    </row>
    <row r="53" spans="1:21" ht="12.75">
      <c r="A53" s="1110"/>
      <c r="B53" s="257" t="s">
        <v>363</v>
      </c>
      <c r="C53" s="257" t="s">
        <v>365</v>
      </c>
      <c r="D53" s="257" t="s">
        <v>363</v>
      </c>
      <c r="E53" s="257" t="s">
        <v>365</v>
      </c>
      <c r="F53" s="257" t="s">
        <v>363</v>
      </c>
      <c r="G53" s="257" t="s">
        <v>365</v>
      </c>
      <c r="H53" s="257" t="s">
        <v>363</v>
      </c>
      <c r="I53" s="257" t="s">
        <v>365</v>
      </c>
      <c r="M53" s="1110"/>
      <c r="N53" s="257" t="s">
        <v>363</v>
      </c>
      <c r="O53" s="257" t="s">
        <v>365</v>
      </c>
      <c r="P53" s="257" t="s">
        <v>363</v>
      </c>
      <c r="Q53" s="257" t="s">
        <v>365</v>
      </c>
      <c r="R53" s="257" t="s">
        <v>363</v>
      </c>
      <c r="S53" s="257" t="s">
        <v>365</v>
      </c>
      <c r="T53" s="257" t="s">
        <v>363</v>
      </c>
      <c r="U53" s="257" t="s">
        <v>365</v>
      </c>
    </row>
    <row r="54" spans="1:21" ht="12.75">
      <c r="A54" s="261">
        <f>'upper bound Kenaga'!D23</f>
        <v>0</v>
      </c>
      <c r="B54" s="258" t="e">
        <f>'upper bound Kenaga'!B$27</f>
        <v>#DIV/0!</v>
      </c>
      <c r="C54" s="258" t="e">
        <f>'upper bound Kenaga'!C140</f>
        <v>#DIV/0!</v>
      </c>
      <c r="D54" s="258" t="e">
        <f>'upper bound Kenaga'!B$28</f>
        <v>#DIV/0!</v>
      </c>
      <c r="E54" s="258" t="e">
        <f>'upper bound Kenaga'!C141</f>
        <v>#DIV/0!</v>
      </c>
      <c r="F54" s="258" t="e">
        <f>'upper bound Kenaga'!B$29</f>
        <v>#DIV/0!</v>
      </c>
      <c r="G54" s="258" t="e">
        <f>'upper bound Kenaga'!C142</f>
        <v>#DIV/0!</v>
      </c>
      <c r="H54" s="258" t="e">
        <f>'upper bound Kenaga'!B$30</f>
        <v>#DIV/0!</v>
      </c>
      <c r="I54" s="258" t="e">
        <f>'upper bound Kenaga'!C143</f>
        <v>#DIV/0!</v>
      </c>
      <c r="M54" s="261">
        <f>A54</f>
        <v>0</v>
      </c>
      <c r="N54" s="258" t="e">
        <f>N30</f>
        <v>#DIV/0!</v>
      </c>
      <c r="O54" s="266" t="e">
        <f>N54/M54</f>
        <v>#DIV/0!</v>
      </c>
      <c r="P54" s="258" t="e">
        <f>P30</f>
        <v>#DIV/0!</v>
      </c>
      <c r="Q54" s="266" t="e">
        <f>P54/M54</f>
        <v>#DIV/0!</v>
      </c>
      <c r="R54" s="258" t="e">
        <f>R30</f>
        <v>#DIV/0!</v>
      </c>
      <c r="S54" s="266" t="e">
        <f>R54/M54</f>
        <v>#DIV/0!</v>
      </c>
      <c r="T54" s="258" t="e">
        <f>T30</f>
        <v>#DIV/0!</v>
      </c>
      <c r="U54" s="266" t="e">
        <f>T54/M54</f>
        <v>#DIV/0!</v>
      </c>
    </row>
    <row r="55" spans="1:21" ht="12.75">
      <c r="A55" s="1081" t="s">
        <v>371</v>
      </c>
      <c r="B55" s="1081"/>
      <c r="C55" s="1081"/>
      <c r="D55" s="1081"/>
      <c r="E55" s="1081"/>
      <c r="F55" s="1081"/>
      <c r="G55" s="1081"/>
      <c r="H55" s="1081"/>
      <c r="I55" s="1081"/>
      <c r="M55" s="1081" t="s">
        <v>371</v>
      </c>
      <c r="N55" s="1081"/>
      <c r="O55" s="1081"/>
      <c r="P55" s="1081"/>
      <c r="Q55" s="1081"/>
      <c r="R55" s="1081"/>
      <c r="S55" s="1081"/>
      <c r="T55" s="1081"/>
      <c r="U55" s="1081"/>
    </row>
    <row r="57" spans="1:24" ht="33" customHeight="1">
      <c r="A57" s="1082" t="s">
        <v>441</v>
      </c>
      <c r="B57" s="1106"/>
      <c r="C57" s="1106"/>
      <c r="D57" s="1106"/>
      <c r="E57" s="1106"/>
      <c r="F57" s="1106"/>
      <c r="G57" s="1106"/>
      <c r="H57" s="1106"/>
      <c r="I57" s="1106"/>
      <c r="J57" s="1083"/>
      <c r="K57" s="1083"/>
      <c r="L57" s="1084"/>
      <c r="M57" s="1091" t="s">
        <v>434</v>
      </c>
      <c r="N57" s="1112"/>
      <c r="O57" s="1112"/>
      <c r="P57" s="1112"/>
      <c r="Q57" s="1112"/>
      <c r="R57" s="1112"/>
      <c r="S57" s="1112"/>
      <c r="T57" s="1112"/>
      <c r="U57" s="1112"/>
      <c r="V57" s="797"/>
      <c r="W57" s="797"/>
      <c r="X57" s="797"/>
    </row>
    <row r="58" spans="1:24" ht="12.75">
      <c r="A58" s="1077" t="s">
        <v>367</v>
      </c>
      <c r="B58" s="1077" t="s">
        <v>374</v>
      </c>
      <c r="C58" s="1091" t="s">
        <v>366</v>
      </c>
      <c r="D58" s="1091"/>
      <c r="E58" s="1111"/>
      <c r="F58" s="1111"/>
      <c r="G58" s="1111"/>
      <c r="H58" s="1111"/>
      <c r="I58" s="1111"/>
      <c r="J58" s="1112"/>
      <c r="K58" s="797"/>
      <c r="L58" s="797"/>
      <c r="M58" s="1077" t="s">
        <v>367</v>
      </c>
      <c r="N58" s="1077" t="s">
        <v>374</v>
      </c>
      <c r="O58" s="1091" t="s">
        <v>366</v>
      </c>
      <c r="P58" s="1091"/>
      <c r="Q58" s="1111"/>
      <c r="R58" s="1111"/>
      <c r="S58" s="1111"/>
      <c r="T58" s="1111"/>
      <c r="U58" s="1111"/>
      <c r="V58" s="1112"/>
      <c r="W58" s="797"/>
      <c r="X58" s="797"/>
    </row>
    <row r="59" spans="1:35" s="264" customFormat="1" ht="47.25" customHeight="1">
      <c r="A59" s="1078"/>
      <c r="B59" s="1078"/>
      <c r="C59" s="1096" t="s">
        <v>33</v>
      </c>
      <c r="D59" s="1096"/>
      <c r="E59" s="1096" t="s">
        <v>28</v>
      </c>
      <c r="F59" s="1096"/>
      <c r="G59" s="1077" t="s">
        <v>368</v>
      </c>
      <c r="H59" s="1096"/>
      <c r="I59" s="1077" t="s">
        <v>369</v>
      </c>
      <c r="J59" s="1078"/>
      <c r="K59" s="1097" t="s">
        <v>419</v>
      </c>
      <c r="L59" s="1099"/>
      <c r="M59" s="1078"/>
      <c r="N59" s="1078"/>
      <c r="O59" s="1096" t="s">
        <v>33</v>
      </c>
      <c r="P59" s="1096"/>
      <c r="Q59" s="1096" t="s">
        <v>28</v>
      </c>
      <c r="R59" s="1096"/>
      <c r="S59" s="1077" t="s">
        <v>368</v>
      </c>
      <c r="T59" s="1096"/>
      <c r="U59" s="1077" t="s">
        <v>369</v>
      </c>
      <c r="V59" s="1078"/>
      <c r="W59" s="1096" t="s">
        <v>419</v>
      </c>
      <c r="X59" s="1129"/>
      <c r="AH59" s="255"/>
      <c r="AI59" s="255"/>
    </row>
    <row r="60" spans="1:24" ht="12.75">
      <c r="A60" s="1078"/>
      <c r="B60" s="1078"/>
      <c r="C60" s="257" t="s">
        <v>363</v>
      </c>
      <c r="D60" s="257" t="s">
        <v>365</v>
      </c>
      <c r="E60" s="257" t="s">
        <v>363</v>
      </c>
      <c r="F60" s="257" t="s">
        <v>365</v>
      </c>
      <c r="G60" s="257" t="s">
        <v>363</v>
      </c>
      <c r="H60" s="257" t="s">
        <v>365</v>
      </c>
      <c r="I60" s="257" t="s">
        <v>363</v>
      </c>
      <c r="J60" s="257" t="s">
        <v>365</v>
      </c>
      <c r="K60" s="257" t="s">
        <v>363</v>
      </c>
      <c r="L60" s="257" t="s">
        <v>365</v>
      </c>
      <c r="M60" s="1078"/>
      <c r="N60" s="1078"/>
      <c r="O60" s="257" t="s">
        <v>363</v>
      </c>
      <c r="P60" s="257" t="s">
        <v>365</v>
      </c>
      <c r="Q60" s="257" t="s">
        <v>363</v>
      </c>
      <c r="R60" s="257" t="s">
        <v>365</v>
      </c>
      <c r="S60" s="257" t="s">
        <v>363</v>
      </c>
      <c r="T60" s="257" t="s">
        <v>365</v>
      </c>
      <c r="U60" s="257" t="s">
        <v>363</v>
      </c>
      <c r="V60" s="257" t="s">
        <v>365</v>
      </c>
      <c r="W60" s="257" t="s">
        <v>363</v>
      </c>
      <c r="X60" s="257" t="s">
        <v>365</v>
      </c>
    </row>
    <row r="61" spans="1:24" ht="12.75">
      <c r="A61" s="261">
        <f>'upper bound Kenaga'!C96</f>
        <v>15</v>
      </c>
      <c r="B61" s="258">
        <f>'upper bound Kenaga'!E105</f>
        <v>0</v>
      </c>
      <c r="C61" s="258" t="e">
        <f>C37</f>
        <v>#DIV/0!</v>
      </c>
      <c r="D61" s="258" t="e">
        <f>'upper bound Kenaga'!C$131</f>
        <v>#DIV/0!</v>
      </c>
      <c r="E61" s="258" t="e">
        <f>E37</f>
        <v>#DIV/0!</v>
      </c>
      <c r="F61" s="258" t="e">
        <f>'upper bound Kenaga'!C$132</f>
        <v>#DIV/0!</v>
      </c>
      <c r="G61" s="258" t="e">
        <f>G37</f>
        <v>#DIV/0!</v>
      </c>
      <c r="H61" s="258" t="e">
        <f>'upper bound Kenaga'!C$133</f>
        <v>#DIV/0!</v>
      </c>
      <c r="I61" s="258" t="e">
        <f>I37</f>
        <v>#DIV/0!</v>
      </c>
      <c r="J61" s="258" t="e">
        <f>'upper bound Kenaga'!C$134</f>
        <v>#DIV/0!</v>
      </c>
      <c r="K61" s="258" t="e">
        <f>'upper bound Kenaga'!$E$118</f>
        <v>#DIV/0!</v>
      </c>
      <c r="L61" s="258" t="e">
        <f>'upper bound Kenaga'!$C$135</f>
        <v>#DIV/0!</v>
      </c>
      <c r="M61" s="261">
        <f>'upper bound Kenaga'!C96</f>
        <v>15</v>
      </c>
      <c r="N61" s="258">
        <f>B61</f>
        <v>0</v>
      </c>
      <c r="O61" s="258" t="e">
        <f>O37</f>
        <v>#DIV/0!</v>
      </c>
      <c r="P61" s="266" t="e">
        <f>O61/N61</f>
        <v>#DIV/0!</v>
      </c>
      <c r="Q61" s="258" t="e">
        <f>Q37</f>
        <v>#DIV/0!</v>
      </c>
      <c r="R61" s="266" t="e">
        <f>Q61/$N61</f>
        <v>#DIV/0!</v>
      </c>
      <c r="S61" s="258" t="e">
        <f>S37</f>
        <v>#DIV/0!</v>
      </c>
      <c r="T61" s="266" t="e">
        <f>S61/$N61</f>
        <v>#DIV/0!</v>
      </c>
      <c r="U61" s="258" t="e">
        <f>U37</f>
        <v>#DIV/0!</v>
      </c>
      <c r="V61" s="266" t="e">
        <f>U61/$N61</f>
        <v>#DIV/0!</v>
      </c>
      <c r="W61" s="258" t="e">
        <f>'mean Kenaga'!E110</f>
        <v>#DIV/0!</v>
      </c>
      <c r="X61" s="258" t="e">
        <f>'mean Kenaga'!C119</f>
        <v>#DIV/0!</v>
      </c>
    </row>
    <row r="62" spans="1:34" ht="12.75">
      <c r="A62" s="261">
        <f>'upper bound Kenaga'!C97</f>
        <v>35</v>
      </c>
      <c r="B62" s="258">
        <f>'upper bound Kenaga'!E106</f>
        <v>0</v>
      </c>
      <c r="C62" s="258" t="e">
        <f>C38</f>
        <v>#DIV/0!</v>
      </c>
      <c r="D62" s="258" t="e">
        <f>'upper bound Kenaga'!E$131</f>
        <v>#DIV/0!</v>
      </c>
      <c r="E62" s="258" t="e">
        <f>E38</f>
        <v>#DIV/0!</v>
      </c>
      <c r="F62" s="258" t="e">
        <f>'upper bound Kenaga'!E$132</f>
        <v>#DIV/0!</v>
      </c>
      <c r="G62" s="258" t="e">
        <f>G38</f>
        <v>#DIV/0!</v>
      </c>
      <c r="H62" s="258" t="e">
        <f>'upper bound Kenaga'!E$133</f>
        <v>#DIV/0!</v>
      </c>
      <c r="I62" s="258" t="e">
        <f>I38</f>
        <v>#DIV/0!</v>
      </c>
      <c r="J62" s="258" t="e">
        <f>'upper bound Kenaga'!E$134</f>
        <v>#DIV/0!</v>
      </c>
      <c r="K62" s="258" t="e">
        <f>'upper bound Kenaga'!$F$118</f>
        <v>#DIV/0!</v>
      </c>
      <c r="L62" s="258" t="e">
        <f>'upper bound Kenaga'!$E$135</f>
        <v>#DIV/0!</v>
      </c>
      <c r="M62" s="261">
        <f>'upper bound Kenaga'!C97</f>
        <v>35</v>
      </c>
      <c r="N62" s="258">
        <f>B62</f>
        <v>0</v>
      </c>
      <c r="O62" s="258" t="e">
        <f>O38</f>
        <v>#DIV/0!</v>
      </c>
      <c r="P62" s="266" t="e">
        <f>O62/N62</f>
        <v>#DIV/0!</v>
      </c>
      <c r="Q62" s="258" t="e">
        <f>Q38</f>
        <v>#DIV/0!</v>
      </c>
      <c r="R62" s="266" t="e">
        <f>Q62/$N62</f>
        <v>#DIV/0!</v>
      </c>
      <c r="S62" s="258" t="e">
        <f>S38</f>
        <v>#DIV/0!</v>
      </c>
      <c r="T62" s="266" t="e">
        <f>S62/$N62</f>
        <v>#DIV/0!</v>
      </c>
      <c r="U62" s="258" t="e">
        <f>U38</f>
        <v>#DIV/0!</v>
      </c>
      <c r="V62" s="266" t="e">
        <f>U62/$N62</f>
        <v>#DIV/0!</v>
      </c>
      <c r="W62" s="258" t="e">
        <f>'mean Kenaga'!F110</f>
        <v>#DIV/0!</v>
      </c>
      <c r="X62" s="258" t="e">
        <f>'mean Kenaga'!E119</f>
        <v>#DIV/0!</v>
      </c>
      <c r="AH62" s="264"/>
    </row>
    <row r="63" spans="1:24" ht="12.75">
      <c r="A63" s="261">
        <f>'upper bound Kenaga'!C98</f>
        <v>1000</v>
      </c>
      <c r="B63" s="258">
        <f>'upper bound Kenaga'!E107</f>
        <v>0</v>
      </c>
      <c r="C63" s="258" t="e">
        <f>C39</f>
        <v>#DIV/0!</v>
      </c>
      <c r="D63" s="258" t="e">
        <f>'upper bound Kenaga'!G$131</f>
        <v>#DIV/0!</v>
      </c>
      <c r="E63" s="258" t="e">
        <f>E39</f>
        <v>#DIV/0!</v>
      </c>
      <c r="F63" s="258" t="e">
        <f>'upper bound Kenaga'!G$132</f>
        <v>#DIV/0!</v>
      </c>
      <c r="G63" s="258" t="e">
        <f>G39</f>
        <v>#DIV/0!</v>
      </c>
      <c r="H63" s="258" t="e">
        <f>'upper bound Kenaga'!G$133</f>
        <v>#DIV/0!</v>
      </c>
      <c r="I63" s="258" t="e">
        <f>I39</f>
        <v>#DIV/0!</v>
      </c>
      <c r="J63" s="258" t="e">
        <f>'upper bound Kenaga'!G$134</f>
        <v>#DIV/0!</v>
      </c>
      <c r="K63" s="258" t="e">
        <f>'upper bound Kenaga'!$G$118</f>
        <v>#DIV/0!</v>
      </c>
      <c r="L63" s="258" t="e">
        <f>'upper bound Kenaga'!$G$135</f>
        <v>#DIV/0!</v>
      </c>
      <c r="M63" s="261">
        <f>'upper bound Kenaga'!C98</f>
        <v>1000</v>
      </c>
      <c r="N63" s="258">
        <f>B63</f>
        <v>0</v>
      </c>
      <c r="O63" s="258" t="e">
        <f>O39</f>
        <v>#DIV/0!</v>
      </c>
      <c r="P63" s="266" t="e">
        <f>O63/N63</f>
        <v>#DIV/0!</v>
      </c>
      <c r="Q63" s="258" t="e">
        <f>Q39</f>
        <v>#DIV/0!</v>
      </c>
      <c r="R63" s="266" t="e">
        <f>Q63/$N63</f>
        <v>#DIV/0!</v>
      </c>
      <c r="S63" s="258" t="e">
        <f>S39</f>
        <v>#DIV/0!</v>
      </c>
      <c r="T63" s="266" t="e">
        <f>S63/$N63</f>
        <v>#DIV/0!</v>
      </c>
      <c r="U63" s="258" t="e">
        <f>U39</f>
        <v>#DIV/0!</v>
      </c>
      <c r="V63" s="266" t="e">
        <f>U63/$N63</f>
        <v>#DIV/0!</v>
      </c>
      <c r="W63" s="258" t="e">
        <f>'mean Kenaga'!G110</f>
        <v>#DIV/0!</v>
      </c>
      <c r="X63" s="258" t="e">
        <f>'mean Kenaga'!G119</f>
        <v>#DIV/0!</v>
      </c>
    </row>
    <row r="68" ht="12.75">
      <c r="AI68" s="264"/>
    </row>
  </sheetData>
  <sheetProtection password="F155" sheet="1" objects="1" scenarios="1" formatCells="0" formatColumns="0" formatRows="0" insertColumns="0" insertRows="0"/>
  <mergeCells count="149">
    <mergeCell ref="AH22:AI22"/>
    <mergeCell ref="AH26:AI26"/>
    <mergeCell ref="K13:L13"/>
    <mergeCell ref="A11:L11"/>
    <mergeCell ref="C12:L12"/>
    <mergeCell ref="W13:X13"/>
    <mergeCell ref="M11:X11"/>
    <mergeCell ref="O12:X12"/>
    <mergeCell ref="C13:D13"/>
    <mergeCell ref="E13:F13"/>
    <mergeCell ref="W59:X59"/>
    <mergeCell ref="O58:X58"/>
    <mergeCell ref="M57:X57"/>
    <mergeCell ref="M47:U47"/>
    <mergeCell ref="T52:U52"/>
    <mergeCell ref="M58:M60"/>
    <mergeCell ref="N58:N60"/>
    <mergeCell ref="O59:P59"/>
    <mergeCell ref="Q59:R59"/>
    <mergeCell ref="S59:T59"/>
    <mergeCell ref="W35:X35"/>
    <mergeCell ref="M33:X33"/>
    <mergeCell ref="O34:X34"/>
    <mergeCell ref="A47:I47"/>
    <mergeCell ref="A42:I42"/>
    <mergeCell ref="A43:A45"/>
    <mergeCell ref="B43:I43"/>
    <mergeCell ref="B44:C44"/>
    <mergeCell ref="D44:E44"/>
    <mergeCell ref="F44:G44"/>
    <mergeCell ref="H44:I44"/>
    <mergeCell ref="A33:L33"/>
    <mergeCell ref="C34:L34"/>
    <mergeCell ref="K35:L35"/>
    <mergeCell ref="E35:F35"/>
    <mergeCell ref="G35:H35"/>
    <mergeCell ref="I35:J35"/>
    <mergeCell ref="K59:L59"/>
    <mergeCell ref="A57:L57"/>
    <mergeCell ref="C58:L58"/>
    <mergeCell ref="M42:U42"/>
    <mergeCell ref="M43:M45"/>
    <mergeCell ref="N43:U43"/>
    <mergeCell ref="N44:O44"/>
    <mergeCell ref="P44:Q44"/>
    <mergeCell ref="R44:S44"/>
    <mergeCell ref="T44:U44"/>
    <mergeCell ref="G13:H13"/>
    <mergeCell ref="I13:J13"/>
    <mergeCell ref="AH11:AI11"/>
    <mergeCell ref="AH16:AI16"/>
    <mergeCell ref="AD13:AE13"/>
    <mergeCell ref="AC15:AC17"/>
    <mergeCell ref="AA12:AC12"/>
    <mergeCell ref="Z12:Z14"/>
    <mergeCell ref="AC13:AC14"/>
    <mergeCell ref="AA13:AB13"/>
    <mergeCell ref="AH9:AI9"/>
    <mergeCell ref="B20:I20"/>
    <mergeCell ref="B21:C21"/>
    <mergeCell ref="D21:E21"/>
    <mergeCell ref="F21:G21"/>
    <mergeCell ref="H21:I21"/>
    <mergeCell ref="Q13:R13"/>
    <mergeCell ref="S13:T13"/>
    <mergeCell ref="U13:V13"/>
    <mergeCell ref="N21:O21"/>
    <mergeCell ref="A20:A22"/>
    <mergeCell ref="B12:B14"/>
    <mergeCell ref="A12:A14"/>
    <mergeCell ref="B28:C28"/>
    <mergeCell ref="A24:I24"/>
    <mergeCell ref="A26:I26"/>
    <mergeCell ref="A27:A29"/>
    <mergeCell ref="B27:I27"/>
    <mergeCell ref="A19:I19"/>
    <mergeCell ref="D28:E28"/>
    <mergeCell ref="F28:G28"/>
    <mergeCell ref="H28:I28"/>
    <mergeCell ref="A55:I55"/>
    <mergeCell ref="A50:I50"/>
    <mergeCell ref="A51:A53"/>
    <mergeCell ref="A31:I31"/>
    <mergeCell ref="A34:A36"/>
    <mergeCell ref="B34:B36"/>
    <mergeCell ref="C35:D35"/>
    <mergeCell ref="B51:I51"/>
    <mergeCell ref="B52:C52"/>
    <mergeCell ref="D52:E52"/>
    <mergeCell ref="F52:G52"/>
    <mergeCell ref="H52:I52"/>
    <mergeCell ref="A58:A60"/>
    <mergeCell ref="M12:M14"/>
    <mergeCell ref="N12:N14"/>
    <mergeCell ref="O13:P13"/>
    <mergeCell ref="B58:B60"/>
    <mergeCell ref="C59:D59"/>
    <mergeCell ref="E59:F59"/>
    <mergeCell ref="G59:H59"/>
    <mergeCell ref="I59:J59"/>
    <mergeCell ref="N20:U20"/>
    <mergeCell ref="P21:Q21"/>
    <mergeCell ref="R21:S21"/>
    <mergeCell ref="T21:U21"/>
    <mergeCell ref="M26:U26"/>
    <mergeCell ref="M27:M29"/>
    <mergeCell ref="N27:U27"/>
    <mergeCell ref="N28:O28"/>
    <mergeCell ref="P28:Q28"/>
    <mergeCell ref="R28:S28"/>
    <mergeCell ref="T28:U28"/>
    <mergeCell ref="U59:V59"/>
    <mergeCell ref="AF13:AF14"/>
    <mergeCell ref="AD12:AF12"/>
    <mergeCell ref="Y11:AF11"/>
    <mergeCell ref="M55:U55"/>
    <mergeCell ref="M50:U50"/>
    <mergeCell ref="M51:M53"/>
    <mergeCell ref="N51:U51"/>
    <mergeCell ref="N52:O52"/>
    <mergeCell ref="P52:Q52"/>
    <mergeCell ref="R52:S52"/>
    <mergeCell ref="AD21:AE21"/>
    <mergeCell ref="AA21:AB21"/>
    <mergeCell ref="M31:U31"/>
    <mergeCell ref="M34:M36"/>
    <mergeCell ref="N34:N36"/>
    <mergeCell ref="O35:P35"/>
    <mergeCell ref="Q35:R35"/>
    <mergeCell ref="S35:T35"/>
    <mergeCell ref="U35:V35"/>
    <mergeCell ref="AC23:AC25"/>
    <mergeCell ref="Y19:AF19"/>
    <mergeCell ref="Y20:Y22"/>
    <mergeCell ref="Z20:Z22"/>
    <mergeCell ref="AA20:AC20"/>
    <mergeCell ref="AD20:AF20"/>
    <mergeCell ref="AC21:AC22"/>
    <mergeCell ref="AF21:AF22"/>
    <mergeCell ref="A9:L9"/>
    <mergeCell ref="M9:X9"/>
    <mergeCell ref="AA23:AA25"/>
    <mergeCell ref="AB23:AB25"/>
    <mergeCell ref="Y12:Y14"/>
    <mergeCell ref="AA15:AA17"/>
    <mergeCell ref="AB15:AB17"/>
    <mergeCell ref="M24:U24"/>
    <mergeCell ref="M19:U19"/>
    <mergeCell ref="M20:M22"/>
  </mergeCells>
  <printOptions/>
  <pageMargins left="0.75" right="0.75" top="1" bottom="1" header="0.5" footer="0.5"/>
  <pageSetup horizontalDpi="600" verticalDpi="600" orientation="portrait" scale="54" r:id="rId2"/>
  <colBreaks count="3" manualBreakCount="3">
    <brk id="12" max="65535" man="1"/>
    <brk id="24" min="8" max="63" man="1"/>
    <brk id="32" min="8" max="63" man="1"/>
  </colBreaks>
  <drawing r:id="rId1"/>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A31"/>
  <sheetViews>
    <sheetView zoomScale="90" zoomScaleNormal="90" workbookViewId="0" topLeftCell="A1">
      <selection activeCell="B15" sqref="B15"/>
    </sheetView>
  </sheetViews>
  <sheetFormatPr defaultColWidth="9.140625" defaultRowHeight="12.75"/>
  <cols>
    <col min="1" max="16384" width="9.140625" style="43" customWidth="1"/>
  </cols>
  <sheetData>
    <row r="1" s="196" customFormat="1" ht="15.75">
      <c r="A1" s="195" t="s">
        <v>120</v>
      </c>
    </row>
    <row r="2" s="196" customFormat="1" ht="12.75"/>
    <row r="3" s="196" customFormat="1" ht="12.75"/>
    <row r="4" s="196" customFormat="1" ht="15.75">
      <c r="A4" s="195" t="s">
        <v>82</v>
      </c>
    </row>
    <row r="5" s="196" customFormat="1" ht="12.75">
      <c r="A5" s="197" t="s">
        <v>121</v>
      </c>
    </row>
    <row r="6" s="196" customFormat="1" ht="12.75">
      <c r="A6" s="197" t="s">
        <v>122</v>
      </c>
    </row>
    <row r="7" s="196" customFormat="1" ht="12.75">
      <c r="A7" s="197" t="s">
        <v>296</v>
      </c>
    </row>
    <row r="8" s="196" customFormat="1" ht="12.75">
      <c r="A8" s="197" t="s">
        <v>284</v>
      </c>
    </row>
    <row r="9" s="196" customFormat="1" ht="12.75">
      <c r="A9" s="197" t="s">
        <v>83</v>
      </c>
    </row>
    <row r="10" s="196" customFormat="1" ht="12.75">
      <c r="A10" s="197" t="s">
        <v>84</v>
      </c>
    </row>
    <row r="11" s="196" customFormat="1" ht="12.75"/>
    <row r="12" s="196" customFormat="1" ht="15.75">
      <c r="A12" s="195" t="s">
        <v>85</v>
      </c>
    </row>
    <row r="13" s="196" customFormat="1" ht="12.75">
      <c r="A13" s="201" t="s">
        <v>285</v>
      </c>
    </row>
    <row r="14" s="196" customFormat="1" ht="12.75">
      <c r="A14" s="196" t="s">
        <v>286</v>
      </c>
    </row>
    <row r="15" s="196" customFormat="1" ht="12.75">
      <c r="A15" s="196" t="s">
        <v>287</v>
      </c>
    </row>
    <row r="16" s="196" customFormat="1" ht="12.75">
      <c r="A16" s="196" t="s">
        <v>288</v>
      </c>
    </row>
    <row r="17" s="196" customFormat="1" ht="12.75">
      <c r="A17" s="196" t="s">
        <v>289</v>
      </c>
    </row>
    <row r="18" s="196" customFormat="1" ht="12.75">
      <c r="A18" s="196" t="s">
        <v>290</v>
      </c>
    </row>
    <row r="19" s="196" customFormat="1" ht="12.75">
      <c r="A19" s="196" t="s">
        <v>86</v>
      </c>
    </row>
    <row r="20" s="196" customFormat="1" ht="12.75">
      <c r="A20" s="196" t="s">
        <v>87</v>
      </c>
    </row>
    <row r="21" s="196" customFormat="1" ht="12.75"/>
    <row r="22" s="196" customFormat="1" ht="15.75">
      <c r="A22" s="195" t="s">
        <v>88</v>
      </c>
    </row>
    <row r="23" s="196" customFormat="1" ht="12.75">
      <c r="A23" s="196" t="s">
        <v>291</v>
      </c>
    </row>
    <row r="24" s="196" customFormat="1" ht="12.75">
      <c r="A24" s="196" t="s">
        <v>292</v>
      </c>
    </row>
    <row r="25" s="196" customFormat="1" ht="12.75">
      <c r="A25" s="198" t="s">
        <v>298</v>
      </c>
    </row>
    <row r="26" s="196" customFormat="1" ht="12.75">
      <c r="A26" s="198" t="s">
        <v>293</v>
      </c>
    </row>
    <row r="27" s="196" customFormat="1" ht="12.75">
      <c r="A27" s="198" t="s">
        <v>294</v>
      </c>
    </row>
    <row r="28" s="196" customFormat="1" ht="12.75">
      <c r="A28" s="198" t="s">
        <v>295</v>
      </c>
    </row>
    <row r="29" s="196" customFormat="1" ht="12.75">
      <c r="A29" s="196" t="s">
        <v>123</v>
      </c>
    </row>
    <row r="30" s="196" customFormat="1" ht="12.75"/>
    <row r="31" s="196" customFormat="1" ht="12.75">
      <c r="A31" t="s">
        <v>297</v>
      </c>
    </row>
    <row r="32" s="196" customFormat="1" ht="12.75"/>
    <row r="33" s="196" customFormat="1" ht="12.75"/>
    <row r="34" s="196" customFormat="1" ht="12.75"/>
    <row r="35" s="196" customFormat="1" ht="12.75"/>
    <row r="36" s="196" customFormat="1" ht="12.75"/>
    <row r="37" s="196" customFormat="1" ht="12.75"/>
    <row r="38" s="196" customFormat="1" ht="12.75"/>
    <row r="39" s="196" customFormat="1" ht="12.75"/>
    <row r="40" s="196" customFormat="1" ht="12.75"/>
    <row r="41" s="196" customFormat="1" ht="12.75"/>
    <row r="42" s="196" customFormat="1" ht="12.75"/>
    <row r="43" s="196" customFormat="1" ht="12.75"/>
    <row r="44" s="196" customFormat="1" ht="12.75"/>
    <row r="45" s="196" customFormat="1" ht="12.75"/>
    <row r="46" s="196" customFormat="1" ht="12.75"/>
    <row r="47" s="196" customFormat="1" ht="12.75"/>
    <row r="48" s="196" customFormat="1" ht="12.75"/>
    <row r="49" s="196" customFormat="1" ht="12.75"/>
    <row r="50" s="196" customFormat="1" ht="12.75"/>
    <row r="51" s="196" customFormat="1" ht="12.75"/>
    <row r="52" s="196" customFormat="1" ht="12.75"/>
    <row r="53" s="196" customFormat="1" ht="12.75"/>
    <row r="54" s="196" customFormat="1" ht="12.75"/>
    <row r="55" s="196" customFormat="1" ht="12.75"/>
    <row r="56" s="196" customFormat="1" ht="12.75"/>
    <row r="57" s="196" customFormat="1" ht="12.75"/>
    <row r="58" s="196" customFormat="1" ht="12.75"/>
    <row r="59" s="196" customFormat="1" ht="12.75"/>
    <row r="60" s="196" customFormat="1" ht="12.75"/>
    <row r="61" s="196" customFormat="1" ht="12.75"/>
    <row r="62" s="196" customFormat="1" ht="12.75"/>
    <row r="63" s="196" customFormat="1" ht="12.75"/>
    <row r="64" s="196" customFormat="1" ht="12.75"/>
    <row r="65" s="196" customFormat="1" ht="12.75"/>
    <row r="66" s="196" customFormat="1" ht="12.75"/>
    <row r="67" s="196" customFormat="1" ht="12.75"/>
    <row r="68" s="196" customFormat="1" ht="12.75"/>
    <row r="69" s="196" customFormat="1" ht="12.75"/>
    <row r="70" s="196" customFormat="1" ht="12.75"/>
    <row r="71" s="196" customFormat="1" ht="12.75"/>
  </sheetData>
  <sheetProtection password="F155" sheet="1" objects="1" scenarios="1"/>
  <printOptions/>
  <pageMargins left="0.75" right="0.75" top="1" bottom="1" header="0.5" footer="0.5"/>
  <pageSetup fitToHeight="1" fitToWidth="1" horizontalDpi="600" verticalDpi="600" orientation="landscape" scale="89" r:id="rId1"/>
</worksheet>
</file>

<file path=xl/worksheets/sheet3.xml><?xml version="1.0" encoding="utf-8"?>
<worksheet xmlns="http://schemas.openxmlformats.org/spreadsheetml/2006/main" xmlns:r="http://schemas.openxmlformats.org/officeDocument/2006/relationships">
  <sheetPr codeName="Sheet3">
    <tabColor indexed="10"/>
  </sheetPr>
  <dimension ref="A1:S689"/>
  <sheetViews>
    <sheetView view="pageBreakPreview" zoomScale="75" zoomScaleNormal="90" zoomScaleSheetLayoutView="75" workbookViewId="0" topLeftCell="A1">
      <selection activeCell="D43" sqref="D43"/>
    </sheetView>
  </sheetViews>
  <sheetFormatPr defaultColWidth="9.140625" defaultRowHeight="12.75"/>
  <cols>
    <col min="1" max="1" width="34.421875" style="0" customWidth="1"/>
    <col min="2" max="2" width="27.00390625" style="0" customWidth="1"/>
    <col min="3" max="3" width="19.140625" style="0" customWidth="1"/>
    <col min="4" max="4" width="21.421875" style="0" customWidth="1"/>
    <col min="5" max="5" width="18.421875" style="0" customWidth="1"/>
    <col min="6" max="6" width="14.140625" style="0" customWidth="1"/>
    <col min="7" max="7" width="23.00390625" style="0" customWidth="1"/>
    <col min="8" max="8" width="20.28125" style="0" customWidth="1"/>
    <col min="9" max="9" width="10.421875" style="226" customWidth="1"/>
    <col min="10" max="10" width="10.421875" style="213" customWidth="1"/>
    <col min="11" max="12" width="9.140625" style="213" customWidth="1"/>
    <col min="13" max="13" width="9.140625" style="211" customWidth="1"/>
    <col min="14" max="14" width="9.140625" style="130" hidden="1" customWidth="1"/>
    <col min="15" max="15" width="8.8515625" style="147" hidden="1" customWidth="1"/>
    <col min="16" max="18" width="8.8515625" style="0" hidden="1" customWidth="1"/>
  </cols>
  <sheetData>
    <row r="1" spans="1:19" ht="20.25">
      <c r="A1" s="309" t="s">
        <v>181</v>
      </c>
      <c r="B1" s="310"/>
      <c r="C1" s="310"/>
      <c r="D1" s="311"/>
      <c r="E1" s="311"/>
      <c r="F1" s="310"/>
      <c r="G1" s="310"/>
      <c r="H1" s="60"/>
      <c r="I1" s="517"/>
      <c r="N1" s="211"/>
      <c r="O1" s="481"/>
      <c r="P1" s="44"/>
      <c r="Q1" s="44"/>
      <c r="R1" s="44"/>
      <c r="S1" s="44"/>
    </row>
    <row r="2" spans="1:19" ht="12.75">
      <c r="A2" s="312" t="s">
        <v>231</v>
      </c>
      <c r="B2" s="60"/>
      <c r="C2" s="60"/>
      <c r="D2" s="68"/>
      <c r="E2" s="68"/>
      <c r="F2" s="44"/>
      <c r="G2" s="60"/>
      <c r="H2" s="521"/>
      <c r="I2" s="522"/>
      <c r="N2" s="211"/>
      <c r="O2" s="481"/>
      <c r="P2" s="44"/>
      <c r="Q2" s="44"/>
      <c r="R2" s="44"/>
      <c r="S2" s="44"/>
    </row>
    <row r="3" spans="1:19" ht="12.75">
      <c r="A3" s="312" t="s">
        <v>184</v>
      </c>
      <c r="B3" s="60"/>
      <c r="C3" s="60"/>
      <c r="D3" s="68"/>
      <c r="E3" s="68"/>
      <c r="F3" s="44"/>
      <c r="G3" s="60"/>
      <c r="H3" s="60"/>
      <c r="I3" s="517"/>
      <c r="N3" s="211"/>
      <c r="O3" s="481"/>
      <c r="P3" s="44"/>
      <c r="Q3" s="44"/>
      <c r="R3" s="44"/>
      <c r="S3" s="44"/>
    </row>
    <row r="4" spans="1:19" ht="13.5" customHeight="1" thickBot="1">
      <c r="A4" s="96"/>
      <c r="B4" s="83"/>
      <c r="C4" s="83"/>
      <c r="D4" s="313"/>
      <c r="E4" s="313"/>
      <c r="F4" s="83"/>
      <c r="G4" s="83"/>
      <c r="H4" s="83"/>
      <c r="I4" s="523"/>
      <c r="N4" s="211"/>
      <c r="O4" s="481"/>
      <c r="P4" s="44"/>
      <c r="Q4" s="44"/>
      <c r="R4" s="44"/>
      <c r="S4" s="44"/>
    </row>
    <row r="5" spans="1:19" s="485" customFormat="1" ht="21.75" customHeight="1" thickBot="1">
      <c r="A5" s="792" t="s">
        <v>449</v>
      </c>
      <c r="B5" s="793"/>
      <c r="C5" s="793"/>
      <c r="D5" s="482"/>
      <c r="E5" s="482"/>
      <c r="F5" s="115"/>
      <c r="G5" s="115"/>
      <c r="H5" s="115"/>
      <c r="I5" s="518"/>
      <c r="J5" s="483"/>
      <c r="K5" s="483"/>
      <c r="L5" s="483"/>
      <c r="M5" s="484"/>
      <c r="N5" s="484"/>
      <c r="O5" s="484"/>
      <c r="P5" s="484"/>
      <c r="Q5" s="484"/>
      <c r="R5" s="484"/>
      <c r="S5" s="484"/>
    </row>
    <row r="6" spans="1:19" ht="17.25" customHeight="1">
      <c r="A6" s="314" t="s">
        <v>0</v>
      </c>
      <c r="B6" s="794"/>
      <c r="C6" s="795"/>
      <c r="D6" s="315"/>
      <c r="E6" s="60"/>
      <c r="F6" s="44"/>
      <c r="G6" s="60"/>
      <c r="H6" s="60"/>
      <c r="I6" s="517"/>
      <c r="N6" s="211"/>
      <c r="O6" s="481"/>
      <c r="P6" s="44"/>
      <c r="Q6" s="44"/>
      <c r="R6" s="44"/>
      <c r="S6" s="44"/>
    </row>
    <row r="7" spans="1:19" ht="15.75" customHeight="1">
      <c r="A7" s="316" t="s">
        <v>217</v>
      </c>
      <c r="B7" s="823"/>
      <c r="C7" s="824"/>
      <c r="D7" s="317"/>
      <c r="E7" s="60"/>
      <c r="F7" s="44"/>
      <c r="G7" s="60"/>
      <c r="H7" s="60"/>
      <c r="I7" s="517"/>
      <c r="N7" s="211"/>
      <c r="O7" s="72" t="s">
        <v>202</v>
      </c>
      <c r="P7" s="44"/>
      <c r="Q7" s="44"/>
      <c r="R7" s="44"/>
      <c r="S7" s="44"/>
    </row>
    <row r="8" spans="1:19" ht="15">
      <c r="A8" s="318" t="s">
        <v>238</v>
      </c>
      <c r="B8" s="823"/>
      <c r="C8" s="824"/>
      <c r="D8" s="317"/>
      <c r="E8" s="60"/>
      <c r="F8" s="44"/>
      <c r="G8" s="60"/>
      <c r="H8" s="60"/>
      <c r="I8" s="517"/>
      <c r="N8" s="211"/>
      <c r="O8" s="72" t="s">
        <v>203</v>
      </c>
      <c r="P8" s="44"/>
      <c r="Q8" s="44"/>
      <c r="R8" s="44"/>
      <c r="S8" s="44"/>
    </row>
    <row r="9" spans="1:19" ht="30" customHeight="1" thickBot="1">
      <c r="A9" s="319" t="s">
        <v>417</v>
      </c>
      <c r="B9" s="807"/>
      <c r="C9" s="808"/>
      <c r="D9" s="317"/>
      <c r="E9" s="60"/>
      <c r="F9" s="44"/>
      <c r="G9" s="60"/>
      <c r="H9" s="60"/>
      <c r="I9" s="517"/>
      <c r="N9" s="211"/>
      <c r="O9" s="72" t="s">
        <v>204</v>
      </c>
      <c r="P9" s="44"/>
      <c r="Q9" s="44"/>
      <c r="R9" s="44"/>
      <c r="S9" s="44"/>
    </row>
    <row r="10" spans="1:19" ht="15.75">
      <c r="A10" s="318" t="s">
        <v>248</v>
      </c>
      <c r="B10" s="595"/>
      <c r="C10" s="320"/>
      <c r="D10" s="321"/>
      <c r="E10" s="60"/>
      <c r="F10" s="44"/>
      <c r="G10" s="60"/>
      <c r="H10" s="60"/>
      <c r="I10" s="517"/>
      <c r="N10" s="211"/>
      <c r="O10" s="72" t="s">
        <v>205</v>
      </c>
      <c r="P10" s="44"/>
      <c r="Q10" s="44"/>
      <c r="R10" s="44"/>
      <c r="S10" s="44"/>
    </row>
    <row r="11" spans="1:19" ht="15.75">
      <c r="A11" s="318" t="s">
        <v>246</v>
      </c>
      <c r="B11" s="595"/>
      <c r="C11" s="322"/>
      <c r="D11" s="323"/>
      <c r="E11" s="60"/>
      <c r="F11" s="44"/>
      <c r="G11" s="60"/>
      <c r="H11" s="60"/>
      <c r="I11" s="517"/>
      <c r="N11" s="211"/>
      <c r="O11" s="72" t="s">
        <v>206</v>
      </c>
      <c r="P11" s="44"/>
      <c r="Q11" s="44"/>
      <c r="R11" s="44"/>
      <c r="S11" s="44"/>
    </row>
    <row r="12" spans="1:19" ht="15.75">
      <c r="A12" s="318" t="s">
        <v>247</v>
      </c>
      <c r="B12" s="595"/>
      <c r="C12" s="322"/>
      <c r="D12" s="323"/>
      <c r="E12" s="60"/>
      <c r="F12" s="44"/>
      <c r="G12" s="60"/>
      <c r="H12" s="60"/>
      <c r="I12" s="517"/>
      <c r="N12" s="211"/>
      <c r="O12" s="72" t="s">
        <v>207</v>
      </c>
      <c r="P12" s="44"/>
      <c r="Q12" s="44"/>
      <c r="R12" s="44"/>
      <c r="S12" s="44"/>
    </row>
    <row r="13" spans="1:19" ht="15" customHeight="1">
      <c r="A13" s="318" t="s">
        <v>299</v>
      </c>
      <c r="B13" s="595"/>
      <c r="C13" s="322"/>
      <c r="D13" s="323"/>
      <c r="E13" s="60"/>
      <c r="F13" s="44"/>
      <c r="G13" s="60"/>
      <c r="H13" s="60"/>
      <c r="I13" s="517"/>
      <c r="N13" s="211"/>
      <c r="O13" s="481"/>
      <c r="P13" s="44"/>
      <c r="Q13" s="44"/>
      <c r="R13" s="44"/>
      <c r="S13" s="44"/>
    </row>
    <row r="14" spans="1:15" s="44" customFormat="1" ht="32.25" customHeight="1">
      <c r="A14" s="798" t="s">
        <v>489</v>
      </c>
      <c r="B14" s="799"/>
      <c r="C14" s="800"/>
      <c r="H14" s="60"/>
      <c r="I14" s="517"/>
      <c r="J14" s="213"/>
      <c r="K14" s="213"/>
      <c r="L14" s="213"/>
      <c r="M14" s="211"/>
      <c r="N14" s="211"/>
      <c r="O14" s="481"/>
    </row>
    <row r="15" spans="1:19" ht="30.75" customHeight="1">
      <c r="A15" s="486" t="s">
        <v>447</v>
      </c>
      <c r="B15" s="487" t="s">
        <v>446</v>
      </c>
      <c r="C15" s="767" t="s">
        <v>62</v>
      </c>
      <c r="D15" s="323"/>
      <c r="E15" s="60"/>
      <c r="F15" s="44"/>
      <c r="G15" s="60"/>
      <c r="H15" s="60"/>
      <c r="I15" s="517"/>
      <c r="N15" s="211"/>
      <c r="O15" s="481"/>
      <c r="P15" s="44"/>
      <c r="Q15" s="44"/>
      <c r="R15" s="44"/>
      <c r="S15" s="44"/>
    </row>
    <row r="16" spans="1:19" ht="30.75" customHeight="1">
      <c r="A16" s="486" t="s">
        <v>69</v>
      </c>
      <c r="B16" s="487">
        <v>20</v>
      </c>
      <c r="C16" s="685">
        <v>15</v>
      </c>
      <c r="D16" s="323"/>
      <c r="E16" s="60"/>
      <c r="F16" s="44"/>
      <c r="G16" s="60"/>
      <c r="H16" s="60"/>
      <c r="I16" s="517"/>
      <c r="N16" s="211"/>
      <c r="O16" s="481"/>
      <c r="P16" s="44"/>
      <c r="Q16" s="44"/>
      <c r="R16" s="44"/>
      <c r="S16" s="44"/>
    </row>
    <row r="17" spans="1:19" ht="30.75" customHeight="1">
      <c r="A17" s="488" t="s">
        <v>448</v>
      </c>
      <c r="B17" s="487">
        <v>100</v>
      </c>
      <c r="C17" s="685">
        <v>35</v>
      </c>
      <c r="D17" s="323"/>
      <c r="E17" s="60"/>
      <c r="F17" s="44"/>
      <c r="G17" s="60"/>
      <c r="H17" s="60"/>
      <c r="I17" s="517"/>
      <c r="N17" s="211"/>
      <c r="O17" s="481"/>
      <c r="P17" s="44"/>
      <c r="Q17" s="44"/>
      <c r="R17" s="44"/>
      <c r="S17" s="44"/>
    </row>
    <row r="18" spans="1:19" ht="30.75" customHeight="1">
      <c r="A18" s="489" t="s">
        <v>71</v>
      </c>
      <c r="B18" s="490">
        <v>1000</v>
      </c>
      <c r="C18" s="490">
        <v>1000</v>
      </c>
      <c r="D18" s="323"/>
      <c r="E18" s="60"/>
      <c r="F18" s="44"/>
      <c r="G18" s="60"/>
      <c r="H18" s="60"/>
      <c r="I18" s="517"/>
      <c r="N18" s="211"/>
      <c r="O18" s="481"/>
      <c r="P18" s="44"/>
      <c r="Q18" s="44"/>
      <c r="R18" s="44"/>
      <c r="S18" s="44"/>
    </row>
    <row r="19" spans="1:19" ht="13.5" thickBot="1">
      <c r="A19" s="325" t="s">
        <v>335</v>
      </c>
      <c r="B19" s="44"/>
      <c r="C19" s="44"/>
      <c r="D19" s="83"/>
      <c r="E19" s="83"/>
      <c r="F19" s="83"/>
      <c r="G19" s="83"/>
      <c r="H19" s="83"/>
      <c r="I19" s="523"/>
      <c r="N19" s="211"/>
      <c r="O19" s="481"/>
      <c r="P19" s="44"/>
      <c r="Q19" s="44"/>
      <c r="R19" s="44"/>
      <c r="S19" s="44"/>
    </row>
    <row r="20" spans="1:19" ht="36" customHeight="1">
      <c r="A20" s="326" t="s">
        <v>63</v>
      </c>
      <c r="B20" s="812">
        <f>IF($G$24="","",IF($F$24&gt;0,"","ERROR: You have specified an Alternative Species for avian LD50 but have not provided a body weight!"))</f>
      </c>
      <c r="C20" s="813"/>
      <c r="D20" s="327"/>
      <c r="E20" s="812">
        <f>IF($G$26="","",IF($F$26&gt;0,"","ERROR:You have specified an Alternative Species for avian NOAEL but have not provided a body weight!"))</f>
      </c>
      <c r="F20" s="813"/>
      <c r="G20" s="810"/>
      <c r="H20" s="60"/>
      <c r="I20" s="517"/>
      <c r="N20" s="211"/>
      <c r="O20" s="481"/>
      <c r="P20" s="44"/>
      <c r="Q20" s="44"/>
      <c r="R20" s="44"/>
      <c r="S20" s="44"/>
    </row>
    <row r="21" spans="1:19" ht="35.25" customHeight="1" thickBot="1">
      <c r="A21" s="328"/>
      <c r="B21" s="803">
        <f>IF($G$25="","",IF($F$25&gt;0,"","ERROR: You have specified an Alternative Species for avian LC50 but have not provided a body weight!"))</f>
      </c>
      <c r="C21" s="801"/>
      <c r="D21" s="324"/>
      <c r="E21" s="811">
        <f>IF($G$27="","",IF($F$27&gt;0,"","ERROR:You have specified an Alternative Species for avian NOAEC but have not provided a body weight!"))</f>
      </c>
      <c r="F21" s="804"/>
      <c r="G21" s="810"/>
      <c r="H21" s="83"/>
      <c r="I21" s="523"/>
      <c r="N21" s="211"/>
      <c r="O21" s="481"/>
      <c r="P21" s="44"/>
      <c r="Q21" s="44"/>
      <c r="R21" s="44"/>
      <c r="S21" s="44"/>
    </row>
    <row r="22" spans="1:19" ht="15.75" customHeight="1">
      <c r="A22" s="329"/>
      <c r="B22" s="326" t="s">
        <v>19</v>
      </c>
      <c r="C22" s="126"/>
      <c r="D22" s="330"/>
      <c r="E22" s="126"/>
      <c r="F22" s="126"/>
      <c r="G22" s="126"/>
      <c r="H22" s="60"/>
      <c r="I22" s="517"/>
      <c r="N22" s="211"/>
      <c r="O22" s="481"/>
      <c r="P22" s="44"/>
      <c r="Q22" s="44"/>
      <c r="R22" s="44"/>
      <c r="S22" s="44"/>
    </row>
    <row r="23" spans="1:19" ht="33.75">
      <c r="A23" s="329"/>
      <c r="B23" s="587" t="s">
        <v>474</v>
      </c>
      <c r="C23" s="588" t="s">
        <v>475</v>
      </c>
      <c r="D23" s="596" t="s">
        <v>200</v>
      </c>
      <c r="E23" s="60"/>
      <c r="F23" s="589" t="s">
        <v>301</v>
      </c>
      <c r="G23" s="590" t="s">
        <v>300</v>
      </c>
      <c r="H23" s="596" t="s">
        <v>490</v>
      </c>
      <c r="I23" s="517"/>
      <c r="N23" s="211"/>
      <c r="O23" s="481"/>
      <c r="P23" s="44"/>
      <c r="Q23" s="44"/>
      <c r="R23" s="44"/>
      <c r="S23" s="44"/>
    </row>
    <row r="24" spans="1:19" ht="24.75" customHeight="1">
      <c r="A24" s="329"/>
      <c r="B24" s="331" t="s">
        <v>191</v>
      </c>
      <c r="C24" s="666"/>
      <c r="D24" s="585">
        <v>2</v>
      </c>
      <c r="E24" s="668">
        <f>IF(D24=3,"Must Enter &gt;&gt;","")</f>
      </c>
      <c r="F24" s="480"/>
      <c r="G24" s="574"/>
      <c r="H24" s="575"/>
      <c r="I24" s="517"/>
      <c r="N24" s="211"/>
      <c r="O24" s="481" t="s">
        <v>198</v>
      </c>
      <c r="P24" s="44"/>
      <c r="Q24" s="44"/>
      <c r="R24" s="44"/>
      <c r="S24" s="44"/>
    </row>
    <row r="25" spans="1:19" ht="24.75" customHeight="1">
      <c r="A25" s="329"/>
      <c r="B25" s="331" t="s">
        <v>190</v>
      </c>
      <c r="C25" s="667"/>
      <c r="D25" s="585">
        <v>1</v>
      </c>
      <c r="E25" s="668">
        <f>IF(D25=3,"Must Enter &gt;&gt;","")</f>
      </c>
      <c r="F25" s="480"/>
      <c r="G25" s="574"/>
      <c r="H25" s="576"/>
      <c r="I25" s="517"/>
      <c r="N25" s="211"/>
      <c r="O25" s="481" t="s">
        <v>199</v>
      </c>
      <c r="P25" s="44"/>
      <c r="Q25" s="44"/>
      <c r="R25" s="44"/>
      <c r="S25" s="44"/>
    </row>
    <row r="26" spans="1:19" ht="23.25" customHeight="1">
      <c r="A26" s="329"/>
      <c r="B26" s="331" t="s">
        <v>192</v>
      </c>
      <c r="C26" s="666"/>
      <c r="D26" s="585">
        <v>2</v>
      </c>
      <c r="E26" s="668">
        <f>IF(D26=3,"Must Enter &gt;&gt;","")</f>
      </c>
      <c r="F26" s="480"/>
      <c r="G26" s="574"/>
      <c r="H26" s="576"/>
      <c r="I26" s="517"/>
      <c r="N26" s="211"/>
      <c r="O26" s="481" t="s">
        <v>241</v>
      </c>
      <c r="P26" s="44"/>
      <c r="Q26" s="44"/>
      <c r="R26" s="44"/>
      <c r="S26" s="44"/>
    </row>
    <row r="27" spans="1:19" ht="25.5" customHeight="1">
      <c r="A27" s="329"/>
      <c r="B27" s="332" t="s">
        <v>189</v>
      </c>
      <c r="C27" s="667"/>
      <c r="D27" s="586">
        <v>1</v>
      </c>
      <c r="E27" s="668">
        <f>IF(D27=3,"Must Enter &gt;&gt;","")</f>
      </c>
      <c r="F27" s="480"/>
      <c r="G27" s="574"/>
      <c r="H27" s="576"/>
      <c r="I27" s="517"/>
      <c r="N27" s="211"/>
      <c r="O27" s="481"/>
      <c r="P27" s="44"/>
      <c r="Q27" s="44"/>
      <c r="R27" s="44"/>
      <c r="S27" s="44"/>
    </row>
    <row r="28" spans="1:19" ht="19.5" customHeight="1" thickBot="1">
      <c r="A28" s="119"/>
      <c r="B28" s="809" t="s">
        <v>239</v>
      </c>
      <c r="C28" s="802"/>
      <c r="D28" s="333">
        <v>1.15</v>
      </c>
      <c r="E28" s="334">
        <f>IF(D28="","&lt;&lt;Warning: Need Scaling Factor to continue","")</f>
      </c>
      <c r="F28" s="44"/>
      <c r="G28" s="335"/>
      <c r="H28" s="592"/>
      <c r="I28" s="593"/>
      <c r="J28" s="214"/>
      <c r="K28" s="215"/>
      <c r="M28" s="212"/>
      <c r="N28" s="212"/>
      <c r="O28" s="481"/>
      <c r="P28" s="44"/>
      <c r="Q28" s="44"/>
      <c r="R28" s="44"/>
      <c r="S28" s="44"/>
    </row>
    <row r="29" spans="1:19" ht="35.25" customHeight="1">
      <c r="A29" s="119"/>
      <c r="B29" s="326" t="s">
        <v>20</v>
      </c>
      <c r="C29" s="126"/>
      <c r="D29" s="126"/>
      <c r="E29" s="126"/>
      <c r="F29" s="126"/>
      <c r="G29" s="60"/>
      <c r="H29" s="60"/>
      <c r="I29" s="519">
        <v>1</v>
      </c>
      <c r="M29" s="212"/>
      <c r="N29" s="212"/>
      <c r="O29" s="481"/>
      <c r="P29" s="44"/>
      <c r="Q29" s="44"/>
      <c r="R29" s="44"/>
      <c r="S29" s="44"/>
    </row>
    <row r="30" spans="1:19" ht="35.25" customHeight="1">
      <c r="A30" s="119"/>
      <c r="B30" s="768"/>
      <c r="C30" s="60"/>
      <c r="D30" s="98" t="s">
        <v>496</v>
      </c>
      <c r="E30" s="98" t="s">
        <v>495</v>
      </c>
      <c r="F30" s="60"/>
      <c r="G30" s="60"/>
      <c r="H30" s="60"/>
      <c r="I30" s="519"/>
      <c r="M30" s="212"/>
      <c r="N30" s="212"/>
      <c r="O30" s="481"/>
      <c r="P30" s="44"/>
      <c r="Q30" s="44"/>
      <c r="R30" s="44"/>
      <c r="S30" s="44"/>
    </row>
    <row r="31" spans="1:19" ht="45" customHeight="1">
      <c r="A31" s="119"/>
      <c r="B31" s="796" t="s">
        <v>497</v>
      </c>
      <c r="C31" s="797"/>
      <c r="D31" s="769">
        <v>350</v>
      </c>
      <c r="E31" s="770">
        <v>350</v>
      </c>
      <c r="F31" s="60"/>
      <c r="G31" s="60"/>
      <c r="H31" s="60"/>
      <c r="I31" s="519"/>
      <c r="M31" s="212"/>
      <c r="N31" s="212"/>
      <c r="O31" s="481"/>
      <c r="P31" s="44"/>
      <c r="Q31" s="44"/>
      <c r="R31" s="44"/>
      <c r="S31" s="44"/>
    </row>
    <row r="32" spans="1:19" ht="18" customHeight="1">
      <c r="A32" s="119"/>
      <c r="B32" s="587" t="s">
        <v>474</v>
      </c>
      <c r="C32" s="588" t="s">
        <v>475</v>
      </c>
      <c r="D32" s="42"/>
      <c r="E32" s="591" t="s">
        <v>473</v>
      </c>
      <c r="F32" s="60"/>
      <c r="G32" s="60"/>
      <c r="H32" s="60"/>
      <c r="I32" s="517"/>
      <c r="N32" s="211"/>
      <c r="O32" s="785" t="b">
        <v>0</v>
      </c>
      <c r="P32" s="44"/>
      <c r="Q32" s="44"/>
      <c r="R32" s="44"/>
      <c r="S32" s="44"/>
    </row>
    <row r="33" spans="1:19" ht="17.25" customHeight="1">
      <c r="A33" s="119"/>
      <c r="B33" s="336" t="s">
        <v>191</v>
      </c>
      <c r="C33" s="662"/>
      <c r="D33" s="60"/>
      <c r="E33" s="665"/>
      <c r="F33" s="14"/>
      <c r="G33" s="16"/>
      <c r="H33" s="323"/>
      <c r="I33" s="517"/>
      <c r="N33" s="211"/>
      <c r="O33" s="785">
        <v>1</v>
      </c>
      <c r="P33" s="44"/>
      <c r="Q33" s="44"/>
      <c r="R33" s="44"/>
      <c r="S33" s="44"/>
    </row>
    <row r="34" spans="1:19" ht="17.25" customHeight="1">
      <c r="A34" s="119"/>
      <c r="B34" s="336" t="s">
        <v>190</v>
      </c>
      <c r="C34" s="663"/>
      <c r="D34" s="60"/>
      <c r="E34" s="665"/>
      <c r="F34" s="44"/>
      <c r="G34" s="60"/>
      <c r="H34" s="60"/>
      <c r="I34" s="517"/>
      <c r="N34" s="211"/>
      <c r="O34" s="785"/>
      <c r="P34" s="44"/>
      <c r="Q34" s="44"/>
      <c r="R34" s="44"/>
      <c r="S34" s="44"/>
    </row>
    <row r="35" spans="1:19" ht="21.75" customHeight="1">
      <c r="A35" s="119"/>
      <c r="B35" s="337" t="s">
        <v>303</v>
      </c>
      <c r="C35" s="664"/>
      <c r="D35" s="585">
        <v>1</v>
      </c>
      <c r="E35" s="665"/>
      <c r="F35" s="44"/>
      <c r="G35" s="60"/>
      <c r="H35" s="60"/>
      <c r="I35" s="517"/>
      <c r="N35" s="211"/>
      <c r="O35" s="785"/>
      <c r="P35" s="44"/>
      <c r="Q35" s="44"/>
      <c r="R35" s="44"/>
      <c r="S35" s="44"/>
    </row>
    <row r="36" spans="1:19" ht="62.25" customHeight="1" thickBot="1">
      <c r="A36" s="119"/>
      <c r="B36" s="339" t="str">
        <f>IF(D35=2,"Is estimated daily dose (mg/kg-bw) reported from the available chronic mammal study? (yes or no)","Is dietary concentration (mg/kg-diet) reported from the available chronic mammal study? (yes or no)")</f>
        <v>Is dietary concentration (mg/kg-diet) reported from the available chronic mammal study? (yes or no)</v>
      </c>
      <c r="C36" s="664" t="s">
        <v>209</v>
      </c>
      <c r="D36" s="788"/>
      <c r="E36" s="665"/>
      <c r="F36" s="44"/>
      <c r="G36" s="60"/>
      <c r="H36" s="60"/>
      <c r="I36" s="786" t="s">
        <v>209</v>
      </c>
      <c r="J36" s="787" t="s">
        <v>210</v>
      </c>
      <c r="N36" s="211"/>
      <c r="O36" s="785"/>
      <c r="P36" s="44"/>
      <c r="Q36" s="44"/>
      <c r="R36" s="44"/>
      <c r="S36" s="44"/>
    </row>
    <row r="37" spans="1:19" ht="38.25" customHeight="1" thickBot="1">
      <c r="A37" s="87"/>
      <c r="B37" s="340" t="str">
        <f>IF(D35=2,"Enter daily dose (mg/kg-bw)","Enter dietary concentration (mg/kg-diet)")</f>
        <v>Enter dietary concentration (mg/kg-diet)</v>
      </c>
      <c r="C37" s="338"/>
      <c r="D37" s="85"/>
      <c r="E37" s="85"/>
      <c r="F37" s="44"/>
      <c r="G37" s="60"/>
      <c r="H37" s="60"/>
      <c r="I37" s="517"/>
      <c r="J37" s="210"/>
      <c r="N37" s="211"/>
      <c r="O37" s="785"/>
      <c r="P37" s="44"/>
      <c r="Q37" s="44"/>
      <c r="R37" s="44"/>
      <c r="S37" s="44"/>
    </row>
    <row r="38" spans="1:19" ht="48" customHeight="1" thickBot="1">
      <c r="A38" s="119"/>
      <c r="B38" s="339" t="str">
        <f>IF(D35=2,"Estimated Chronic Daily Dose Equivalent to reported Chronic Dietary Endpoint","Estimated Chronic Diet Concentration Equivalent to Reported Chronic Daily Dose")</f>
        <v>Estimated Chronic Diet Concentration Equivalent to Reported Chronic Daily Dose</v>
      </c>
      <c r="C38" s="341">
        <f>IF(C$36="yes",$C$37,IF($D$35=2,$C$35/20,$C$35*20))</f>
        <v>0</v>
      </c>
      <c r="D38" s="342" t="str">
        <f>IF(D35=2,"mg/kg-bw based on standard FDA lab rat conversion","mg/kg-diet based on standard FDA lab rat conversion")</f>
        <v>mg/kg-diet based on standard FDA lab rat conversion</v>
      </c>
      <c r="E38" s="83"/>
      <c r="F38" s="83"/>
      <c r="G38" s="83"/>
      <c r="H38" s="83"/>
      <c r="I38" s="523"/>
      <c r="N38" s="211"/>
      <c r="O38" s="785" t="s">
        <v>182</v>
      </c>
      <c r="P38" s="44"/>
      <c r="Q38" s="44"/>
      <c r="R38" s="44"/>
      <c r="S38" s="44"/>
    </row>
    <row r="39" spans="1:19" ht="12.75" customHeight="1" thickBot="1">
      <c r="A39" s="96"/>
      <c r="B39" s="83"/>
      <c r="C39" s="83"/>
      <c r="D39" s="83"/>
      <c r="E39" s="118"/>
      <c r="F39" s="118"/>
      <c r="G39" s="118"/>
      <c r="H39" s="118"/>
      <c r="I39" s="594"/>
      <c r="N39" s="211"/>
      <c r="O39" s="785" t="s">
        <v>183</v>
      </c>
      <c r="P39" s="44"/>
      <c r="Q39" s="44"/>
      <c r="R39" s="44"/>
      <c r="S39" s="44"/>
    </row>
    <row r="40" spans="1:19" ht="12.75">
      <c r="A40" s="343"/>
      <c r="B40" s="150"/>
      <c r="C40" s="150"/>
      <c r="D40" s="344"/>
      <c r="E40" s="60"/>
      <c r="F40" s="44"/>
      <c r="G40" s="60"/>
      <c r="H40" s="60"/>
      <c r="I40" s="517"/>
      <c r="N40" s="211"/>
      <c r="O40" s="481"/>
      <c r="P40" s="44"/>
      <c r="Q40" s="44"/>
      <c r="R40" s="44"/>
      <c r="S40" s="44"/>
    </row>
    <row r="41" spans="1:19" ht="21" customHeight="1">
      <c r="A41" s="345" t="s">
        <v>114</v>
      </c>
      <c r="B41" s="805" t="s">
        <v>243</v>
      </c>
      <c r="C41" s="214">
        <v>1</v>
      </c>
      <c r="D41" s="346" t="str">
        <f>IF(AND(C41=1,C42=1),"Make sure to enter an"," ")</f>
        <v> </v>
      </c>
      <c r="E41" s="60"/>
      <c r="F41" s="44"/>
      <c r="G41" s="60"/>
      <c r="H41" s="60"/>
      <c r="I41" s="517"/>
      <c r="N41" s="211"/>
      <c r="O41" s="481"/>
      <c r="P41" s="44"/>
      <c r="Q41" s="44"/>
      <c r="R41" s="44"/>
      <c r="S41" s="44"/>
    </row>
    <row r="42" spans="1:19" ht="21" customHeight="1">
      <c r="A42" s="347"/>
      <c r="B42" s="806"/>
      <c r="C42" s="214">
        <v>2</v>
      </c>
      <c r="D42" s="346" t="str">
        <f>IF(AND(C41=1,C42=1),"application rate above","Enter data below:")</f>
        <v>Enter data below:</v>
      </c>
      <c r="E42" s="60"/>
      <c r="F42" s="44"/>
      <c r="G42" s="60"/>
      <c r="H42" s="60"/>
      <c r="I42" s="517"/>
      <c r="N42" s="211"/>
      <c r="O42" s="481"/>
      <c r="P42" s="44"/>
      <c r="Q42" s="44"/>
      <c r="R42" s="44"/>
      <c r="S42" s="44"/>
    </row>
    <row r="43" spans="1:19" ht="41.25" customHeight="1">
      <c r="A43" s="347"/>
      <c r="B43" s="573"/>
      <c r="C43" s="578" t="str">
        <f>IF(C42=2,"Is application rate given in lbs a.i./Acre?","Do not use this input")</f>
        <v>Is application rate given in lbs a.i./Acre?</v>
      </c>
      <c r="D43" s="338" t="s">
        <v>209</v>
      </c>
      <c r="E43" s="60"/>
      <c r="F43" s="44"/>
      <c r="G43" s="60"/>
      <c r="H43" s="60"/>
      <c r="I43" s="517"/>
      <c r="N43" s="211"/>
      <c r="O43" s="481"/>
      <c r="P43" s="44"/>
      <c r="Q43" s="44"/>
      <c r="R43" s="44"/>
      <c r="S43" s="44"/>
    </row>
    <row r="44" spans="1:19" ht="42" customHeight="1">
      <c r="A44" s="347"/>
      <c r="B44" s="573"/>
      <c r="C44" s="578" t="str">
        <f>IF(C43="do not use this input","Do not use this input",IF(D43="no","Do not use this input","Application rate, lbs a.i./Acre, from B10"))</f>
        <v>Application rate, lbs a.i./Acre, from B10</v>
      </c>
      <c r="D44" s="597"/>
      <c r="E44" s="60"/>
      <c r="F44" s="44"/>
      <c r="G44" s="60"/>
      <c r="H44" s="60"/>
      <c r="I44" s="517"/>
      <c r="N44" s="211"/>
      <c r="O44" s="481"/>
      <c r="P44" s="44"/>
      <c r="Q44" s="44"/>
      <c r="R44" s="44"/>
      <c r="S44" s="44"/>
    </row>
    <row r="45" spans="1:19" ht="17.25" customHeight="1">
      <c r="A45" s="348"/>
      <c r="B45" s="349"/>
      <c r="C45" s="350" t="str">
        <f>IF(AND(C42=2,D43="no"),"fl oz per acre","Do not use this input")</f>
        <v>Do not use this input</v>
      </c>
      <c r="D45" s="597"/>
      <c r="E45" s="60"/>
      <c r="F45" s="44"/>
      <c r="G45" s="60"/>
      <c r="H45" s="60"/>
      <c r="I45" s="517"/>
      <c r="N45" s="211"/>
      <c r="O45" s="481" t="s">
        <v>209</v>
      </c>
      <c r="P45" s="44"/>
      <c r="Q45" s="44"/>
      <c r="R45" s="44"/>
      <c r="S45" s="44"/>
    </row>
    <row r="46" spans="1:19" ht="17.25" customHeight="1">
      <c r="A46" s="351"/>
      <c r="B46" s="349"/>
      <c r="C46" s="350" t="str">
        <f>IF(C41=1,"Do not use this input","Row spacing (in):")</f>
        <v>Do not use this input</v>
      </c>
      <c r="D46" s="597"/>
      <c r="E46" s="60"/>
      <c r="F46" s="352"/>
      <c r="G46" s="353"/>
      <c r="H46" s="353"/>
      <c r="I46" s="520"/>
      <c r="N46" s="211"/>
      <c r="O46" s="481" t="s">
        <v>210</v>
      </c>
      <c r="P46" s="44"/>
      <c r="Q46" s="44"/>
      <c r="R46" s="44"/>
      <c r="S46" s="44"/>
    </row>
    <row r="47" spans="1:19" ht="17.25" customHeight="1">
      <c r="A47" s="351"/>
      <c r="B47" s="349"/>
      <c r="C47" s="350" t="str">
        <f>IF(C41=1,"Do not use this input","Bandwidth (in):")</f>
        <v>Do not use this input</v>
      </c>
      <c r="D47" s="338"/>
      <c r="E47" s="60"/>
      <c r="F47" s="44"/>
      <c r="G47" s="60"/>
      <c r="H47" s="60"/>
      <c r="I47" s="517"/>
      <c r="N47" s="211"/>
      <c r="O47" s="481" t="s">
        <v>240</v>
      </c>
      <c r="P47" s="44"/>
      <c r="Q47" s="44"/>
      <c r="R47" s="44"/>
      <c r="S47" s="44"/>
    </row>
    <row r="48" spans="1:19" ht="17.25" customHeight="1">
      <c r="A48" s="354"/>
      <c r="B48" s="355"/>
      <c r="C48" s="350" t="s">
        <v>453</v>
      </c>
      <c r="D48" s="579"/>
      <c r="E48" s="60"/>
      <c r="F48" s="44"/>
      <c r="G48" s="60"/>
      <c r="H48" s="60"/>
      <c r="I48" s="517"/>
      <c r="N48" s="211"/>
      <c r="O48" s="481" t="s">
        <v>244</v>
      </c>
      <c r="P48" s="44"/>
      <c r="Q48" s="44"/>
      <c r="R48" s="44"/>
      <c r="S48" s="44"/>
    </row>
    <row r="49" spans="1:19" ht="13.5" thickBot="1">
      <c r="A49" s="356"/>
      <c r="B49" s="357"/>
      <c r="C49" s="358"/>
      <c r="D49" s="313" t="s">
        <v>454</v>
      </c>
      <c r="E49" s="83"/>
      <c r="F49" s="83"/>
      <c r="G49" s="83"/>
      <c r="H49" s="83"/>
      <c r="I49" s="523"/>
      <c r="N49" s="211"/>
      <c r="O49" s="481"/>
      <c r="P49" s="44"/>
      <c r="Q49" s="44"/>
      <c r="R49" s="44"/>
      <c r="S49" s="44"/>
    </row>
    <row r="50" spans="1:19" ht="12.75">
      <c r="A50" s="359"/>
      <c r="B50" s="360"/>
      <c r="C50" s="361"/>
      <c r="D50" s="344"/>
      <c r="E50" s="60"/>
      <c r="F50" s="44"/>
      <c r="G50" s="60"/>
      <c r="H50" s="60"/>
      <c r="I50" s="517"/>
      <c r="N50" s="211"/>
      <c r="O50" s="481" t="s">
        <v>225</v>
      </c>
      <c r="P50" s="44"/>
      <c r="Q50" s="44"/>
      <c r="R50" s="44"/>
      <c r="S50" s="44"/>
    </row>
    <row r="51" spans="1:19" ht="21" thickBot="1">
      <c r="A51" s="362" t="s">
        <v>181</v>
      </c>
      <c r="B51" s="313"/>
      <c r="C51" s="363" t="s">
        <v>211</v>
      </c>
      <c r="D51" s="364">
        <f>B6</f>
        <v>0</v>
      </c>
      <c r="E51" s="365"/>
      <c r="F51" s="366"/>
      <c r="G51" s="313"/>
      <c r="H51" s="313"/>
      <c r="I51" s="593"/>
      <c r="J51" s="216"/>
      <c r="K51" s="216"/>
      <c r="L51" s="216"/>
      <c r="N51" s="211"/>
      <c r="O51" s="481" t="s">
        <v>226</v>
      </c>
      <c r="P51" s="44"/>
      <c r="Q51" s="44"/>
      <c r="R51" s="44"/>
      <c r="S51" s="44"/>
    </row>
    <row r="52" spans="1:14" ht="12.75">
      <c r="A52" s="68"/>
      <c r="B52" s="68"/>
      <c r="C52" s="148"/>
      <c r="D52" s="149"/>
      <c r="E52" s="98"/>
      <c r="F52" s="85"/>
      <c r="G52" s="103"/>
      <c r="H52" s="104"/>
      <c r="I52" s="217"/>
      <c r="J52" s="218"/>
      <c r="K52" s="219"/>
      <c r="L52" s="216"/>
      <c r="N52" s="211"/>
    </row>
    <row r="53" spans="1:14" ht="12.75">
      <c r="A53" s="150"/>
      <c r="B53" s="68"/>
      <c r="C53" s="148"/>
      <c r="D53" s="149"/>
      <c r="E53" s="98"/>
      <c r="F53" s="60"/>
      <c r="G53" s="105"/>
      <c r="H53" s="102"/>
      <c r="I53" s="220"/>
      <c r="J53" s="216"/>
      <c r="K53" s="221"/>
      <c r="L53" s="216"/>
      <c r="N53" s="211"/>
    </row>
    <row r="54" spans="1:14" ht="12.75">
      <c r="A54" s="150"/>
      <c r="B54" s="68"/>
      <c r="C54" s="68"/>
      <c r="D54" s="68"/>
      <c r="E54" s="106"/>
      <c r="F54" s="102"/>
      <c r="G54" s="102"/>
      <c r="H54" s="102"/>
      <c r="I54" s="216"/>
      <c r="J54" s="216"/>
      <c r="K54" s="221"/>
      <c r="L54" s="216"/>
      <c r="N54" s="211"/>
    </row>
    <row r="55" spans="1:14" ht="12.75">
      <c r="A55" s="150"/>
      <c r="B55" s="68"/>
      <c r="C55" s="68"/>
      <c r="D55" s="68"/>
      <c r="E55" s="106"/>
      <c r="F55" s="107"/>
      <c r="G55" s="102"/>
      <c r="H55" s="107"/>
      <c r="I55" s="216"/>
      <c r="J55" s="222"/>
      <c r="K55" s="223"/>
      <c r="L55" s="216"/>
      <c r="N55" s="211"/>
    </row>
    <row r="56" spans="1:14" ht="12.75">
      <c r="A56" s="150"/>
      <c r="B56" s="68"/>
      <c r="C56" s="150"/>
      <c r="D56" s="150"/>
      <c r="E56" s="106"/>
      <c r="F56" s="107"/>
      <c r="G56" s="102"/>
      <c r="H56" s="107"/>
      <c r="I56" s="216"/>
      <c r="J56" s="222"/>
      <c r="K56" s="223"/>
      <c r="L56" s="216"/>
      <c r="N56" s="211"/>
    </row>
    <row r="57" spans="1:14" ht="12.75">
      <c r="A57" s="150"/>
      <c r="B57" s="150"/>
      <c r="C57" s="150"/>
      <c r="D57" s="150"/>
      <c r="E57" s="106"/>
      <c r="F57" s="107"/>
      <c r="G57" s="102"/>
      <c r="H57" s="107"/>
      <c r="I57" s="216"/>
      <c r="J57" s="222"/>
      <c r="K57" s="223"/>
      <c r="L57" s="216"/>
      <c r="N57" s="211"/>
    </row>
    <row r="58" spans="1:14" ht="12.75">
      <c r="A58" s="150"/>
      <c r="B58" s="150"/>
      <c r="C58" s="150"/>
      <c r="D58" s="150"/>
      <c r="E58" s="108"/>
      <c r="F58" s="107"/>
      <c r="G58" s="102"/>
      <c r="H58" s="107"/>
      <c r="I58" s="216"/>
      <c r="J58" s="222"/>
      <c r="K58" s="223"/>
      <c r="L58" s="216"/>
      <c r="N58" s="211"/>
    </row>
    <row r="59" spans="1:14" ht="12.75">
      <c r="A59" s="150"/>
      <c r="B59" s="150"/>
      <c r="C59" s="150"/>
      <c r="D59" s="150"/>
      <c r="E59" s="108"/>
      <c r="F59" s="107"/>
      <c r="G59" s="102"/>
      <c r="H59" s="107"/>
      <c r="I59" s="216"/>
      <c r="J59" s="222"/>
      <c r="K59" s="216"/>
      <c r="L59" s="216"/>
      <c r="N59" s="211"/>
    </row>
    <row r="60" spans="1:14" ht="12.75">
      <c r="A60" s="150"/>
      <c r="B60" s="150"/>
      <c r="C60" s="150"/>
      <c r="D60" s="150"/>
      <c r="E60" s="108"/>
      <c r="F60" s="109"/>
      <c r="G60" s="110"/>
      <c r="H60" s="109"/>
      <c r="I60" s="217"/>
      <c r="J60" s="224"/>
      <c r="K60" s="216"/>
      <c r="L60" s="216"/>
      <c r="N60" s="211"/>
    </row>
    <row r="61" spans="1:14" ht="12.75">
      <c r="A61" s="150"/>
      <c r="B61" s="150"/>
      <c r="C61" s="150"/>
      <c r="D61" s="150"/>
      <c r="E61" s="106"/>
      <c r="F61" s="107"/>
      <c r="G61" s="102"/>
      <c r="H61" s="107"/>
      <c r="I61" s="216"/>
      <c r="J61" s="222"/>
      <c r="K61" s="216"/>
      <c r="L61" s="216"/>
      <c r="N61" s="211"/>
    </row>
    <row r="62" spans="1:14" ht="12.75">
      <c r="A62" s="150"/>
      <c r="B62" s="150"/>
      <c r="C62" s="150"/>
      <c r="D62" s="150"/>
      <c r="E62" s="106"/>
      <c r="F62" s="107"/>
      <c r="G62" s="102"/>
      <c r="H62" s="107"/>
      <c r="I62" s="216"/>
      <c r="J62" s="222"/>
      <c r="K62" s="216"/>
      <c r="L62" s="216"/>
      <c r="N62" s="211"/>
    </row>
    <row r="63" spans="1:14" ht="12.75">
      <c r="A63" s="150"/>
      <c r="B63" s="150"/>
      <c r="C63" s="150"/>
      <c r="D63" s="150"/>
      <c r="E63" s="106"/>
      <c r="F63" s="107"/>
      <c r="G63" s="102"/>
      <c r="H63" s="107"/>
      <c r="I63" s="216"/>
      <c r="J63" s="222"/>
      <c r="K63" s="216"/>
      <c r="L63" s="216"/>
      <c r="N63" s="211"/>
    </row>
    <row r="64" spans="1:14" ht="12.75">
      <c r="A64" s="150"/>
      <c r="B64" s="150"/>
      <c r="C64" s="150"/>
      <c r="D64" s="150"/>
      <c r="E64" s="108"/>
      <c r="F64" s="107"/>
      <c r="G64" s="102"/>
      <c r="H64" s="107"/>
      <c r="I64" s="216"/>
      <c r="J64" s="222"/>
      <c r="K64" s="216"/>
      <c r="L64" s="216"/>
      <c r="N64" s="211"/>
    </row>
    <row r="65" spans="1:14" ht="12.75">
      <c r="A65" s="150"/>
      <c r="B65" s="150"/>
      <c r="C65" s="150"/>
      <c r="D65" s="150"/>
      <c r="E65" s="108"/>
      <c r="F65" s="107"/>
      <c r="G65" s="102"/>
      <c r="H65" s="107"/>
      <c r="I65" s="216"/>
      <c r="J65" s="222"/>
      <c r="K65" s="225"/>
      <c r="L65" s="216"/>
      <c r="N65" s="211"/>
    </row>
    <row r="66" spans="1:14" ht="12.75">
      <c r="A66" s="150"/>
      <c r="B66" s="150"/>
      <c r="C66" s="150"/>
      <c r="D66" s="150"/>
      <c r="E66" s="68"/>
      <c r="F66" s="68"/>
      <c r="G66" s="68"/>
      <c r="H66" s="68"/>
      <c r="I66" s="216"/>
      <c r="J66" s="216"/>
      <c r="K66" s="216"/>
      <c r="L66" s="216"/>
      <c r="N66" s="211"/>
    </row>
    <row r="67" spans="1:14" ht="12.75">
      <c r="A67" s="150"/>
      <c r="B67" s="150"/>
      <c r="C67" s="150"/>
      <c r="D67" s="150"/>
      <c r="E67" s="44"/>
      <c r="F67" s="44"/>
      <c r="G67" s="44"/>
      <c r="H67" s="44"/>
      <c r="I67" s="213"/>
      <c r="N67" s="211"/>
    </row>
    <row r="68" spans="1:14" ht="12.75">
      <c r="A68" s="150"/>
      <c r="B68" s="150"/>
      <c r="C68" s="150"/>
      <c r="D68" s="150"/>
      <c r="E68" s="44"/>
      <c r="F68" s="44"/>
      <c r="G68" s="44"/>
      <c r="H68" s="44"/>
      <c r="I68" s="213"/>
      <c r="N68" s="211"/>
    </row>
    <row r="69" spans="1:14" ht="12.75">
      <c r="A69" s="44"/>
      <c r="B69" s="44"/>
      <c r="C69" s="44"/>
      <c r="D69" s="44"/>
      <c r="E69" s="44"/>
      <c r="F69" s="44"/>
      <c r="G69" s="44"/>
      <c r="H69" s="44"/>
      <c r="I69" s="213"/>
      <c r="N69" s="211"/>
    </row>
    <row r="70" spans="1:14" ht="12.75">
      <c r="A70" s="44"/>
      <c r="B70" s="44"/>
      <c r="C70" s="44"/>
      <c r="D70" s="44"/>
      <c r="E70" s="44"/>
      <c r="F70" s="44"/>
      <c r="G70" s="44"/>
      <c r="H70" s="44"/>
      <c r="I70" s="213"/>
      <c r="N70" s="211"/>
    </row>
    <row r="71" spans="1:14" ht="12.75">
      <c r="A71" s="44"/>
      <c r="B71" s="44"/>
      <c r="C71" s="44"/>
      <c r="D71" s="44"/>
      <c r="E71" s="44"/>
      <c r="F71" s="44"/>
      <c r="G71" s="44"/>
      <c r="H71" s="44"/>
      <c r="I71" s="213"/>
      <c r="N71" s="211"/>
    </row>
    <row r="72" spans="1:14" ht="12.75">
      <c r="A72" s="44"/>
      <c r="B72" s="44"/>
      <c r="C72" s="44"/>
      <c r="D72" s="44"/>
      <c r="E72" s="44"/>
      <c r="F72" s="44"/>
      <c r="G72" s="44"/>
      <c r="H72" s="44"/>
      <c r="I72" s="213"/>
      <c r="N72" s="211"/>
    </row>
    <row r="73" spans="1:14" ht="12.75">
      <c r="A73" s="44"/>
      <c r="B73" s="44"/>
      <c r="C73" s="44"/>
      <c r="D73" s="44"/>
      <c r="E73" s="44"/>
      <c r="F73" s="44"/>
      <c r="G73" s="44"/>
      <c r="H73" s="44"/>
      <c r="I73" s="213"/>
      <c r="N73" s="211"/>
    </row>
    <row r="74" spans="1:14" ht="12.75">
      <c r="A74" s="44"/>
      <c r="B74" s="44"/>
      <c r="C74" s="44"/>
      <c r="D74" s="44"/>
      <c r="E74" s="44"/>
      <c r="F74" s="44"/>
      <c r="G74" s="44"/>
      <c r="H74" s="44"/>
      <c r="I74" s="213"/>
      <c r="N74" s="211"/>
    </row>
    <row r="75" spans="1:14" ht="12.75">
      <c r="A75" s="44"/>
      <c r="B75" s="44"/>
      <c r="C75" s="44"/>
      <c r="D75" s="44"/>
      <c r="E75" s="44"/>
      <c r="F75" s="44"/>
      <c r="G75" s="44"/>
      <c r="H75" s="44"/>
      <c r="I75" s="213"/>
      <c r="N75" s="211"/>
    </row>
    <row r="76" spans="1:14" ht="12.75">
      <c r="A76" s="44"/>
      <c r="B76" s="44"/>
      <c r="C76" s="44"/>
      <c r="D76" s="44"/>
      <c r="E76" s="44"/>
      <c r="F76" s="44"/>
      <c r="G76" s="44"/>
      <c r="H76" s="44"/>
      <c r="I76" s="213"/>
      <c r="N76" s="211"/>
    </row>
    <row r="77" spans="1:14" ht="12.75">
      <c r="A77" s="44"/>
      <c r="B77" s="44"/>
      <c r="C77" s="44"/>
      <c r="D77" s="44"/>
      <c r="E77" s="44"/>
      <c r="F77" s="44"/>
      <c r="G77" s="44"/>
      <c r="H77" s="44"/>
      <c r="I77" s="213"/>
      <c r="N77" s="211"/>
    </row>
    <row r="78" spans="1:14" ht="12.75">
      <c r="A78" s="44"/>
      <c r="B78" s="44"/>
      <c r="C78" s="44"/>
      <c r="D78" s="44"/>
      <c r="E78" s="44"/>
      <c r="F78" s="44"/>
      <c r="G78" s="44"/>
      <c r="H78" s="44"/>
      <c r="I78" s="213"/>
      <c r="N78" s="211"/>
    </row>
    <row r="79" spans="1:14" ht="12.75">
      <c r="A79" s="44"/>
      <c r="B79" s="44"/>
      <c r="C79" s="44"/>
      <c r="D79" s="44"/>
      <c r="E79" s="44"/>
      <c r="F79" s="44"/>
      <c r="G79" s="44"/>
      <c r="H79" s="44"/>
      <c r="I79" s="213"/>
      <c r="N79" s="211"/>
    </row>
    <row r="80" spans="1:14" ht="12.75">
      <c r="A80" s="44"/>
      <c r="B80" s="44"/>
      <c r="C80" s="44"/>
      <c r="D80" s="44"/>
      <c r="E80" s="44"/>
      <c r="F80" s="44"/>
      <c r="G80" s="44"/>
      <c r="H80" s="44"/>
      <c r="I80" s="213"/>
      <c r="N80" s="211"/>
    </row>
    <row r="81" spans="1:14" ht="12.75">
      <c r="A81" s="44"/>
      <c r="B81" s="44"/>
      <c r="C81" s="44"/>
      <c r="D81" s="44"/>
      <c r="E81" s="44"/>
      <c r="F81" s="44"/>
      <c r="G81" s="44"/>
      <c r="H81" s="44"/>
      <c r="I81" s="213"/>
      <c r="N81" s="211"/>
    </row>
    <row r="82" spans="1:14" ht="12.75">
      <c r="A82" s="44"/>
      <c r="B82" s="44"/>
      <c r="C82" s="44"/>
      <c r="D82" s="44"/>
      <c r="E82" s="44"/>
      <c r="F82" s="44"/>
      <c r="G82" s="44"/>
      <c r="H82" s="44"/>
      <c r="I82" s="213"/>
      <c r="N82" s="211"/>
    </row>
    <row r="83" spans="1:14" ht="12.75">
      <c r="A83" s="44"/>
      <c r="B83" s="44"/>
      <c r="C83" s="44"/>
      <c r="D83" s="44"/>
      <c r="E83" s="44"/>
      <c r="F83" s="44"/>
      <c r="G83" s="44"/>
      <c r="H83" s="44"/>
      <c r="I83" s="213"/>
      <c r="N83" s="211"/>
    </row>
    <row r="84" spans="1:14" ht="12.75">
      <c r="A84" s="44"/>
      <c r="B84" s="44"/>
      <c r="C84" s="44"/>
      <c r="D84" s="44"/>
      <c r="E84" s="44"/>
      <c r="F84" s="44"/>
      <c r="G84" s="44"/>
      <c r="H84" s="44"/>
      <c r="I84" s="213"/>
      <c r="N84" s="211"/>
    </row>
    <row r="85" spans="1:14" ht="12.75">
      <c r="A85" s="44"/>
      <c r="B85" s="44"/>
      <c r="C85" s="44"/>
      <c r="D85" s="44"/>
      <c r="E85" s="44"/>
      <c r="F85" s="44"/>
      <c r="G85" s="44"/>
      <c r="H85" s="44"/>
      <c r="I85" s="213"/>
      <c r="N85" s="211"/>
    </row>
    <row r="86" spans="1:14" ht="12.75">
      <c r="A86" s="44"/>
      <c r="B86" s="44"/>
      <c r="C86" s="44"/>
      <c r="D86" s="44"/>
      <c r="E86" s="44"/>
      <c r="F86" s="44"/>
      <c r="G86" s="44"/>
      <c r="H86" s="44"/>
      <c r="I86" s="213"/>
      <c r="N86" s="211"/>
    </row>
    <row r="87" spans="1:14" ht="12.75">
      <c r="A87" s="44"/>
      <c r="B87" s="44"/>
      <c r="C87" s="44"/>
      <c r="D87" s="44"/>
      <c r="E87" s="44"/>
      <c r="F87" s="44"/>
      <c r="G87" s="44"/>
      <c r="H87" s="44"/>
      <c r="I87" s="213"/>
      <c r="N87" s="211"/>
    </row>
    <row r="88" spans="1:14" ht="12.75">
      <c r="A88" s="44"/>
      <c r="B88" s="44"/>
      <c r="C88" s="44"/>
      <c r="D88" s="44"/>
      <c r="E88" s="44"/>
      <c r="F88" s="44"/>
      <c r="G88" s="44"/>
      <c r="H88" s="44"/>
      <c r="I88" s="213"/>
      <c r="N88" s="211"/>
    </row>
    <row r="89" spans="1:14" ht="12.75">
      <c r="A89" s="44"/>
      <c r="B89" s="44"/>
      <c r="C89" s="44"/>
      <c r="D89" s="44"/>
      <c r="E89" s="44"/>
      <c r="F89" s="44"/>
      <c r="G89" s="44"/>
      <c r="H89" s="44"/>
      <c r="I89" s="213"/>
      <c r="N89" s="211"/>
    </row>
    <row r="90" spans="1:14" ht="12.75">
      <c r="A90" s="44"/>
      <c r="B90" s="44"/>
      <c r="C90" s="44"/>
      <c r="D90" s="44"/>
      <c r="E90" s="44"/>
      <c r="F90" s="44"/>
      <c r="G90" s="44"/>
      <c r="H90" s="44"/>
      <c r="I90" s="213"/>
      <c r="N90" s="211"/>
    </row>
    <row r="91" spans="1:14" ht="12.75">
      <c r="A91" s="44"/>
      <c r="B91" s="44"/>
      <c r="C91" s="44"/>
      <c r="D91" s="44"/>
      <c r="E91" s="44"/>
      <c r="F91" s="44"/>
      <c r="G91" s="44"/>
      <c r="H91" s="44"/>
      <c r="I91" s="213"/>
      <c r="N91" s="211"/>
    </row>
    <row r="92" spans="1:14" ht="12.75">
      <c r="A92" s="44"/>
      <c r="B92" s="44"/>
      <c r="C92" s="44"/>
      <c r="D92" s="44"/>
      <c r="E92" s="44"/>
      <c r="F92" s="44"/>
      <c r="G92" s="44"/>
      <c r="H92" s="44"/>
      <c r="I92" s="213"/>
      <c r="N92" s="211"/>
    </row>
    <row r="93" spans="1:14" ht="12.75">
      <c r="A93" s="44"/>
      <c r="B93" s="44"/>
      <c r="C93" s="44"/>
      <c r="D93" s="44"/>
      <c r="E93" s="44"/>
      <c r="F93" s="44"/>
      <c r="G93" s="44"/>
      <c r="H93" s="44"/>
      <c r="I93" s="213"/>
      <c r="N93" s="211"/>
    </row>
    <row r="94" spans="1:14" ht="12.75">
      <c r="A94" s="44"/>
      <c r="B94" s="44"/>
      <c r="C94" s="44"/>
      <c r="D94" s="44"/>
      <c r="E94" s="44"/>
      <c r="F94" s="44"/>
      <c r="G94" s="44"/>
      <c r="H94" s="44"/>
      <c r="I94" s="213"/>
      <c r="N94" s="211"/>
    </row>
    <row r="95" spans="1:14" ht="12.75">
      <c r="A95" s="44"/>
      <c r="B95" s="44"/>
      <c r="C95" s="44"/>
      <c r="D95" s="44"/>
      <c r="E95" s="44"/>
      <c r="F95" s="44"/>
      <c r="G95" s="44"/>
      <c r="H95" s="44"/>
      <c r="I95" s="213"/>
      <c r="N95" s="211"/>
    </row>
    <row r="96" spans="1:14" ht="12.75">
      <c r="A96" s="44"/>
      <c r="B96" s="44"/>
      <c r="C96" s="44"/>
      <c r="D96" s="44"/>
      <c r="E96" s="44"/>
      <c r="F96" s="44"/>
      <c r="G96" s="44"/>
      <c r="H96" s="44"/>
      <c r="I96" s="213"/>
      <c r="N96" s="211"/>
    </row>
    <row r="97" spans="1:14" ht="12.75">
      <c r="A97" s="44"/>
      <c r="B97" s="44"/>
      <c r="C97" s="44"/>
      <c r="D97" s="44"/>
      <c r="E97" s="44"/>
      <c r="F97" s="44"/>
      <c r="G97" s="44"/>
      <c r="H97" s="44"/>
      <c r="I97" s="213"/>
      <c r="N97" s="211"/>
    </row>
    <row r="98" spans="1:14" ht="12.75">
      <c r="A98" s="44"/>
      <c r="B98" s="44"/>
      <c r="C98" s="44"/>
      <c r="D98" s="44"/>
      <c r="E98" s="44"/>
      <c r="F98" s="44"/>
      <c r="G98" s="44"/>
      <c r="H98" s="44"/>
      <c r="I98" s="213"/>
      <c r="N98" s="211"/>
    </row>
    <row r="99" spans="1:14" ht="12.75">
      <c r="A99" s="44"/>
      <c r="B99" s="44"/>
      <c r="C99" s="44"/>
      <c r="D99" s="44"/>
      <c r="E99" s="44"/>
      <c r="F99" s="44"/>
      <c r="G99" s="44"/>
      <c r="H99" s="44"/>
      <c r="I99" s="213"/>
      <c r="N99" s="211"/>
    </row>
    <row r="100" spans="1:14" ht="12.75">
      <c r="A100" s="44"/>
      <c r="B100" s="44"/>
      <c r="C100" s="44"/>
      <c r="D100" s="44"/>
      <c r="E100" s="44"/>
      <c r="F100" s="44"/>
      <c r="G100" s="44"/>
      <c r="H100" s="44"/>
      <c r="I100" s="213"/>
      <c r="N100" s="211"/>
    </row>
    <row r="101" spans="1:14" ht="12.75">
      <c r="A101" s="44"/>
      <c r="B101" s="44"/>
      <c r="C101" s="44"/>
      <c r="D101" s="44"/>
      <c r="E101" s="44"/>
      <c r="F101" s="44"/>
      <c r="G101" s="44"/>
      <c r="H101" s="44"/>
      <c r="I101" s="213"/>
      <c r="N101" s="211"/>
    </row>
    <row r="102" spans="1:14" ht="12.75">
      <c r="A102" s="44"/>
      <c r="B102" s="44"/>
      <c r="C102" s="44"/>
      <c r="D102" s="44"/>
      <c r="E102" s="44"/>
      <c r="F102" s="44"/>
      <c r="G102" s="44"/>
      <c r="H102" s="44"/>
      <c r="I102" s="213"/>
      <c r="N102" s="211"/>
    </row>
    <row r="103" spans="1:14" ht="12.75">
      <c r="A103" s="44"/>
      <c r="B103" s="44"/>
      <c r="C103" s="44"/>
      <c r="D103" s="44"/>
      <c r="E103" s="44"/>
      <c r="F103" s="44"/>
      <c r="G103" s="44"/>
      <c r="H103" s="44"/>
      <c r="I103" s="213"/>
      <c r="N103" s="211"/>
    </row>
    <row r="104" spans="1:14" ht="12.75">
      <c r="A104" s="44"/>
      <c r="B104" s="44"/>
      <c r="C104" s="44"/>
      <c r="D104" s="44"/>
      <c r="E104" s="44"/>
      <c r="F104" s="44"/>
      <c r="G104" s="44"/>
      <c r="H104" s="44"/>
      <c r="I104" s="213"/>
      <c r="N104" s="211"/>
    </row>
    <row r="105" spans="1:14" ht="12.75">
      <c r="A105" s="44"/>
      <c r="B105" s="44"/>
      <c r="C105" s="44"/>
      <c r="D105" s="44"/>
      <c r="E105" s="44"/>
      <c r="F105" s="44"/>
      <c r="G105" s="44"/>
      <c r="H105" s="44"/>
      <c r="I105" s="213"/>
      <c r="N105" s="211"/>
    </row>
    <row r="106" spans="1:14" ht="12.75">
      <c r="A106" s="44"/>
      <c r="B106" s="44"/>
      <c r="C106" s="44"/>
      <c r="D106" s="44"/>
      <c r="E106" s="44"/>
      <c r="F106" s="44"/>
      <c r="G106" s="44"/>
      <c r="H106" s="44"/>
      <c r="I106" s="213"/>
      <c r="N106" s="211"/>
    </row>
    <row r="107" spans="1:14" ht="12.75">
      <c r="A107" s="44"/>
      <c r="B107" s="44"/>
      <c r="C107" s="44"/>
      <c r="D107" s="44"/>
      <c r="E107" s="44"/>
      <c r="F107" s="44"/>
      <c r="G107" s="44"/>
      <c r="H107" s="44"/>
      <c r="I107" s="213"/>
      <c r="N107" s="211"/>
    </row>
    <row r="108" spans="1:14" ht="12.75">
      <c r="A108" s="44"/>
      <c r="B108" s="44"/>
      <c r="C108" s="44"/>
      <c r="D108" s="44"/>
      <c r="E108" s="44"/>
      <c r="F108" s="44"/>
      <c r="G108" s="44"/>
      <c r="H108" s="44"/>
      <c r="I108" s="213"/>
      <c r="N108" s="211"/>
    </row>
    <row r="109" spans="1:14" ht="12.75">
      <c r="A109" s="44"/>
      <c r="B109" s="44"/>
      <c r="C109" s="44"/>
      <c r="D109" s="44"/>
      <c r="E109" s="44"/>
      <c r="F109" s="44"/>
      <c r="G109" s="44"/>
      <c r="H109" s="44"/>
      <c r="I109" s="213"/>
      <c r="N109" s="211"/>
    </row>
    <row r="110" spans="1:14" ht="12.75">
      <c r="A110" s="44"/>
      <c r="B110" s="44"/>
      <c r="C110" s="44"/>
      <c r="D110" s="44"/>
      <c r="E110" s="44"/>
      <c r="F110" s="44"/>
      <c r="G110" s="44"/>
      <c r="H110" s="44"/>
      <c r="I110" s="213"/>
      <c r="N110" s="211"/>
    </row>
    <row r="111" spans="1:14" ht="12.75">
      <c r="A111" s="44"/>
      <c r="B111" s="44"/>
      <c r="C111" s="44"/>
      <c r="D111" s="44"/>
      <c r="E111" s="44"/>
      <c r="F111" s="44"/>
      <c r="G111" s="44"/>
      <c r="H111" s="44"/>
      <c r="I111" s="213"/>
      <c r="N111" s="211"/>
    </row>
    <row r="112" spans="1:14" ht="12.75">
      <c r="A112" s="44"/>
      <c r="B112" s="44"/>
      <c r="C112" s="44"/>
      <c r="D112" s="44"/>
      <c r="E112" s="44"/>
      <c r="F112" s="44"/>
      <c r="G112" s="44"/>
      <c r="H112" s="44"/>
      <c r="I112" s="213"/>
      <c r="N112" s="211"/>
    </row>
    <row r="113" spans="1:14" ht="12.75">
      <c r="A113" s="44"/>
      <c r="B113" s="44"/>
      <c r="C113" s="44"/>
      <c r="D113" s="44"/>
      <c r="E113" s="44"/>
      <c r="F113" s="44"/>
      <c r="G113" s="44"/>
      <c r="H113" s="44"/>
      <c r="I113" s="213"/>
      <c r="N113" s="211"/>
    </row>
    <row r="114" spans="1:14" ht="12.75">
      <c r="A114" s="44"/>
      <c r="B114" s="44"/>
      <c r="C114" s="44"/>
      <c r="D114" s="44"/>
      <c r="E114" s="44"/>
      <c r="F114" s="44"/>
      <c r="G114" s="44"/>
      <c r="H114" s="44"/>
      <c r="I114" s="213"/>
      <c r="N114" s="211"/>
    </row>
    <row r="115" spans="1:14" ht="12.75">
      <c r="A115" s="44"/>
      <c r="B115" s="44"/>
      <c r="C115" s="44"/>
      <c r="D115" s="44"/>
      <c r="E115" s="44"/>
      <c r="F115" s="44"/>
      <c r="G115" s="44"/>
      <c r="H115" s="44"/>
      <c r="I115" s="213"/>
      <c r="N115" s="211"/>
    </row>
    <row r="116" spans="1:14" ht="12.75">
      <c r="A116" s="44"/>
      <c r="B116" s="44"/>
      <c r="C116" s="44"/>
      <c r="D116" s="44"/>
      <c r="E116" s="44"/>
      <c r="F116" s="44"/>
      <c r="G116" s="44"/>
      <c r="H116" s="44"/>
      <c r="I116" s="213"/>
      <c r="N116" s="211"/>
    </row>
    <row r="117" spans="1:14" ht="12.75">
      <c r="A117" s="44"/>
      <c r="B117" s="44"/>
      <c r="C117" s="44"/>
      <c r="D117" s="44"/>
      <c r="E117" s="44"/>
      <c r="F117" s="44"/>
      <c r="G117" s="44"/>
      <c r="H117" s="44"/>
      <c r="I117" s="213"/>
      <c r="N117" s="211"/>
    </row>
    <row r="118" spans="1:14" ht="12.75">
      <c r="A118" s="44"/>
      <c r="B118" s="44"/>
      <c r="C118" s="44"/>
      <c r="D118" s="44"/>
      <c r="E118" s="44"/>
      <c r="F118" s="44"/>
      <c r="G118" s="44"/>
      <c r="H118" s="44"/>
      <c r="I118" s="213"/>
      <c r="N118" s="211"/>
    </row>
    <row r="119" spans="1:14" ht="12.75">
      <c r="A119" s="44"/>
      <c r="B119" s="44"/>
      <c r="C119" s="44"/>
      <c r="D119" s="44"/>
      <c r="E119" s="44"/>
      <c r="F119" s="44"/>
      <c r="G119" s="44"/>
      <c r="H119" s="44"/>
      <c r="I119" s="213"/>
      <c r="N119" s="211"/>
    </row>
    <row r="120" spans="1:14" ht="12.75">
      <c r="A120" s="44"/>
      <c r="B120" s="44"/>
      <c r="C120" s="44"/>
      <c r="D120" s="44"/>
      <c r="E120" s="44"/>
      <c r="F120" s="44"/>
      <c r="G120" s="44"/>
      <c r="H120" s="44"/>
      <c r="I120" s="213"/>
      <c r="N120" s="211"/>
    </row>
    <row r="121" spans="1:14" ht="12.75">
      <c r="A121" s="44"/>
      <c r="B121" s="44"/>
      <c r="C121" s="44"/>
      <c r="D121" s="44"/>
      <c r="E121" s="44"/>
      <c r="F121" s="44"/>
      <c r="G121" s="44"/>
      <c r="H121" s="44"/>
      <c r="I121" s="213"/>
      <c r="N121" s="211"/>
    </row>
    <row r="122" spans="1:14" ht="12.75">
      <c r="A122" s="44"/>
      <c r="B122" s="44"/>
      <c r="C122" s="44"/>
      <c r="D122" s="44"/>
      <c r="E122" s="44"/>
      <c r="F122" s="44"/>
      <c r="G122" s="44"/>
      <c r="H122" s="44"/>
      <c r="I122" s="213"/>
      <c r="N122" s="211"/>
    </row>
    <row r="123" spans="1:14" ht="12.75">
      <c r="A123" s="44"/>
      <c r="B123" s="44"/>
      <c r="C123" s="44"/>
      <c r="D123" s="44"/>
      <c r="E123" s="44"/>
      <c r="F123" s="44"/>
      <c r="G123" s="44"/>
      <c r="H123" s="44"/>
      <c r="I123" s="213"/>
      <c r="N123" s="211"/>
    </row>
    <row r="124" spans="1:14" ht="12.75">
      <c r="A124" s="44"/>
      <c r="B124" s="44"/>
      <c r="C124" s="44"/>
      <c r="D124" s="44"/>
      <c r="E124" s="44"/>
      <c r="F124" s="44"/>
      <c r="G124" s="44"/>
      <c r="H124" s="44"/>
      <c r="I124" s="213"/>
      <c r="N124" s="211"/>
    </row>
    <row r="125" spans="1:14" ht="12.75">
      <c r="A125" s="44"/>
      <c r="B125" s="44"/>
      <c r="C125" s="44"/>
      <c r="D125" s="44"/>
      <c r="E125" s="44"/>
      <c r="F125" s="44"/>
      <c r="G125" s="44"/>
      <c r="H125" s="44"/>
      <c r="I125" s="213"/>
      <c r="N125" s="211"/>
    </row>
    <row r="126" spans="1:14" ht="12.75">
      <c r="A126" s="44"/>
      <c r="B126" s="44"/>
      <c r="C126" s="44"/>
      <c r="D126" s="44"/>
      <c r="E126" s="44"/>
      <c r="F126" s="44"/>
      <c r="G126" s="44"/>
      <c r="H126" s="44"/>
      <c r="I126" s="213"/>
      <c r="N126" s="211"/>
    </row>
    <row r="127" spans="1:14" ht="12.75">
      <c r="A127" s="44"/>
      <c r="B127" s="44"/>
      <c r="C127" s="44"/>
      <c r="D127" s="44"/>
      <c r="E127" s="44"/>
      <c r="F127" s="44"/>
      <c r="G127" s="44"/>
      <c r="H127" s="44"/>
      <c r="I127" s="213"/>
      <c r="N127" s="211"/>
    </row>
    <row r="128" spans="1:14" ht="12.75">
      <c r="A128" s="44"/>
      <c r="B128" s="44"/>
      <c r="C128" s="44"/>
      <c r="D128" s="44"/>
      <c r="E128" s="44"/>
      <c r="F128" s="44"/>
      <c r="G128" s="44"/>
      <c r="H128" s="44"/>
      <c r="I128" s="213"/>
      <c r="N128" s="211"/>
    </row>
    <row r="129" spans="1:14" ht="12.75">
      <c r="A129" s="44"/>
      <c r="B129" s="44"/>
      <c r="C129" s="44"/>
      <c r="D129" s="44"/>
      <c r="E129" s="44"/>
      <c r="F129" s="44"/>
      <c r="G129" s="44"/>
      <c r="H129" s="44"/>
      <c r="I129" s="213"/>
      <c r="N129" s="211"/>
    </row>
    <row r="130" spans="1:14" ht="12.75">
      <c r="A130" s="44"/>
      <c r="B130" s="44"/>
      <c r="C130" s="44"/>
      <c r="D130" s="44"/>
      <c r="E130" s="44"/>
      <c r="F130" s="44"/>
      <c r="G130" s="44"/>
      <c r="H130" s="44"/>
      <c r="I130" s="213"/>
      <c r="N130" s="211"/>
    </row>
    <row r="131" spans="1:14" ht="12.75">
      <c r="A131" s="44"/>
      <c r="B131" s="44"/>
      <c r="C131" s="44"/>
      <c r="D131" s="44"/>
      <c r="E131" s="44"/>
      <c r="F131" s="44"/>
      <c r="G131" s="44"/>
      <c r="H131" s="44"/>
      <c r="I131" s="213"/>
      <c r="N131" s="211"/>
    </row>
    <row r="132" spans="1:14" ht="12.75">
      <c r="A132" s="44"/>
      <c r="B132" s="44"/>
      <c r="C132" s="44"/>
      <c r="D132" s="44"/>
      <c r="E132" s="44"/>
      <c r="F132" s="44"/>
      <c r="G132" s="44"/>
      <c r="H132" s="44"/>
      <c r="I132" s="213"/>
      <c r="N132" s="211"/>
    </row>
    <row r="133" spans="1:14" ht="12.75">
      <c r="A133" s="44"/>
      <c r="B133" s="44"/>
      <c r="C133" s="44"/>
      <c r="D133" s="44"/>
      <c r="E133" s="44"/>
      <c r="F133" s="44"/>
      <c r="G133" s="44"/>
      <c r="H133" s="44"/>
      <c r="I133" s="213"/>
      <c r="N133" s="211"/>
    </row>
    <row r="134" spans="1:14" ht="12.75">
      <c r="A134" s="44"/>
      <c r="B134" s="44"/>
      <c r="C134" s="44"/>
      <c r="D134" s="44"/>
      <c r="E134" s="44"/>
      <c r="F134" s="44"/>
      <c r="G134" s="44"/>
      <c r="H134" s="44"/>
      <c r="I134" s="213"/>
      <c r="N134" s="211"/>
    </row>
    <row r="135" spans="5:14" ht="12.75">
      <c r="E135" s="44"/>
      <c r="F135" s="44"/>
      <c r="G135" s="44"/>
      <c r="H135" s="44"/>
      <c r="I135" s="213"/>
      <c r="N135" s="211"/>
    </row>
    <row r="136" spans="5:14" ht="12.75">
      <c r="E136" s="44"/>
      <c r="F136" s="44"/>
      <c r="G136" s="44"/>
      <c r="H136" s="44"/>
      <c r="I136" s="213"/>
      <c r="N136" s="211"/>
    </row>
    <row r="137" spans="5:14" ht="12.75">
      <c r="E137" s="44"/>
      <c r="F137" s="44"/>
      <c r="G137" s="44"/>
      <c r="H137" s="44"/>
      <c r="I137" s="213"/>
      <c r="N137" s="211"/>
    </row>
    <row r="138" spans="5:14" ht="12.75">
      <c r="E138" s="44"/>
      <c r="F138" s="44"/>
      <c r="G138" s="44"/>
      <c r="H138" s="44"/>
      <c r="I138" s="213"/>
      <c r="N138" s="211"/>
    </row>
    <row r="139" spans="5:14" ht="12.75">
      <c r="E139" s="44"/>
      <c r="F139" s="44"/>
      <c r="G139" s="44"/>
      <c r="H139" s="44"/>
      <c r="I139" s="213"/>
      <c r="N139" s="211"/>
    </row>
    <row r="140" spans="5:14" ht="12.75">
      <c r="E140" s="44"/>
      <c r="F140" s="44"/>
      <c r="G140" s="44"/>
      <c r="H140" s="44"/>
      <c r="I140" s="213"/>
      <c r="N140" s="211"/>
    </row>
    <row r="141" spans="5:14" ht="12.75">
      <c r="E141" s="44"/>
      <c r="F141" s="44"/>
      <c r="G141" s="44"/>
      <c r="H141" s="44"/>
      <c r="I141" s="213"/>
      <c r="N141" s="211"/>
    </row>
    <row r="142" spans="5:14" ht="12.75">
      <c r="E142" s="44"/>
      <c r="F142" s="44"/>
      <c r="G142" s="44"/>
      <c r="H142" s="44"/>
      <c r="I142" s="213"/>
      <c r="N142" s="211"/>
    </row>
    <row r="143" spans="5:14" ht="12.75">
      <c r="E143" s="44"/>
      <c r="F143" s="44"/>
      <c r="G143" s="44"/>
      <c r="H143" s="44"/>
      <c r="I143" s="213"/>
      <c r="N143" s="211"/>
    </row>
    <row r="144" spans="5:14" ht="12.75">
      <c r="E144" s="44"/>
      <c r="F144" s="44"/>
      <c r="G144" s="44"/>
      <c r="H144" s="44"/>
      <c r="I144" s="213"/>
      <c r="N144" s="211"/>
    </row>
    <row r="145" spans="5:14" ht="12.75">
      <c r="E145" s="44"/>
      <c r="F145" s="44"/>
      <c r="G145" s="44"/>
      <c r="H145" s="44"/>
      <c r="I145" s="213"/>
      <c r="N145" s="211"/>
    </row>
    <row r="146" spans="5:14" ht="12.75">
      <c r="E146" s="44"/>
      <c r="F146" s="44"/>
      <c r="G146" s="44"/>
      <c r="H146" s="44"/>
      <c r="I146" s="213"/>
      <c r="N146" s="211"/>
    </row>
    <row r="147" spans="5:14" ht="12.75">
      <c r="E147" s="44"/>
      <c r="F147" s="44"/>
      <c r="G147" s="44"/>
      <c r="H147" s="44"/>
      <c r="I147" s="213"/>
      <c r="N147" s="211"/>
    </row>
    <row r="148" spans="5:14" ht="12.75">
      <c r="E148" s="44"/>
      <c r="F148" s="44"/>
      <c r="G148" s="44"/>
      <c r="H148" s="44"/>
      <c r="I148" s="213"/>
      <c r="N148" s="211"/>
    </row>
    <row r="149" spans="5:14" ht="12.75">
      <c r="E149" s="44"/>
      <c r="F149" s="44"/>
      <c r="G149" s="44"/>
      <c r="H149" s="44"/>
      <c r="I149" s="213"/>
      <c r="N149" s="211"/>
    </row>
    <row r="150" spans="5:14" ht="12.75">
      <c r="E150" s="44"/>
      <c r="F150" s="44"/>
      <c r="G150" s="44"/>
      <c r="H150" s="44"/>
      <c r="I150" s="213"/>
      <c r="N150" s="211"/>
    </row>
    <row r="151" spans="5:14" ht="12.75">
      <c r="E151" s="44"/>
      <c r="F151" s="44"/>
      <c r="G151" s="44"/>
      <c r="H151" s="44"/>
      <c r="I151" s="213"/>
      <c r="N151" s="211"/>
    </row>
    <row r="152" spans="5:14" ht="12.75">
      <c r="E152" s="44"/>
      <c r="F152" s="44"/>
      <c r="G152" s="44"/>
      <c r="H152" s="44"/>
      <c r="I152" s="213"/>
      <c r="N152" s="211"/>
    </row>
    <row r="153" spans="5:14" ht="12.75">
      <c r="E153" s="44"/>
      <c r="F153" s="44"/>
      <c r="G153" s="44"/>
      <c r="H153" s="44"/>
      <c r="I153" s="213"/>
      <c r="N153" s="211"/>
    </row>
    <row r="154" spans="5:14" ht="12.75">
      <c r="E154" s="44"/>
      <c r="F154" s="44"/>
      <c r="G154" s="44"/>
      <c r="H154" s="44"/>
      <c r="I154" s="213"/>
      <c r="N154" s="211"/>
    </row>
    <row r="155" spans="5:14" ht="12.75">
      <c r="E155" s="44"/>
      <c r="F155" s="44"/>
      <c r="G155" s="44"/>
      <c r="H155" s="44"/>
      <c r="I155" s="213"/>
      <c r="N155" s="211"/>
    </row>
    <row r="156" spans="5:14" ht="12.75">
      <c r="E156" s="44"/>
      <c r="F156" s="44"/>
      <c r="G156" s="44"/>
      <c r="H156" s="44"/>
      <c r="I156" s="213"/>
      <c r="N156" s="211"/>
    </row>
    <row r="157" spans="5:14" ht="12.75">
      <c r="E157" s="44"/>
      <c r="F157" s="44"/>
      <c r="G157" s="44"/>
      <c r="H157" s="44"/>
      <c r="I157" s="213"/>
      <c r="N157" s="211"/>
    </row>
    <row r="158" spans="5:14" ht="12.75">
      <c r="E158" s="44"/>
      <c r="F158" s="44"/>
      <c r="G158" s="44"/>
      <c r="H158" s="44"/>
      <c r="I158" s="213"/>
      <c r="N158" s="211"/>
    </row>
    <row r="159" spans="5:14" ht="12.75">
      <c r="E159" s="44"/>
      <c r="F159" s="44"/>
      <c r="G159" s="44"/>
      <c r="H159" s="44"/>
      <c r="I159" s="213"/>
      <c r="N159" s="211"/>
    </row>
    <row r="160" spans="5:14" ht="12.75">
      <c r="E160" s="44"/>
      <c r="F160" s="44"/>
      <c r="G160" s="44"/>
      <c r="H160" s="44"/>
      <c r="I160" s="213"/>
      <c r="N160" s="211"/>
    </row>
    <row r="161" spans="5:14" ht="12.75">
      <c r="E161" s="44"/>
      <c r="F161" s="44"/>
      <c r="G161" s="44"/>
      <c r="H161" s="44"/>
      <c r="I161" s="213"/>
      <c r="N161" s="211"/>
    </row>
    <row r="162" spans="5:14" ht="12.75">
      <c r="E162" s="44"/>
      <c r="F162" s="44"/>
      <c r="G162" s="44"/>
      <c r="H162" s="44"/>
      <c r="I162" s="213"/>
      <c r="N162" s="211"/>
    </row>
    <row r="163" spans="5:14" ht="12.75">
      <c r="E163" s="44"/>
      <c r="F163" s="44"/>
      <c r="G163" s="44"/>
      <c r="H163" s="44"/>
      <c r="I163" s="213"/>
      <c r="N163" s="211"/>
    </row>
    <row r="164" spans="5:14" ht="12.75">
      <c r="E164" s="44"/>
      <c r="F164" s="44"/>
      <c r="G164" s="44"/>
      <c r="H164" s="44"/>
      <c r="I164" s="213"/>
      <c r="N164" s="211"/>
    </row>
    <row r="165" spans="5:14" ht="12.75">
      <c r="E165" s="44"/>
      <c r="F165" s="44"/>
      <c r="G165" s="44"/>
      <c r="H165" s="44"/>
      <c r="I165" s="213"/>
      <c r="N165" s="211"/>
    </row>
    <row r="166" spans="5:14" ht="12.75">
      <c r="E166" s="44"/>
      <c r="F166" s="44"/>
      <c r="G166" s="44"/>
      <c r="H166" s="44"/>
      <c r="I166" s="213"/>
      <c r="N166" s="211"/>
    </row>
    <row r="167" spans="5:14" ht="12.75">
      <c r="E167" s="44"/>
      <c r="F167" s="44"/>
      <c r="G167" s="44"/>
      <c r="H167" s="44"/>
      <c r="I167" s="213"/>
      <c r="N167" s="211"/>
    </row>
    <row r="168" spans="5:14" ht="12.75">
      <c r="E168" s="44"/>
      <c r="F168" s="44"/>
      <c r="G168" s="44"/>
      <c r="H168" s="44"/>
      <c r="I168" s="213"/>
      <c r="N168" s="211"/>
    </row>
    <row r="169" spans="5:14" ht="12.75">
      <c r="E169" s="44"/>
      <c r="F169" s="44"/>
      <c r="G169" s="44"/>
      <c r="H169" s="44"/>
      <c r="I169" s="213"/>
      <c r="N169" s="211"/>
    </row>
    <row r="170" spans="5:14" ht="12.75">
      <c r="E170" s="44"/>
      <c r="F170" s="44"/>
      <c r="G170" s="44"/>
      <c r="H170" s="44"/>
      <c r="I170" s="213"/>
      <c r="N170" s="211"/>
    </row>
    <row r="171" spans="5:14" ht="12.75">
      <c r="E171" s="44"/>
      <c r="F171" s="44"/>
      <c r="G171" s="44"/>
      <c r="H171" s="44"/>
      <c r="I171" s="213"/>
      <c r="N171" s="211"/>
    </row>
    <row r="172" spans="5:14" ht="12.75">
      <c r="E172" s="44"/>
      <c r="F172" s="44"/>
      <c r="G172" s="44"/>
      <c r="H172" s="44"/>
      <c r="I172" s="213"/>
      <c r="N172" s="211"/>
    </row>
    <row r="173" spans="5:14" ht="12.75">
      <c r="E173" s="44"/>
      <c r="F173" s="44"/>
      <c r="G173" s="44"/>
      <c r="H173" s="44"/>
      <c r="I173" s="213"/>
      <c r="N173" s="211"/>
    </row>
    <row r="174" spans="5:14" ht="12.75">
      <c r="E174" s="44"/>
      <c r="F174" s="44"/>
      <c r="G174" s="44"/>
      <c r="H174" s="44"/>
      <c r="I174" s="213"/>
      <c r="N174" s="211"/>
    </row>
    <row r="175" spans="5:14" ht="12.75">
      <c r="E175" s="44"/>
      <c r="F175" s="44"/>
      <c r="G175" s="44"/>
      <c r="H175" s="44"/>
      <c r="I175" s="213"/>
      <c r="N175" s="211"/>
    </row>
    <row r="176" spans="5:14" ht="12.75">
      <c r="E176" s="44"/>
      <c r="F176" s="44"/>
      <c r="G176" s="44"/>
      <c r="H176" s="44"/>
      <c r="I176" s="213"/>
      <c r="N176" s="211"/>
    </row>
    <row r="177" spans="5:14" ht="12.75">
      <c r="E177" s="44"/>
      <c r="F177" s="44"/>
      <c r="G177" s="44"/>
      <c r="H177" s="44"/>
      <c r="I177" s="213"/>
      <c r="N177" s="211"/>
    </row>
    <row r="178" spans="5:14" ht="12.75">
      <c r="E178" s="44"/>
      <c r="F178" s="44"/>
      <c r="G178" s="44"/>
      <c r="H178" s="44"/>
      <c r="I178" s="213"/>
      <c r="N178" s="211"/>
    </row>
    <row r="179" spans="5:14" ht="12.75">
      <c r="E179" s="44"/>
      <c r="F179" s="44"/>
      <c r="G179" s="44"/>
      <c r="H179" s="44"/>
      <c r="I179" s="213"/>
      <c r="N179" s="211"/>
    </row>
    <row r="180" spans="5:14" ht="12.75">
      <c r="E180" s="44"/>
      <c r="F180" s="44"/>
      <c r="G180" s="44"/>
      <c r="H180" s="44"/>
      <c r="I180" s="213"/>
      <c r="N180" s="211"/>
    </row>
    <row r="181" spans="5:14" ht="12.75">
      <c r="E181" s="44"/>
      <c r="F181" s="44"/>
      <c r="G181" s="44"/>
      <c r="H181" s="44"/>
      <c r="I181" s="213"/>
      <c r="N181" s="211"/>
    </row>
    <row r="182" spans="5:14" ht="12.75">
      <c r="E182" s="44"/>
      <c r="F182" s="44"/>
      <c r="G182" s="44"/>
      <c r="H182" s="44"/>
      <c r="I182" s="213"/>
      <c r="N182" s="211"/>
    </row>
    <row r="183" spans="5:14" ht="12.75">
      <c r="E183" s="44"/>
      <c r="F183" s="44"/>
      <c r="G183" s="44"/>
      <c r="H183" s="44"/>
      <c r="I183" s="213"/>
      <c r="N183" s="211"/>
    </row>
    <row r="184" spans="5:14" ht="12.75">
      <c r="E184" s="44"/>
      <c r="F184" s="44"/>
      <c r="G184" s="44"/>
      <c r="H184" s="44"/>
      <c r="I184" s="213"/>
      <c r="N184" s="211"/>
    </row>
    <row r="185" spans="5:14" ht="12.75">
      <c r="E185" s="44"/>
      <c r="F185" s="44"/>
      <c r="G185" s="44"/>
      <c r="H185" s="44"/>
      <c r="I185" s="213"/>
      <c r="N185" s="211"/>
    </row>
    <row r="186" spans="5:14" ht="12.75">
      <c r="E186" s="44"/>
      <c r="F186" s="44"/>
      <c r="G186" s="44"/>
      <c r="H186" s="44"/>
      <c r="I186" s="213"/>
      <c r="N186" s="211"/>
    </row>
    <row r="187" spans="5:14" ht="12.75">
      <c r="E187" s="44"/>
      <c r="F187" s="44"/>
      <c r="G187" s="44"/>
      <c r="H187" s="44"/>
      <c r="I187" s="213"/>
      <c r="N187" s="211"/>
    </row>
    <row r="188" spans="5:14" ht="12.75">
      <c r="E188" s="44"/>
      <c r="F188" s="44"/>
      <c r="G188" s="44"/>
      <c r="H188" s="44"/>
      <c r="I188" s="213"/>
      <c r="N188" s="211"/>
    </row>
    <row r="189" spans="5:14" ht="12.75">
      <c r="E189" s="44"/>
      <c r="F189" s="44"/>
      <c r="G189" s="44"/>
      <c r="H189" s="44"/>
      <c r="I189" s="213"/>
      <c r="N189" s="211"/>
    </row>
    <row r="190" spans="5:14" ht="12.75">
      <c r="E190" s="44"/>
      <c r="F190" s="44"/>
      <c r="G190" s="44"/>
      <c r="H190" s="44"/>
      <c r="I190" s="213"/>
      <c r="N190" s="211"/>
    </row>
    <row r="191" spans="5:14" ht="12.75">
      <c r="E191" s="44"/>
      <c r="F191" s="44"/>
      <c r="G191" s="44"/>
      <c r="H191" s="44"/>
      <c r="I191" s="213"/>
      <c r="N191" s="211"/>
    </row>
    <row r="192" spans="5:14" ht="12.75">
      <c r="E192" s="44"/>
      <c r="F192" s="44"/>
      <c r="G192" s="44"/>
      <c r="H192" s="44"/>
      <c r="I192" s="213"/>
      <c r="N192" s="211"/>
    </row>
    <row r="193" spans="5:14" ht="12.75">
      <c r="E193" s="44"/>
      <c r="F193" s="44"/>
      <c r="G193" s="44"/>
      <c r="H193" s="44"/>
      <c r="I193" s="213"/>
      <c r="N193" s="211"/>
    </row>
    <row r="194" spans="5:14" ht="12.75">
      <c r="E194" s="44"/>
      <c r="F194" s="44"/>
      <c r="G194" s="44"/>
      <c r="H194" s="44"/>
      <c r="I194" s="213"/>
      <c r="N194" s="211"/>
    </row>
    <row r="195" spans="5:14" ht="12.75">
      <c r="E195" s="44"/>
      <c r="F195" s="44"/>
      <c r="G195" s="44"/>
      <c r="H195" s="44"/>
      <c r="I195" s="213"/>
      <c r="N195" s="211"/>
    </row>
    <row r="196" spans="5:14" ht="12.75">
      <c r="E196" s="44"/>
      <c r="F196" s="44"/>
      <c r="G196" s="44"/>
      <c r="H196" s="44"/>
      <c r="I196" s="213"/>
      <c r="N196" s="211"/>
    </row>
    <row r="197" spans="5:14" ht="12.75">
      <c r="E197" s="44"/>
      <c r="F197" s="44"/>
      <c r="G197" s="44"/>
      <c r="H197" s="44"/>
      <c r="I197" s="213"/>
      <c r="N197" s="211"/>
    </row>
    <row r="198" spans="5:14" ht="12.75">
      <c r="E198" s="44"/>
      <c r="F198" s="44"/>
      <c r="G198" s="44"/>
      <c r="H198" s="44"/>
      <c r="I198" s="213"/>
      <c r="N198" s="211"/>
    </row>
    <row r="199" spans="5:14" ht="12.75">
      <c r="E199" s="44"/>
      <c r="F199" s="44"/>
      <c r="G199" s="44"/>
      <c r="H199" s="44"/>
      <c r="I199" s="213"/>
      <c r="N199" s="211"/>
    </row>
    <row r="200" spans="5:14" ht="12.75">
      <c r="E200" s="44"/>
      <c r="F200" s="44"/>
      <c r="G200" s="44"/>
      <c r="H200" s="44"/>
      <c r="I200" s="213"/>
      <c r="N200" s="211"/>
    </row>
    <row r="201" spans="5:14" ht="12.75">
      <c r="E201" s="44"/>
      <c r="F201" s="44"/>
      <c r="G201" s="44"/>
      <c r="H201" s="44"/>
      <c r="I201" s="213"/>
      <c r="N201" s="211"/>
    </row>
    <row r="202" spans="5:14" ht="12.75">
      <c r="E202" s="44"/>
      <c r="F202" s="44"/>
      <c r="G202" s="44"/>
      <c r="H202" s="44"/>
      <c r="I202" s="213"/>
      <c r="N202" s="211"/>
    </row>
    <row r="203" spans="5:14" ht="12.75">
      <c r="E203" s="44"/>
      <c r="F203" s="44"/>
      <c r="G203" s="44"/>
      <c r="H203" s="44"/>
      <c r="I203" s="213"/>
      <c r="N203" s="211"/>
    </row>
    <row r="204" spans="5:14" ht="12.75">
      <c r="E204" s="44"/>
      <c r="F204" s="44"/>
      <c r="G204" s="44"/>
      <c r="H204" s="44"/>
      <c r="I204" s="213"/>
      <c r="N204" s="211"/>
    </row>
    <row r="205" spans="5:14" ht="12.75">
      <c r="E205" s="44"/>
      <c r="F205" s="44"/>
      <c r="G205" s="44"/>
      <c r="H205" s="44"/>
      <c r="I205" s="213"/>
      <c r="N205" s="211"/>
    </row>
    <row r="206" spans="5:14" ht="12.75">
      <c r="E206" s="44"/>
      <c r="F206" s="44"/>
      <c r="G206" s="44"/>
      <c r="H206" s="44"/>
      <c r="I206" s="213"/>
      <c r="N206" s="211"/>
    </row>
    <row r="207" spans="5:14" ht="12.75">
      <c r="E207" s="44"/>
      <c r="F207" s="44"/>
      <c r="G207" s="44"/>
      <c r="H207" s="44"/>
      <c r="I207" s="213"/>
      <c r="N207" s="211"/>
    </row>
    <row r="208" spans="5:14" ht="12.75">
      <c r="E208" s="44"/>
      <c r="F208" s="44"/>
      <c r="G208" s="44"/>
      <c r="H208" s="44"/>
      <c r="I208" s="213"/>
      <c r="N208" s="211"/>
    </row>
    <row r="209" spans="5:14" ht="12.75">
      <c r="E209" s="44"/>
      <c r="F209" s="44"/>
      <c r="G209" s="44"/>
      <c r="H209" s="44"/>
      <c r="I209" s="213"/>
      <c r="N209" s="211"/>
    </row>
    <row r="210" spans="5:14" ht="12.75">
      <c r="E210" s="44"/>
      <c r="F210" s="44"/>
      <c r="G210" s="44"/>
      <c r="H210" s="44"/>
      <c r="I210" s="213"/>
      <c r="N210" s="211"/>
    </row>
    <row r="211" spans="5:14" ht="12.75">
      <c r="E211" s="44"/>
      <c r="F211" s="44"/>
      <c r="G211" s="44"/>
      <c r="H211" s="44"/>
      <c r="I211" s="213"/>
      <c r="N211" s="211"/>
    </row>
    <row r="212" spans="5:14" ht="12.75">
      <c r="E212" s="44"/>
      <c r="F212" s="44"/>
      <c r="G212" s="44"/>
      <c r="H212" s="44"/>
      <c r="I212" s="213"/>
      <c r="N212" s="211"/>
    </row>
    <row r="213" spans="5:14" ht="12.75">
      <c r="E213" s="44"/>
      <c r="F213" s="44"/>
      <c r="G213" s="44"/>
      <c r="H213" s="44"/>
      <c r="I213" s="213"/>
      <c r="N213" s="211"/>
    </row>
    <row r="214" spans="5:14" ht="12.75">
      <c r="E214" s="44"/>
      <c r="F214" s="44"/>
      <c r="G214" s="44"/>
      <c r="H214" s="44"/>
      <c r="I214" s="213"/>
      <c r="N214" s="211"/>
    </row>
    <row r="215" spans="5:14" ht="12.75">
      <c r="E215" s="44"/>
      <c r="F215" s="44"/>
      <c r="G215" s="44"/>
      <c r="H215" s="44"/>
      <c r="I215" s="213"/>
      <c r="N215" s="211"/>
    </row>
    <row r="216" spans="5:14" ht="12.75">
      <c r="E216" s="44"/>
      <c r="F216" s="44"/>
      <c r="G216" s="44"/>
      <c r="H216" s="44"/>
      <c r="I216" s="213"/>
      <c r="N216" s="211"/>
    </row>
    <row r="217" spans="5:14" ht="12.75">
      <c r="E217" s="44"/>
      <c r="F217" s="44"/>
      <c r="G217" s="44"/>
      <c r="H217" s="44"/>
      <c r="I217" s="213"/>
      <c r="N217" s="211"/>
    </row>
    <row r="218" spans="5:14" ht="12.75">
      <c r="E218" s="44"/>
      <c r="F218" s="44"/>
      <c r="G218" s="44"/>
      <c r="H218" s="44"/>
      <c r="I218" s="213"/>
      <c r="N218" s="211"/>
    </row>
    <row r="219" spans="5:14" ht="12.75">
      <c r="E219" s="44"/>
      <c r="F219" s="44"/>
      <c r="G219" s="44"/>
      <c r="H219" s="44"/>
      <c r="I219" s="213"/>
      <c r="N219" s="211"/>
    </row>
    <row r="220" spans="5:14" ht="12.75">
      <c r="E220" s="44"/>
      <c r="F220" s="44"/>
      <c r="G220" s="44"/>
      <c r="H220" s="44"/>
      <c r="I220" s="213"/>
      <c r="N220" s="211"/>
    </row>
    <row r="221" spans="5:14" ht="12.75">
      <c r="E221" s="44"/>
      <c r="F221" s="44"/>
      <c r="G221" s="44"/>
      <c r="H221" s="44"/>
      <c r="I221" s="213"/>
      <c r="N221" s="211"/>
    </row>
    <row r="222" spans="5:14" ht="12.75">
      <c r="E222" s="44"/>
      <c r="F222" s="44"/>
      <c r="G222" s="44"/>
      <c r="H222" s="44"/>
      <c r="I222" s="213"/>
      <c r="N222" s="211"/>
    </row>
    <row r="223" spans="5:14" ht="12.75">
      <c r="E223" s="44"/>
      <c r="F223" s="44"/>
      <c r="G223" s="44"/>
      <c r="H223" s="44"/>
      <c r="I223" s="213"/>
      <c r="N223" s="211"/>
    </row>
    <row r="224" spans="5:14" ht="12.75">
      <c r="E224" s="44"/>
      <c r="F224" s="44"/>
      <c r="G224" s="44"/>
      <c r="H224" s="44"/>
      <c r="I224" s="213"/>
      <c r="N224" s="211"/>
    </row>
    <row r="225" spans="5:14" ht="12.75">
      <c r="E225" s="44"/>
      <c r="F225" s="44"/>
      <c r="G225" s="44"/>
      <c r="H225" s="44"/>
      <c r="I225" s="213"/>
      <c r="N225" s="211"/>
    </row>
    <row r="226" spans="5:14" ht="12.75">
      <c r="E226" s="44"/>
      <c r="F226" s="44"/>
      <c r="G226" s="44"/>
      <c r="H226" s="44"/>
      <c r="I226" s="213"/>
      <c r="N226" s="211"/>
    </row>
    <row r="227" spans="5:14" ht="12.75">
      <c r="E227" s="44"/>
      <c r="F227" s="44"/>
      <c r="G227" s="44"/>
      <c r="H227" s="44"/>
      <c r="I227" s="213"/>
      <c r="N227" s="211"/>
    </row>
    <row r="228" spans="5:14" ht="12.75">
      <c r="E228" s="44"/>
      <c r="F228" s="44"/>
      <c r="G228" s="44"/>
      <c r="H228" s="44"/>
      <c r="I228" s="213"/>
      <c r="N228" s="211"/>
    </row>
    <row r="229" spans="5:14" ht="12.75">
      <c r="E229" s="44"/>
      <c r="F229" s="44"/>
      <c r="G229" s="44"/>
      <c r="H229" s="44"/>
      <c r="I229" s="213"/>
      <c r="N229" s="211"/>
    </row>
    <row r="230" spans="5:14" ht="12.75">
      <c r="E230" s="44"/>
      <c r="F230" s="44"/>
      <c r="G230" s="44"/>
      <c r="H230" s="44"/>
      <c r="I230" s="213"/>
      <c r="N230" s="211"/>
    </row>
    <row r="231" spans="5:14" ht="12.75">
      <c r="E231" s="44"/>
      <c r="F231" s="44"/>
      <c r="G231" s="44"/>
      <c r="H231" s="44"/>
      <c r="I231" s="213"/>
      <c r="N231" s="211"/>
    </row>
    <row r="232" spans="5:14" ht="12.75">
      <c r="E232" s="44"/>
      <c r="F232" s="44"/>
      <c r="G232" s="44"/>
      <c r="H232" s="44"/>
      <c r="I232" s="213"/>
      <c r="N232" s="211"/>
    </row>
    <row r="233" spans="5:14" ht="12.75">
      <c r="E233" s="44"/>
      <c r="F233" s="44"/>
      <c r="G233" s="44"/>
      <c r="H233" s="44"/>
      <c r="I233" s="213"/>
      <c r="N233" s="211"/>
    </row>
    <row r="234" spans="5:14" ht="12.75">
      <c r="E234" s="44"/>
      <c r="F234" s="44"/>
      <c r="G234" s="44"/>
      <c r="H234" s="44"/>
      <c r="I234" s="213"/>
      <c r="N234" s="211"/>
    </row>
    <row r="235" spans="5:14" ht="12.75">
      <c r="E235" s="44"/>
      <c r="F235" s="44"/>
      <c r="G235" s="44"/>
      <c r="H235" s="44"/>
      <c r="I235" s="213"/>
      <c r="N235" s="211"/>
    </row>
    <row r="236" spans="5:14" ht="12.75">
      <c r="E236" s="44"/>
      <c r="F236" s="44"/>
      <c r="G236" s="44"/>
      <c r="H236" s="44"/>
      <c r="I236" s="213"/>
      <c r="N236" s="211"/>
    </row>
    <row r="237" spans="5:14" ht="12.75">
      <c r="E237" s="44"/>
      <c r="F237" s="44"/>
      <c r="G237" s="44"/>
      <c r="H237" s="44"/>
      <c r="I237" s="213"/>
      <c r="N237" s="211"/>
    </row>
    <row r="238" spans="5:14" ht="12.75">
      <c r="E238" s="44"/>
      <c r="F238" s="44"/>
      <c r="G238" s="44"/>
      <c r="H238" s="44"/>
      <c r="I238" s="213"/>
      <c r="N238" s="211"/>
    </row>
    <row r="239" spans="5:14" ht="12.75">
      <c r="E239" s="44"/>
      <c r="F239" s="44"/>
      <c r="G239" s="44"/>
      <c r="H239" s="44"/>
      <c r="I239" s="213"/>
      <c r="N239" s="211"/>
    </row>
    <row r="240" spans="5:14" ht="12.75">
      <c r="E240" s="44"/>
      <c r="F240" s="44"/>
      <c r="G240" s="44"/>
      <c r="H240" s="44"/>
      <c r="I240" s="213"/>
      <c r="N240" s="211"/>
    </row>
    <row r="241" spans="5:14" ht="12.75">
      <c r="E241" s="44"/>
      <c r="F241" s="44"/>
      <c r="G241" s="44"/>
      <c r="H241" s="44"/>
      <c r="I241" s="213"/>
      <c r="N241" s="211"/>
    </row>
    <row r="242" spans="5:14" ht="12.75">
      <c r="E242" s="44"/>
      <c r="F242" s="44"/>
      <c r="G242" s="44"/>
      <c r="H242" s="44"/>
      <c r="I242" s="213"/>
      <c r="N242" s="211"/>
    </row>
    <row r="243" spans="5:14" ht="12.75">
      <c r="E243" s="44"/>
      <c r="F243" s="44"/>
      <c r="G243" s="44"/>
      <c r="H243" s="44"/>
      <c r="I243" s="213"/>
      <c r="N243" s="211"/>
    </row>
    <row r="244" spans="5:14" ht="12.75">
      <c r="E244" s="44"/>
      <c r="F244" s="44"/>
      <c r="G244" s="44"/>
      <c r="H244" s="44"/>
      <c r="I244" s="213"/>
      <c r="N244" s="211"/>
    </row>
    <row r="245" spans="5:14" ht="12.75">
      <c r="E245" s="44"/>
      <c r="F245" s="44"/>
      <c r="G245" s="44"/>
      <c r="H245" s="44"/>
      <c r="I245" s="213"/>
      <c r="N245" s="211"/>
    </row>
    <row r="246" spans="5:14" ht="12.75">
      <c r="E246" s="44"/>
      <c r="F246" s="44"/>
      <c r="G246" s="44"/>
      <c r="H246" s="44"/>
      <c r="I246" s="213"/>
      <c r="N246" s="211"/>
    </row>
    <row r="247" spans="5:14" ht="12.75">
      <c r="E247" s="44"/>
      <c r="F247" s="44"/>
      <c r="G247" s="44"/>
      <c r="H247" s="44"/>
      <c r="I247" s="213"/>
      <c r="N247" s="211"/>
    </row>
    <row r="248" spans="5:14" ht="12.75">
      <c r="E248" s="44"/>
      <c r="F248" s="44"/>
      <c r="G248" s="44"/>
      <c r="H248" s="44"/>
      <c r="I248" s="213"/>
      <c r="N248" s="211"/>
    </row>
    <row r="249" spans="5:14" ht="12.75">
      <c r="E249" s="44"/>
      <c r="F249" s="44"/>
      <c r="G249" s="44"/>
      <c r="H249" s="44"/>
      <c r="I249" s="213"/>
      <c r="N249" s="211"/>
    </row>
    <row r="250" spans="5:14" ht="12.75">
      <c r="E250" s="44"/>
      <c r="F250" s="44"/>
      <c r="G250" s="44"/>
      <c r="H250" s="44"/>
      <c r="I250" s="213"/>
      <c r="N250" s="211"/>
    </row>
    <row r="251" spans="5:14" ht="12.75">
      <c r="E251" s="44"/>
      <c r="F251" s="44"/>
      <c r="G251" s="44"/>
      <c r="H251" s="44"/>
      <c r="I251" s="213"/>
      <c r="N251" s="211"/>
    </row>
    <row r="252" spans="5:14" ht="12.75">
      <c r="E252" s="44"/>
      <c r="F252" s="44"/>
      <c r="G252" s="44"/>
      <c r="H252" s="44"/>
      <c r="I252" s="213"/>
      <c r="N252" s="211"/>
    </row>
    <row r="253" spans="5:14" ht="12.75">
      <c r="E253" s="44"/>
      <c r="F253" s="44"/>
      <c r="G253" s="44"/>
      <c r="H253" s="44"/>
      <c r="I253" s="213"/>
      <c r="N253" s="211"/>
    </row>
    <row r="254" spans="5:14" ht="12.75">
      <c r="E254" s="44"/>
      <c r="F254" s="44"/>
      <c r="G254" s="44"/>
      <c r="H254" s="44"/>
      <c r="I254" s="213"/>
      <c r="N254" s="211"/>
    </row>
    <row r="255" spans="5:14" ht="12.75">
      <c r="E255" s="44"/>
      <c r="F255" s="44"/>
      <c r="G255" s="44"/>
      <c r="H255" s="44"/>
      <c r="I255" s="213"/>
      <c r="N255" s="211"/>
    </row>
    <row r="256" spans="5:14" ht="12.75">
      <c r="E256" s="44"/>
      <c r="F256" s="44"/>
      <c r="G256" s="44"/>
      <c r="H256" s="44"/>
      <c r="I256" s="213"/>
      <c r="N256" s="211"/>
    </row>
    <row r="257" spans="5:14" ht="12.75">
      <c r="E257" s="44"/>
      <c r="F257" s="44"/>
      <c r="G257" s="44"/>
      <c r="H257" s="44"/>
      <c r="I257" s="213"/>
      <c r="N257" s="211"/>
    </row>
    <row r="258" spans="5:14" ht="12.75">
      <c r="E258" s="44"/>
      <c r="F258" s="44"/>
      <c r="G258" s="44"/>
      <c r="H258" s="44"/>
      <c r="I258" s="213"/>
      <c r="N258" s="211"/>
    </row>
    <row r="259" spans="5:14" ht="12.75">
      <c r="E259" s="44"/>
      <c r="F259" s="44"/>
      <c r="G259" s="44"/>
      <c r="H259" s="44"/>
      <c r="I259" s="213"/>
      <c r="N259" s="211"/>
    </row>
    <row r="260" spans="5:14" ht="12.75">
      <c r="E260" s="44"/>
      <c r="F260" s="44"/>
      <c r="G260" s="44"/>
      <c r="H260" s="44"/>
      <c r="I260" s="213"/>
      <c r="N260" s="211"/>
    </row>
    <row r="261" spans="5:14" ht="12.75">
      <c r="E261" s="44"/>
      <c r="F261" s="44"/>
      <c r="G261" s="44"/>
      <c r="H261" s="44"/>
      <c r="I261" s="213"/>
      <c r="N261" s="211"/>
    </row>
    <row r="262" spans="5:14" ht="12.75">
      <c r="E262" s="44"/>
      <c r="F262" s="44"/>
      <c r="G262" s="44"/>
      <c r="H262" s="44"/>
      <c r="I262" s="213"/>
      <c r="N262" s="211"/>
    </row>
    <row r="263" spans="5:14" ht="12.75">
      <c r="E263" s="44"/>
      <c r="F263" s="44"/>
      <c r="G263" s="44"/>
      <c r="H263" s="44"/>
      <c r="I263" s="213"/>
      <c r="N263" s="211"/>
    </row>
    <row r="264" spans="5:14" ht="12.75">
      <c r="E264" s="44"/>
      <c r="F264" s="44"/>
      <c r="G264" s="44"/>
      <c r="H264" s="44"/>
      <c r="I264" s="213"/>
      <c r="N264" s="211"/>
    </row>
    <row r="265" spans="5:14" ht="12.75">
      <c r="E265" s="44"/>
      <c r="F265" s="44"/>
      <c r="G265" s="44"/>
      <c r="H265" s="44"/>
      <c r="I265" s="213"/>
      <c r="N265" s="211"/>
    </row>
    <row r="266" spans="5:14" ht="12.75">
      <c r="E266" s="44"/>
      <c r="F266" s="44"/>
      <c r="G266" s="44"/>
      <c r="H266" s="44"/>
      <c r="I266" s="213"/>
      <c r="N266" s="211"/>
    </row>
    <row r="267" spans="5:14" ht="12.75">
      <c r="E267" s="44"/>
      <c r="F267" s="44"/>
      <c r="G267" s="44"/>
      <c r="H267" s="44"/>
      <c r="I267" s="213"/>
      <c r="N267" s="211"/>
    </row>
    <row r="268" spans="5:14" ht="12.75">
      <c r="E268" s="44"/>
      <c r="F268" s="44"/>
      <c r="G268" s="44"/>
      <c r="H268" s="44"/>
      <c r="I268" s="213"/>
      <c r="N268" s="211"/>
    </row>
    <row r="269" spans="5:14" ht="12.75">
      <c r="E269" s="44"/>
      <c r="F269" s="44"/>
      <c r="G269" s="44"/>
      <c r="H269" s="44"/>
      <c r="I269" s="213"/>
      <c r="N269" s="211"/>
    </row>
    <row r="270" spans="5:14" ht="12.75">
      <c r="E270" s="44"/>
      <c r="F270" s="44"/>
      <c r="G270" s="44"/>
      <c r="H270" s="44"/>
      <c r="I270" s="213"/>
      <c r="N270" s="211"/>
    </row>
    <row r="271" spans="5:14" ht="12.75">
      <c r="E271" s="44"/>
      <c r="F271" s="44"/>
      <c r="G271" s="44"/>
      <c r="H271" s="44"/>
      <c r="I271" s="213"/>
      <c r="N271" s="211"/>
    </row>
    <row r="272" spans="5:14" ht="12.75">
      <c r="E272" s="44"/>
      <c r="F272" s="44"/>
      <c r="G272" s="44"/>
      <c r="H272" s="44"/>
      <c r="I272" s="213"/>
      <c r="N272" s="211"/>
    </row>
    <row r="273" spans="5:14" ht="12.75">
      <c r="E273" s="44"/>
      <c r="F273" s="44"/>
      <c r="G273" s="44"/>
      <c r="H273" s="44"/>
      <c r="I273" s="213"/>
      <c r="N273" s="211"/>
    </row>
    <row r="274" spans="5:14" ht="12.75">
      <c r="E274" s="44"/>
      <c r="F274" s="44"/>
      <c r="G274" s="44"/>
      <c r="H274" s="44"/>
      <c r="I274" s="213"/>
      <c r="N274" s="211"/>
    </row>
    <row r="275" spans="5:14" ht="12.75">
      <c r="E275" s="44"/>
      <c r="F275" s="44"/>
      <c r="G275" s="44"/>
      <c r="H275" s="44"/>
      <c r="I275" s="213"/>
      <c r="N275" s="211"/>
    </row>
    <row r="276" spans="5:14" ht="12.75">
      <c r="E276" s="44"/>
      <c r="F276" s="44"/>
      <c r="G276" s="44"/>
      <c r="H276" s="44"/>
      <c r="I276" s="213"/>
      <c r="N276" s="211"/>
    </row>
    <row r="277" spans="5:14" ht="12.75">
      <c r="E277" s="44"/>
      <c r="F277" s="44"/>
      <c r="G277" s="44"/>
      <c r="H277" s="44"/>
      <c r="I277" s="213"/>
      <c r="N277" s="211"/>
    </row>
    <row r="278" spans="5:14" ht="12.75">
      <c r="E278" s="44"/>
      <c r="F278" s="44"/>
      <c r="G278" s="44"/>
      <c r="H278" s="44"/>
      <c r="I278" s="213"/>
      <c r="N278" s="211"/>
    </row>
    <row r="279" spans="5:14" ht="12.75">
      <c r="E279" s="44"/>
      <c r="F279" s="44"/>
      <c r="G279" s="44"/>
      <c r="H279" s="44"/>
      <c r="I279" s="213"/>
      <c r="N279" s="211"/>
    </row>
    <row r="280" spans="5:14" ht="12.75">
      <c r="E280" s="44"/>
      <c r="F280" s="44"/>
      <c r="G280" s="44"/>
      <c r="H280" s="44"/>
      <c r="I280" s="213"/>
      <c r="N280" s="211"/>
    </row>
    <row r="281" spans="5:14" ht="12.75">
      <c r="E281" s="44"/>
      <c r="F281" s="44"/>
      <c r="G281" s="44"/>
      <c r="H281" s="44"/>
      <c r="I281" s="213"/>
      <c r="N281" s="211"/>
    </row>
    <row r="282" spans="5:14" ht="12.75">
      <c r="E282" s="44"/>
      <c r="F282" s="44"/>
      <c r="G282" s="44"/>
      <c r="H282" s="44"/>
      <c r="I282" s="213"/>
      <c r="N282" s="211"/>
    </row>
    <row r="283" spans="5:14" ht="12.75">
      <c r="E283" s="44"/>
      <c r="F283" s="44"/>
      <c r="G283" s="44"/>
      <c r="H283" s="44"/>
      <c r="I283" s="213"/>
      <c r="N283" s="211"/>
    </row>
    <row r="284" spans="5:14" ht="12.75">
      <c r="E284" s="44"/>
      <c r="F284" s="44"/>
      <c r="G284" s="44"/>
      <c r="H284" s="44"/>
      <c r="I284" s="213"/>
      <c r="N284" s="211"/>
    </row>
    <row r="285" spans="5:14" ht="12.75">
      <c r="E285" s="44"/>
      <c r="F285" s="44"/>
      <c r="G285" s="44"/>
      <c r="H285" s="44"/>
      <c r="I285" s="213"/>
      <c r="N285" s="211"/>
    </row>
    <row r="286" spans="5:14" ht="12.75">
      <c r="E286" s="44"/>
      <c r="F286" s="44"/>
      <c r="G286" s="44"/>
      <c r="H286" s="44"/>
      <c r="I286" s="213"/>
      <c r="N286" s="211"/>
    </row>
    <row r="287" spans="5:14" ht="12.75">
      <c r="E287" s="44"/>
      <c r="F287" s="44"/>
      <c r="G287" s="44"/>
      <c r="H287" s="44"/>
      <c r="I287" s="213"/>
      <c r="N287" s="211"/>
    </row>
    <row r="288" spans="5:14" ht="12.75">
      <c r="E288" s="44"/>
      <c r="F288" s="44"/>
      <c r="G288" s="44"/>
      <c r="H288" s="44"/>
      <c r="I288" s="213"/>
      <c r="N288" s="211"/>
    </row>
    <row r="289" spans="5:14" ht="12.75">
      <c r="E289" s="44"/>
      <c r="F289" s="44"/>
      <c r="G289" s="44"/>
      <c r="H289" s="44"/>
      <c r="I289" s="213"/>
      <c r="N289" s="211"/>
    </row>
    <row r="290" spans="5:14" ht="12.75">
      <c r="E290" s="44"/>
      <c r="F290" s="44"/>
      <c r="G290" s="44"/>
      <c r="H290" s="44"/>
      <c r="I290" s="213"/>
      <c r="N290" s="211"/>
    </row>
    <row r="291" spans="5:14" ht="12.75">
      <c r="E291" s="44"/>
      <c r="F291" s="44"/>
      <c r="G291" s="44"/>
      <c r="H291" s="44"/>
      <c r="I291" s="213"/>
      <c r="N291" s="211"/>
    </row>
    <row r="292" spans="5:14" ht="12.75">
      <c r="E292" s="44"/>
      <c r="F292" s="44"/>
      <c r="G292" s="44"/>
      <c r="H292" s="44"/>
      <c r="I292" s="213"/>
      <c r="N292" s="211"/>
    </row>
    <row r="293" spans="5:14" ht="12.75">
      <c r="E293" s="44"/>
      <c r="F293" s="44"/>
      <c r="G293" s="44"/>
      <c r="H293" s="44"/>
      <c r="I293" s="213"/>
      <c r="N293" s="211"/>
    </row>
    <row r="294" spans="5:14" ht="12.75">
      <c r="E294" s="44"/>
      <c r="F294" s="44"/>
      <c r="G294" s="44"/>
      <c r="H294" s="44"/>
      <c r="I294" s="213"/>
      <c r="N294" s="211"/>
    </row>
    <row r="295" spans="5:14" ht="12.75">
      <c r="E295" s="44"/>
      <c r="F295" s="44"/>
      <c r="G295" s="44"/>
      <c r="H295" s="44"/>
      <c r="I295" s="213"/>
      <c r="N295" s="211"/>
    </row>
    <row r="296" spans="5:14" ht="12.75">
      <c r="E296" s="44"/>
      <c r="F296" s="44"/>
      <c r="G296" s="44"/>
      <c r="H296" s="44"/>
      <c r="I296" s="213"/>
      <c r="N296" s="211"/>
    </row>
    <row r="297" spans="5:14" ht="12.75">
      <c r="E297" s="44"/>
      <c r="F297" s="44"/>
      <c r="G297" s="44"/>
      <c r="H297" s="44"/>
      <c r="I297" s="213"/>
      <c r="N297" s="211"/>
    </row>
    <row r="298" spans="5:14" ht="12.75">
      <c r="E298" s="44"/>
      <c r="F298" s="44"/>
      <c r="G298" s="44"/>
      <c r="H298" s="44"/>
      <c r="I298" s="213"/>
      <c r="N298" s="211"/>
    </row>
    <row r="299" spans="5:14" ht="12.75">
      <c r="E299" s="44"/>
      <c r="F299" s="44"/>
      <c r="G299" s="44"/>
      <c r="H299" s="44"/>
      <c r="I299" s="213"/>
      <c r="N299" s="211"/>
    </row>
    <row r="300" spans="5:14" ht="12.75">
      <c r="E300" s="44"/>
      <c r="F300" s="44"/>
      <c r="G300" s="44"/>
      <c r="H300" s="44"/>
      <c r="I300" s="213"/>
      <c r="N300" s="211"/>
    </row>
    <row r="301" spans="5:14" ht="12.75">
      <c r="E301" s="44"/>
      <c r="F301" s="44"/>
      <c r="G301" s="44"/>
      <c r="H301" s="44"/>
      <c r="I301" s="213"/>
      <c r="N301" s="211"/>
    </row>
    <row r="302" spans="5:14" ht="12.75">
      <c r="E302" s="44"/>
      <c r="F302" s="44"/>
      <c r="G302" s="44"/>
      <c r="H302" s="44"/>
      <c r="I302" s="213"/>
      <c r="N302" s="211"/>
    </row>
    <row r="303" spans="5:14" ht="12.75">
      <c r="E303" s="44"/>
      <c r="F303" s="44"/>
      <c r="G303" s="44"/>
      <c r="H303" s="44"/>
      <c r="I303" s="213"/>
      <c r="N303" s="211"/>
    </row>
    <row r="304" spans="5:14" ht="12.75">
      <c r="E304" s="44"/>
      <c r="F304" s="44"/>
      <c r="G304" s="44"/>
      <c r="H304" s="44"/>
      <c r="I304" s="213"/>
      <c r="N304" s="211"/>
    </row>
    <row r="305" spans="5:14" ht="12.75">
      <c r="E305" s="44"/>
      <c r="F305" s="44"/>
      <c r="G305" s="44"/>
      <c r="H305" s="44"/>
      <c r="I305" s="213"/>
      <c r="N305" s="211"/>
    </row>
    <row r="306" spans="5:14" ht="12.75">
      <c r="E306" s="44"/>
      <c r="F306" s="44"/>
      <c r="G306" s="44"/>
      <c r="H306" s="44"/>
      <c r="I306" s="213"/>
      <c r="N306" s="211"/>
    </row>
    <row r="307" spans="5:14" ht="12.75">
      <c r="E307" s="44"/>
      <c r="F307" s="44"/>
      <c r="G307" s="44"/>
      <c r="H307" s="44"/>
      <c r="I307" s="213"/>
      <c r="N307" s="211"/>
    </row>
    <row r="308" spans="5:14" ht="12.75">
      <c r="E308" s="44"/>
      <c r="F308" s="44"/>
      <c r="G308" s="44"/>
      <c r="H308" s="44"/>
      <c r="I308" s="213"/>
      <c r="N308" s="211"/>
    </row>
    <row r="309" spans="5:14" ht="12.75">
      <c r="E309" s="44"/>
      <c r="F309" s="44"/>
      <c r="G309" s="44"/>
      <c r="H309" s="44"/>
      <c r="I309" s="213"/>
      <c r="N309" s="211"/>
    </row>
    <row r="310" spans="5:14" ht="12.75">
      <c r="E310" s="44"/>
      <c r="F310" s="44"/>
      <c r="G310" s="44"/>
      <c r="H310" s="44"/>
      <c r="I310" s="213"/>
      <c r="N310" s="211"/>
    </row>
    <row r="311" spans="5:14" ht="12.75">
      <c r="E311" s="44"/>
      <c r="F311" s="44"/>
      <c r="G311" s="44"/>
      <c r="H311" s="44"/>
      <c r="I311" s="213"/>
      <c r="N311" s="211"/>
    </row>
    <row r="312" spans="5:14" ht="12.75">
      <c r="E312" s="44"/>
      <c r="F312" s="44"/>
      <c r="G312" s="44"/>
      <c r="H312" s="44"/>
      <c r="I312" s="213"/>
      <c r="N312" s="211"/>
    </row>
    <row r="313" spans="5:14" ht="12.75">
      <c r="E313" s="44"/>
      <c r="F313" s="44"/>
      <c r="G313" s="44"/>
      <c r="H313" s="44"/>
      <c r="I313" s="213"/>
      <c r="N313" s="211"/>
    </row>
    <row r="314" spans="5:14" ht="12.75">
      <c r="E314" s="44"/>
      <c r="F314" s="44"/>
      <c r="G314" s="44"/>
      <c r="H314" s="44"/>
      <c r="I314" s="213"/>
      <c r="N314" s="211"/>
    </row>
    <row r="315" spans="5:14" ht="12.75">
      <c r="E315" s="44"/>
      <c r="F315" s="44"/>
      <c r="G315" s="44"/>
      <c r="H315" s="44"/>
      <c r="I315" s="213"/>
      <c r="N315" s="211"/>
    </row>
    <row r="316" spans="5:14" ht="12.75">
      <c r="E316" s="44"/>
      <c r="F316" s="44"/>
      <c r="G316" s="44"/>
      <c r="H316" s="44"/>
      <c r="I316" s="213"/>
      <c r="N316" s="211"/>
    </row>
    <row r="317" spans="5:14" ht="12.75">
      <c r="E317" s="44"/>
      <c r="F317" s="44"/>
      <c r="G317" s="44"/>
      <c r="H317" s="44"/>
      <c r="I317" s="213"/>
      <c r="N317" s="211"/>
    </row>
    <row r="318" spans="5:14" ht="12.75">
      <c r="E318" s="44"/>
      <c r="F318" s="44"/>
      <c r="G318" s="44"/>
      <c r="H318" s="44"/>
      <c r="I318" s="213"/>
      <c r="N318" s="211"/>
    </row>
    <row r="319" spans="5:14" ht="12.75">
      <c r="E319" s="44"/>
      <c r="F319" s="44"/>
      <c r="G319" s="44"/>
      <c r="H319" s="44"/>
      <c r="I319" s="213"/>
      <c r="N319" s="211"/>
    </row>
    <row r="320" spans="5:14" ht="12.75">
      <c r="E320" s="44"/>
      <c r="F320" s="44"/>
      <c r="G320" s="44"/>
      <c r="H320" s="44"/>
      <c r="I320" s="213"/>
      <c r="N320" s="211"/>
    </row>
    <row r="321" spans="5:14" ht="12.75">
      <c r="E321" s="44"/>
      <c r="F321" s="44"/>
      <c r="G321" s="44"/>
      <c r="H321" s="44"/>
      <c r="I321" s="213"/>
      <c r="N321" s="211"/>
    </row>
    <row r="322" spans="5:14" ht="12.75">
      <c r="E322" s="44"/>
      <c r="F322" s="44"/>
      <c r="G322" s="44"/>
      <c r="H322" s="44"/>
      <c r="I322" s="213"/>
      <c r="N322" s="211"/>
    </row>
    <row r="323" spans="5:14" ht="12.75">
      <c r="E323" s="44"/>
      <c r="F323" s="44"/>
      <c r="G323" s="44"/>
      <c r="H323" s="44"/>
      <c r="I323" s="213"/>
      <c r="N323" s="211"/>
    </row>
    <row r="324" spans="5:14" ht="12.75">
      <c r="E324" s="44"/>
      <c r="F324" s="44"/>
      <c r="G324" s="44"/>
      <c r="H324" s="44"/>
      <c r="I324" s="213"/>
      <c r="N324" s="211"/>
    </row>
    <row r="325" spans="5:14" ht="12.75">
      <c r="E325" s="44"/>
      <c r="F325" s="44"/>
      <c r="G325" s="44"/>
      <c r="H325" s="44"/>
      <c r="I325" s="213"/>
      <c r="N325" s="211"/>
    </row>
    <row r="326" spans="5:14" ht="12.75">
      <c r="E326" s="44"/>
      <c r="F326" s="44"/>
      <c r="G326" s="44"/>
      <c r="H326" s="44"/>
      <c r="I326" s="213"/>
      <c r="N326" s="211"/>
    </row>
    <row r="327" spans="5:14" ht="12.75">
      <c r="E327" s="44"/>
      <c r="F327" s="44"/>
      <c r="G327" s="44"/>
      <c r="H327" s="44"/>
      <c r="I327" s="213"/>
      <c r="N327" s="211"/>
    </row>
    <row r="328" spans="5:14" ht="12.75">
      <c r="E328" s="44"/>
      <c r="F328" s="44"/>
      <c r="G328" s="44"/>
      <c r="H328" s="44"/>
      <c r="I328" s="213"/>
      <c r="N328" s="211"/>
    </row>
    <row r="329" spans="5:14" ht="12.75">
      <c r="E329" s="44"/>
      <c r="F329" s="44"/>
      <c r="G329" s="44"/>
      <c r="H329" s="44"/>
      <c r="I329" s="213"/>
      <c r="N329" s="211"/>
    </row>
    <row r="330" spans="5:14" ht="12.75">
      <c r="E330" s="44"/>
      <c r="F330" s="44"/>
      <c r="G330" s="44"/>
      <c r="H330" s="44"/>
      <c r="I330" s="213"/>
      <c r="N330" s="211"/>
    </row>
    <row r="331" spans="5:14" ht="12.75">
      <c r="E331" s="44"/>
      <c r="F331" s="44"/>
      <c r="G331" s="44"/>
      <c r="H331" s="44"/>
      <c r="I331" s="213"/>
      <c r="N331" s="211"/>
    </row>
    <row r="332" spans="5:14" ht="12.75">
      <c r="E332" s="44"/>
      <c r="F332" s="44"/>
      <c r="G332" s="44"/>
      <c r="H332" s="44"/>
      <c r="I332" s="213"/>
      <c r="N332" s="211"/>
    </row>
    <row r="333" spans="5:14" ht="12.75">
      <c r="E333" s="44"/>
      <c r="F333" s="44"/>
      <c r="G333" s="44"/>
      <c r="H333" s="44"/>
      <c r="I333" s="213"/>
      <c r="N333" s="211"/>
    </row>
    <row r="334" spans="5:14" ht="12.75">
      <c r="E334" s="44"/>
      <c r="F334" s="44"/>
      <c r="G334" s="44"/>
      <c r="H334" s="44"/>
      <c r="I334" s="213"/>
      <c r="N334" s="211"/>
    </row>
    <row r="335" spans="5:14" ht="12.75">
      <c r="E335" s="44"/>
      <c r="F335" s="44"/>
      <c r="G335" s="44"/>
      <c r="H335" s="44"/>
      <c r="I335" s="213"/>
      <c r="N335" s="211"/>
    </row>
    <row r="336" spans="5:14" ht="12.75">
      <c r="E336" s="44"/>
      <c r="F336" s="44"/>
      <c r="G336" s="44"/>
      <c r="H336" s="44"/>
      <c r="I336" s="213"/>
      <c r="N336" s="211"/>
    </row>
    <row r="337" spans="5:14" ht="12.75">
      <c r="E337" s="44"/>
      <c r="F337" s="44"/>
      <c r="G337" s="44"/>
      <c r="H337" s="44"/>
      <c r="I337" s="213"/>
      <c r="N337" s="211"/>
    </row>
    <row r="338" spans="5:14" ht="12.75">
      <c r="E338" s="44"/>
      <c r="F338" s="44"/>
      <c r="G338" s="44"/>
      <c r="H338" s="44"/>
      <c r="I338" s="213"/>
      <c r="N338" s="211"/>
    </row>
    <row r="339" spans="5:14" ht="12.75">
      <c r="E339" s="44"/>
      <c r="F339" s="44"/>
      <c r="G339" s="44"/>
      <c r="H339" s="44"/>
      <c r="I339" s="213"/>
      <c r="N339" s="211"/>
    </row>
    <row r="340" spans="5:14" ht="12.75">
      <c r="E340" s="44"/>
      <c r="F340" s="44"/>
      <c r="G340" s="44"/>
      <c r="H340" s="44"/>
      <c r="I340" s="213"/>
      <c r="N340" s="211"/>
    </row>
    <row r="341" spans="5:14" ht="12.75">
      <c r="E341" s="44"/>
      <c r="F341" s="44"/>
      <c r="G341" s="44"/>
      <c r="H341" s="44"/>
      <c r="I341" s="213"/>
      <c r="N341" s="211"/>
    </row>
    <row r="342" spans="5:14" ht="12.75">
      <c r="E342" s="44"/>
      <c r="F342" s="44"/>
      <c r="G342" s="44"/>
      <c r="H342" s="44"/>
      <c r="I342" s="213"/>
      <c r="N342" s="211"/>
    </row>
    <row r="343" spans="5:14" ht="12.75">
      <c r="E343" s="44"/>
      <c r="F343" s="44"/>
      <c r="G343" s="44"/>
      <c r="H343" s="44"/>
      <c r="I343" s="213"/>
      <c r="N343" s="211"/>
    </row>
    <row r="344" spans="5:14" ht="12.75">
      <c r="E344" s="44"/>
      <c r="F344" s="44"/>
      <c r="G344" s="44"/>
      <c r="H344" s="44"/>
      <c r="I344" s="213"/>
      <c r="N344" s="211"/>
    </row>
    <row r="345" spans="5:14" ht="12.75">
      <c r="E345" s="44"/>
      <c r="F345" s="44"/>
      <c r="G345" s="44"/>
      <c r="H345" s="44"/>
      <c r="I345" s="213"/>
      <c r="N345" s="211"/>
    </row>
    <row r="346" spans="5:14" ht="12.75">
      <c r="E346" s="44"/>
      <c r="F346" s="44"/>
      <c r="G346" s="44"/>
      <c r="H346" s="44"/>
      <c r="I346" s="213"/>
      <c r="N346" s="211"/>
    </row>
    <row r="347" spans="5:14" ht="12.75">
      <c r="E347" s="44"/>
      <c r="F347" s="44"/>
      <c r="G347" s="44"/>
      <c r="H347" s="44"/>
      <c r="I347" s="213"/>
      <c r="N347" s="211"/>
    </row>
    <row r="348" spans="5:14" ht="12.75">
      <c r="E348" s="44"/>
      <c r="F348" s="44"/>
      <c r="G348" s="44"/>
      <c r="H348" s="44"/>
      <c r="I348" s="213"/>
      <c r="N348" s="211"/>
    </row>
    <row r="349" spans="5:14" ht="12.75">
      <c r="E349" s="44"/>
      <c r="F349" s="44"/>
      <c r="G349" s="44"/>
      <c r="H349" s="44"/>
      <c r="I349" s="213"/>
      <c r="N349" s="211"/>
    </row>
    <row r="350" spans="5:14" ht="12.75">
      <c r="E350" s="44"/>
      <c r="F350" s="44"/>
      <c r="G350" s="44"/>
      <c r="H350" s="44"/>
      <c r="I350" s="213"/>
      <c r="N350" s="211"/>
    </row>
    <row r="351" spans="5:14" ht="12.75">
      <c r="E351" s="44"/>
      <c r="F351" s="44"/>
      <c r="G351" s="44"/>
      <c r="H351" s="44"/>
      <c r="I351" s="213"/>
      <c r="N351" s="211"/>
    </row>
    <row r="352" spans="5:14" ht="12.75">
      <c r="E352" s="44"/>
      <c r="F352" s="44"/>
      <c r="G352" s="44"/>
      <c r="H352" s="44"/>
      <c r="I352" s="213"/>
      <c r="N352" s="211"/>
    </row>
    <row r="353" spans="5:14" ht="12.75">
      <c r="E353" s="44"/>
      <c r="F353" s="44"/>
      <c r="G353" s="44"/>
      <c r="H353" s="44"/>
      <c r="I353" s="213"/>
      <c r="N353" s="211"/>
    </row>
    <row r="354" spans="5:14" ht="12.75">
      <c r="E354" s="44"/>
      <c r="F354" s="44"/>
      <c r="G354" s="44"/>
      <c r="H354" s="44"/>
      <c r="I354" s="213"/>
      <c r="N354" s="211"/>
    </row>
    <row r="355" spans="5:14" ht="12.75">
      <c r="E355" s="44"/>
      <c r="F355" s="44"/>
      <c r="G355" s="44"/>
      <c r="H355" s="44"/>
      <c r="I355" s="213"/>
      <c r="N355" s="211"/>
    </row>
    <row r="356" spans="5:14" ht="12.75">
      <c r="E356" s="44"/>
      <c r="F356" s="44"/>
      <c r="G356" s="44"/>
      <c r="H356" s="44"/>
      <c r="I356" s="213"/>
      <c r="N356" s="211"/>
    </row>
    <row r="357" spans="5:14" ht="12.75">
      <c r="E357" s="44"/>
      <c r="F357" s="44"/>
      <c r="G357" s="44"/>
      <c r="H357" s="44"/>
      <c r="I357" s="213"/>
      <c r="N357" s="211"/>
    </row>
    <row r="358" spans="5:14" ht="12.75">
      <c r="E358" s="44"/>
      <c r="F358" s="44"/>
      <c r="G358" s="44"/>
      <c r="H358" s="44"/>
      <c r="I358" s="213"/>
      <c r="N358" s="211"/>
    </row>
    <row r="359" spans="5:14" ht="12.75">
      <c r="E359" s="44"/>
      <c r="F359" s="44"/>
      <c r="G359" s="44"/>
      <c r="H359" s="44"/>
      <c r="I359" s="213"/>
      <c r="N359" s="211"/>
    </row>
    <row r="360" spans="5:14" ht="12.75">
      <c r="E360" s="44"/>
      <c r="F360" s="44"/>
      <c r="G360" s="44"/>
      <c r="H360" s="44"/>
      <c r="I360" s="213"/>
      <c r="N360" s="211"/>
    </row>
    <row r="361" spans="5:14" ht="12.75">
      <c r="E361" s="44"/>
      <c r="F361" s="44"/>
      <c r="G361" s="44"/>
      <c r="H361" s="44"/>
      <c r="I361" s="213"/>
      <c r="N361" s="211"/>
    </row>
    <row r="362" spans="5:14" ht="12.75">
      <c r="E362" s="44"/>
      <c r="F362" s="44"/>
      <c r="G362" s="44"/>
      <c r="H362" s="44"/>
      <c r="I362" s="213"/>
      <c r="N362" s="211"/>
    </row>
    <row r="363" spans="5:14" ht="12.75">
      <c r="E363" s="44"/>
      <c r="F363" s="44"/>
      <c r="G363" s="44"/>
      <c r="H363" s="44"/>
      <c r="I363" s="213"/>
      <c r="N363" s="211"/>
    </row>
    <row r="364" spans="5:14" ht="12.75">
      <c r="E364" s="44"/>
      <c r="F364" s="44"/>
      <c r="G364" s="44"/>
      <c r="H364" s="44"/>
      <c r="I364" s="213"/>
      <c r="N364" s="211"/>
    </row>
    <row r="365" spans="5:14" ht="12.75">
      <c r="E365" s="44"/>
      <c r="F365" s="44"/>
      <c r="G365" s="44"/>
      <c r="H365" s="44"/>
      <c r="I365" s="213"/>
      <c r="N365" s="211"/>
    </row>
    <row r="366" spans="5:14" ht="12.75">
      <c r="E366" s="44"/>
      <c r="F366" s="44"/>
      <c r="G366" s="44"/>
      <c r="H366" s="44"/>
      <c r="I366" s="213"/>
      <c r="N366" s="211"/>
    </row>
    <row r="367" spans="5:14" ht="12.75">
      <c r="E367" s="44"/>
      <c r="F367" s="44"/>
      <c r="G367" s="44"/>
      <c r="H367" s="44"/>
      <c r="I367" s="213"/>
      <c r="N367" s="211"/>
    </row>
    <row r="368" spans="5:14" ht="12.75">
      <c r="E368" s="44"/>
      <c r="F368" s="44"/>
      <c r="G368" s="44"/>
      <c r="H368" s="44"/>
      <c r="I368" s="213"/>
      <c r="N368" s="211"/>
    </row>
    <row r="369" spans="5:14" ht="12.75">
      <c r="E369" s="44"/>
      <c r="F369" s="44"/>
      <c r="G369" s="44"/>
      <c r="H369" s="44"/>
      <c r="I369" s="213"/>
      <c r="N369" s="211"/>
    </row>
    <row r="370" spans="5:14" ht="12.75">
      <c r="E370" s="44"/>
      <c r="F370" s="44"/>
      <c r="G370" s="44"/>
      <c r="H370" s="44"/>
      <c r="I370" s="213"/>
      <c r="N370" s="211"/>
    </row>
    <row r="371" spans="5:14" ht="12.75">
      <c r="E371" s="44"/>
      <c r="F371" s="44"/>
      <c r="G371" s="44"/>
      <c r="H371" s="44"/>
      <c r="I371" s="213"/>
      <c r="N371" s="211"/>
    </row>
    <row r="372" spans="5:14" ht="12.75">
      <c r="E372" s="44"/>
      <c r="F372" s="44"/>
      <c r="G372" s="44"/>
      <c r="H372" s="44"/>
      <c r="I372" s="213"/>
      <c r="N372" s="211"/>
    </row>
    <row r="373" spans="5:14" ht="12.75">
      <c r="E373" s="44"/>
      <c r="F373" s="44"/>
      <c r="G373" s="44"/>
      <c r="H373" s="44"/>
      <c r="I373" s="213"/>
      <c r="N373" s="211"/>
    </row>
    <row r="374" spans="5:14" ht="12.75">
      <c r="E374" s="44"/>
      <c r="F374" s="44"/>
      <c r="G374" s="44"/>
      <c r="H374" s="44"/>
      <c r="I374" s="213"/>
      <c r="N374" s="211"/>
    </row>
    <row r="375" spans="5:14" ht="12.75">
      <c r="E375" s="44"/>
      <c r="F375" s="44"/>
      <c r="G375" s="44"/>
      <c r="H375" s="44"/>
      <c r="I375" s="213"/>
      <c r="N375" s="211"/>
    </row>
    <row r="376" spans="5:14" ht="12.75">
      <c r="E376" s="44"/>
      <c r="F376" s="44"/>
      <c r="G376" s="44"/>
      <c r="H376" s="44"/>
      <c r="I376" s="213"/>
      <c r="N376" s="211"/>
    </row>
    <row r="377" spans="5:14" ht="12.75">
      <c r="E377" s="44"/>
      <c r="F377" s="44"/>
      <c r="G377" s="44"/>
      <c r="H377" s="44"/>
      <c r="I377" s="213"/>
      <c r="N377" s="211"/>
    </row>
    <row r="378" spans="5:14" ht="12.75">
      <c r="E378" s="44"/>
      <c r="F378" s="44"/>
      <c r="G378" s="44"/>
      <c r="H378" s="44"/>
      <c r="I378" s="213"/>
      <c r="N378" s="211"/>
    </row>
    <row r="379" spans="5:14" ht="12.75">
      <c r="E379" s="44"/>
      <c r="F379" s="44"/>
      <c r="G379" s="44"/>
      <c r="H379" s="44"/>
      <c r="I379" s="213"/>
      <c r="N379" s="211"/>
    </row>
    <row r="380" spans="5:14" ht="12.75">
      <c r="E380" s="44"/>
      <c r="F380" s="44"/>
      <c r="G380" s="44"/>
      <c r="H380" s="44"/>
      <c r="I380" s="213"/>
      <c r="N380" s="211"/>
    </row>
    <row r="381" spans="5:14" ht="12.75">
      <c r="E381" s="44"/>
      <c r="F381" s="44"/>
      <c r="G381" s="44"/>
      <c r="H381" s="44"/>
      <c r="I381" s="213"/>
      <c r="N381" s="211"/>
    </row>
    <row r="382" spans="5:14" ht="12.75">
      <c r="E382" s="44"/>
      <c r="F382" s="44"/>
      <c r="G382" s="44"/>
      <c r="H382" s="44"/>
      <c r="I382" s="213"/>
      <c r="N382" s="211"/>
    </row>
    <row r="383" spans="5:14" ht="12.75">
      <c r="E383" s="44"/>
      <c r="F383" s="44"/>
      <c r="G383" s="44"/>
      <c r="H383" s="44"/>
      <c r="I383" s="213"/>
      <c r="N383" s="211"/>
    </row>
    <row r="384" spans="5:14" ht="12.75">
      <c r="E384" s="44"/>
      <c r="F384" s="44"/>
      <c r="G384" s="44"/>
      <c r="H384" s="44"/>
      <c r="I384" s="213"/>
      <c r="N384" s="211"/>
    </row>
    <row r="385" spans="5:14" ht="12.75">
      <c r="E385" s="44"/>
      <c r="F385" s="44"/>
      <c r="G385" s="44"/>
      <c r="H385" s="44"/>
      <c r="I385" s="213"/>
      <c r="N385" s="211"/>
    </row>
    <row r="386" spans="5:14" ht="12.75">
      <c r="E386" s="44"/>
      <c r="F386" s="44"/>
      <c r="G386" s="44"/>
      <c r="H386" s="44"/>
      <c r="I386" s="213"/>
      <c r="N386" s="211"/>
    </row>
    <row r="387" spans="5:14" ht="12.75">
      <c r="E387" s="44"/>
      <c r="F387" s="44"/>
      <c r="G387" s="44"/>
      <c r="H387" s="44"/>
      <c r="I387" s="213"/>
      <c r="N387" s="211"/>
    </row>
    <row r="388" spans="5:14" ht="12.75">
      <c r="E388" s="44"/>
      <c r="F388" s="44"/>
      <c r="G388" s="44"/>
      <c r="H388" s="44"/>
      <c r="I388" s="213"/>
      <c r="N388" s="211"/>
    </row>
    <row r="389" spans="5:14" ht="12.75">
      <c r="E389" s="44"/>
      <c r="F389" s="44"/>
      <c r="G389" s="44"/>
      <c r="H389" s="44"/>
      <c r="I389" s="213"/>
      <c r="N389" s="211"/>
    </row>
    <row r="390" spans="5:14" ht="12.75">
      <c r="E390" s="44"/>
      <c r="F390" s="44"/>
      <c r="G390" s="44"/>
      <c r="H390" s="44"/>
      <c r="I390" s="213"/>
      <c r="N390" s="211"/>
    </row>
    <row r="391" spans="5:14" ht="12.75">
      <c r="E391" s="44"/>
      <c r="F391" s="44"/>
      <c r="G391" s="44"/>
      <c r="H391" s="44"/>
      <c r="I391" s="213"/>
      <c r="N391" s="211"/>
    </row>
    <row r="392" spans="5:14" ht="12.75">
      <c r="E392" s="44"/>
      <c r="F392" s="44"/>
      <c r="G392" s="44"/>
      <c r="H392" s="44"/>
      <c r="I392" s="213"/>
      <c r="N392" s="211"/>
    </row>
    <row r="393" spans="5:14" ht="12.75">
      <c r="E393" s="44"/>
      <c r="F393" s="44"/>
      <c r="G393" s="44"/>
      <c r="H393" s="44"/>
      <c r="I393" s="213"/>
      <c r="N393" s="211"/>
    </row>
    <row r="394" spans="5:14" ht="12.75">
      <c r="E394" s="44"/>
      <c r="F394" s="44"/>
      <c r="G394" s="44"/>
      <c r="H394" s="44"/>
      <c r="I394" s="213"/>
      <c r="N394" s="211"/>
    </row>
    <row r="395" spans="5:14" ht="12.75">
      <c r="E395" s="44"/>
      <c r="F395" s="44"/>
      <c r="G395" s="44"/>
      <c r="H395" s="44"/>
      <c r="I395" s="213"/>
      <c r="N395" s="211"/>
    </row>
    <row r="396" spans="5:14" ht="12.75">
      <c r="E396" s="44"/>
      <c r="F396" s="44"/>
      <c r="G396" s="44"/>
      <c r="H396" s="44"/>
      <c r="I396" s="213"/>
      <c r="N396" s="211"/>
    </row>
    <row r="397" spans="5:14" ht="12.75">
      <c r="E397" s="44"/>
      <c r="F397" s="44"/>
      <c r="G397" s="44"/>
      <c r="H397" s="44"/>
      <c r="I397" s="213"/>
      <c r="N397" s="211"/>
    </row>
    <row r="398" spans="5:14" ht="12.75">
      <c r="E398" s="44"/>
      <c r="F398" s="44"/>
      <c r="G398" s="44"/>
      <c r="H398" s="44"/>
      <c r="I398" s="213"/>
      <c r="N398" s="211"/>
    </row>
    <row r="399" spans="5:14" ht="12.75">
      <c r="E399" s="44"/>
      <c r="F399" s="44"/>
      <c r="G399" s="44"/>
      <c r="H399" s="44"/>
      <c r="I399" s="213"/>
      <c r="N399" s="211"/>
    </row>
    <row r="400" spans="5:14" ht="12.75">
      <c r="E400" s="44"/>
      <c r="F400" s="44"/>
      <c r="G400" s="44"/>
      <c r="H400" s="44"/>
      <c r="I400" s="213"/>
      <c r="N400" s="211"/>
    </row>
    <row r="401" spans="5:14" ht="12.75">
      <c r="E401" s="44"/>
      <c r="F401" s="44"/>
      <c r="G401" s="44"/>
      <c r="H401" s="44"/>
      <c r="I401" s="213"/>
      <c r="N401" s="211"/>
    </row>
    <row r="402" spans="5:14" ht="12.75">
      <c r="E402" s="44"/>
      <c r="F402" s="44"/>
      <c r="G402" s="44"/>
      <c r="H402" s="44"/>
      <c r="I402" s="213"/>
      <c r="N402" s="211"/>
    </row>
    <row r="403" spans="5:14" ht="12.75">
      <c r="E403" s="44"/>
      <c r="F403" s="44"/>
      <c r="G403" s="44"/>
      <c r="H403" s="44"/>
      <c r="I403" s="213"/>
      <c r="N403" s="211"/>
    </row>
    <row r="404" spans="5:14" ht="12.75">
      <c r="E404" s="44"/>
      <c r="F404" s="44"/>
      <c r="G404" s="44"/>
      <c r="H404" s="44"/>
      <c r="I404" s="213"/>
      <c r="N404" s="211"/>
    </row>
    <row r="405" spans="5:14" ht="12.75">
      <c r="E405" s="44"/>
      <c r="F405" s="44"/>
      <c r="G405" s="44"/>
      <c r="H405" s="44"/>
      <c r="I405" s="213"/>
      <c r="N405" s="211"/>
    </row>
    <row r="406" spans="5:14" ht="12.75">
      <c r="E406" s="44"/>
      <c r="F406" s="44"/>
      <c r="G406" s="44"/>
      <c r="H406" s="44"/>
      <c r="I406" s="213"/>
      <c r="N406" s="211"/>
    </row>
    <row r="407" spans="5:14" ht="12.75">
      <c r="E407" s="44"/>
      <c r="F407" s="44"/>
      <c r="G407" s="44"/>
      <c r="H407" s="44"/>
      <c r="I407" s="213"/>
      <c r="N407" s="211"/>
    </row>
    <row r="408" spans="5:14" ht="12.75">
      <c r="E408" s="44"/>
      <c r="F408" s="44"/>
      <c r="G408" s="44"/>
      <c r="H408" s="44"/>
      <c r="I408" s="213"/>
      <c r="N408" s="211"/>
    </row>
    <row r="409" spans="5:14" ht="12.75">
      <c r="E409" s="44"/>
      <c r="F409" s="44"/>
      <c r="G409" s="44"/>
      <c r="H409" s="44"/>
      <c r="I409" s="213"/>
      <c r="N409" s="211"/>
    </row>
    <row r="410" spans="5:14" ht="12.75">
      <c r="E410" s="44"/>
      <c r="F410" s="44"/>
      <c r="G410" s="44"/>
      <c r="H410" s="44"/>
      <c r="I410" s="213"/>
      <c r="N410" s="211"/>
    </row>
    <row r="411" spans="5:14" ht="12.75">
      <c r="E411" s="44"/>
      <c r="F411" s="44"/>
      <c r="G411" s="44"/>
      <c r="H411" s="44"/>
      <c r="I411" s="213"/>
      <c r="N411" s="211"/>
    </row>
    <row r="412" spans="5:14" ht="12.75">
      <c r="E412" s="44"/>
      <c r="F412" s="44"/>
      <c r="G412" s="44"/>
      <c r="H412" s="44"/>
      <c r="I412" s="213"/>
      <c r="N412" s="211"/>
    </row>
    <row r="413" spans="5:14" ht="12.75">
      <c r="E413" s="44"/>
      <c r="F413" s="44"/>
      <c r="G413" s="44"/>
      <c r="H413" s="44"/>
      <c r="I413" s="213"/>
      <c r="N413" s="211"/>
    </row>
    <row r="414" spans="5:14" ht="12.75">
      <c r="E414" s="44"/>
      <c r="F414" s="44"/>
      <c r="G414" s="44"/>
      <c r="H414" s="44"/>
      <c r="I414" s="213"/>
      <c r="N414" s="211"/>
    </row>
    <row r="415" spans="5:14" ht="12.75">
      <c r="E415" s="44"/>
      <c r="F415" s="44"/>
      <c r="G415" s="44"/>
      <c r="H415" s="44"/>
      <c r="I415" s="213"/>
      <c r="N415" s="211"/>
    </row>
    <row r="416" spans="5:14" ht="12.75">
      <c r="E416" s="44"/>
      <c r="F416" s="44"/>
      <c r="G416" s="44"/>
      <c r="H416" s="44"/>
      <c r="I416" s="213"/>
      <c r="N416" s="211"/>
    </row>
    <row r="417" spans="5:14" ht="12.75">
      <c r="E417" s="44"/>
      <c r="F417" s="44"/>
      <c r="G417" s="44"/>
      <c r="H417" s="44"/>
      <c r="I417" s="213"/>
      <c r="N417" s="211"/>
    </row>
    <row r="418" spans="5:14" ht="12.75">
      <c r="E418" s="44"/>
      <c r="F418" s="44"/>
      <c r="G418" s="44"/>
      <c r="H418" s="44"/>
      <c r="I418" s="213"/>
      <c r="N418" s="211"/>
    </row>
    <row r="419" spans="5:14" ht="12.75">
      <c r="E419" s="44"/>
      <c r="F419" s="44"/>
      <c r="G419" s="44"/>
      <c r="H419" s="44"/>
      <c r="I419" s="213"/>
      <c r="N419" s="211"/>
    </row>
    <row r="420" spans="5:14" ht="12.75">
      <c r="E420" s="44"/>
      <c r="F420" s="44"/>
      <c r="G420" s="44"/>
      <c r="H420" s="44"/>
      <c r="I420" s="213"/>
      <c r="N420" s="211"/>
    </row>
    <row r="421" spans="5:14" ht="12.75">
      <c r="E421" s="44"/>
      <c r="F421" s="44"/>
      <c r="G421" s="44"/>
      <c r="H421" s="44"/>
      <c r="I421" s="213"/>
      <c r="N421" s="211"/>
    </row>
    <row r="422" spans="5:14" ht="12.75">
      <c r="E422" s="44"/>
      <c r="F422" s="44"/>
      <c r="G422" s="44"/>
      <c r="H422" s="44"/>
      <c r="I422" s="213"/>
      <c r="N422" s="211"/>
    </row>
    <row r="423" spans="5:14" ht="12.75">
      <c r="E423" s="44"/>
      <c r="F423" s="44"/>
      <c r="G423" s="44"/>
      <c r="H423" s="44"/>
      <c r="I423" s="213"/>
      <c r="N423" s="211"/>
    </row>
    <row r="424" spans="5:14" ht="12.75">
      <c r="E424" s="44"/>
      <c r="F424" s="44"/>
      <c r="G424" s="44"/>
      <c r="H424" s="44"/>
      <c r="I424" s="213"/>
      <c r="N424" s="211"/>
    </row>
    <row r="425" spans="5:14" ht="12.75">
      <c r="E425" s="44"/>
      <c r="F425" s="44"/>
      <c r="G425" s="44"/>
      <c r="H425" s="44"/>
      <c r="I425" s="213"/>
      <c r="N425" s="211"/>
    </row>
    <row r="426" spans="5:14" ht="12.75">
      <c r="E426" s="44"/>
      <c r="F426" s="44"/>
      <c r="G426" s="44"/>
      <c r="H426" s="44"/>
      <c r="I426" s="213"/>
      <c r="N426" s="211"/>
    </row>
    <row r="427" spans="5:14" ht="12.75">
      <c r="E427" s="44"/>
      <c r="F427" s="44"/>
      <c r="G427" s="44"/>
      <c r="H427" s="44"/>
      <c r="I427" s="213"/>
      <c r="N427" s="211"/>
    </row>
    <row r="428" spans="5:14" ht="12.75">
      <c r="E428" s="44"/>
      <c r="F428" s="44"/>
      <c r="G428" s="44"/>
      <c r="H428" s="44"/>
      <c r="I428" s="213"/>
      <c r="N428" s="211"/>
    </row>
    <row r="429" spans="5:14" ht="12.75">
      <c r="E429" s="44"/>
      <c r="F429" s="44"/>
      <c r="G429" s="44"/>
      <c r="H429" s="44"/>
      <c r="I429" s="213"/>
      <c r="N429" s="211"/>
    </row>
    <row r="430" spans="5:14" ht="12.75">
      <c r="E430" s="44"/>
      <c r="F430" s="44"/>
      <c r="G430" s="44"/>
      <c r="H430" s="44"/>
      <c r="I430" s="213"/>
      <c r="N430" s="211"/>
    </row>
    <row r="431" spans="5:14" ht="12.75">
      <c r="E431" s="44"/>
      <c r="F431" s="44"/>
      <c r="G431" s="44"/>
      <c r="H431" s="44"/>
      <c r="I431" s="213"/>
      <c r="N431" s="211"/>
    </row>
    <row r="432" spans="5:14" ht="12.75">
      <c r="E432" s="44"/>
      <c r="F432" s="44"/>
      <c r="G432" s="44"/>
      <c r="H432" s="44"/>
      <c r="I432" s="213"/>
      <c r="N432" s="211"/>
    </row>
    <row r="433" spans="5:14" ht="12.75">
      <c r="E433" s="44"/>
      <c r="F433" s="44"/>
      <c r="G433" s="44"/>
      <c r="H433" s="44"/>
      <c r="I433" s="213"/>
      <c r="N433" s="211"/>
    </row>
    <row r="434" spans="5:14" ht="12.75">
      <c r="E434" s="44"/>
      <c r="F434" s="44"/>
      <c r="G434" s="44"/>
      <c r="H434" s="44"/>
      <c r="I434" s="213"/>
      <c r="N434" s="211"/>
    </row>
    <row r="435" spans="5:14" ht="12.75">
      <c r="E435" s="44"/>
      <c r="F435" s="44"/>
      <c r="G435" s="44"/>
      <c r="H435" s="44"/>
      <c r="I435" s="213"/>
      <c r="N435" s="211"/>
    </row>
    <row r="436" spans="5:14" ht="12.75">
      <c r="E436" s="44"/>
      <c r="F436" s="44"/>
      <c r="G436" s="44"/>
      <c r="H436" s="44"/>
      <c r="I436" s="213"/>
      <c r="N436" s="211"/>
    </row>
    <row r="437" spans="5:14" ht="12.75">
      <c r="E437" s="44"/>
      <c r="F437" s="44"/>
      <c r="G437" s="44"/>
      <c r="H437" s="44"/>
      <c r="I437" s="213"/>
      <c r="N437" s="211"/>
    </row>
    <row r="438" spans="5:14" ht="12.75">
      <c r="E438" s="44"/>
      <c r="F438" s="44"/>
      <c r="G438" s="44"/>
      <c r="H438" s="44"/>
      <c r="I438" s="213"/>
      <c r="N438" s="211"/>
    </row>
    <row r="439" spans="5:14" ht="12.75">
      <c r="E439" s="44"/>
      <c r="F439" s="44"/>
      <c r="G439" s="44"/>
      <c r="H439" s="44"/>
      <c r="I439" s="213"/>
      <c r="N439" s="211"/>
    </row>
    <row r="440" spans="5:14" ht="12.75">
      <c r="E440" s="44"/>
      <c r="F440" s="44"/>
      <c r="G440" s="44"/>
      <c r="H440" s="44"/>
      <c r="I440" s="213"/>
      <c r="N440" s="211"/>
    </row>
    <row r="441" spans="5:14" ht="12.75">
      <c r="E441" s="44"/>
      <c r="F441" s="44"/>
      <c r="G441" s="44"/>
      <c r="H441" s="44"/>
      <c r="I441" s="213"/>
      <c r="N441" s="211"/>
    </row>
    <row r="442" spans="5:14" ht="12.75">
      <c r="E442" s="44"/>
      <c r="F442" s="44"/>
      <c r="G442" s="44"/>
      <c r="H442" s="44"/>
      <c r="I442" s="213"/>
      <c r="N442" s="211"/>
    </row>
    <row r="443" spans="5:14" ht="12.75">
      <c r="E443" s="44"/>
      <c r="F443" s="44"/>
      <c r="G443" s="44"/>
      <c r="H443" s="44"/>
      <c r="I443" s="213"/>
      <c r="N443" s="211"/>
    </row>
    <row r="444" spans="5:14" ht="12.75">
      <c r="E444" s="44"/>
      <c r="F444" s="44"/>
      <c r="G444" s="44"/>
      <c r="H444" s="44"/>
      <c r="I444" s="213"/>
      <c r="N444" s="211"/>
    </row>
    <row r="445" spans="5:14" ht="12.75">
      <c r="E445" s="44"/>
      <c r="F445" s="44"/>
      <c r="G445" s="44"/>
      <c r="H445" s="44"/>
      <c r="I445" s="213"/>
      <c r="N445" s="211"/>
    </row>
    <row r="446" spans="5:14" ht="12.75">
      <c r="E446" s="44"/>
      <c r="F446" s="44"/>
      <c r="G446" s="44"/>
      <c r="H446" s="44"/>
      <c r="I446" s="213"/>
      <c r="N446" s="211"/>
    </row>
    <row r="447" spans="5:14" ht="12.75">
      <c r="E447" s="44"/>
      <c r="F447" s="44"/>
      <c r="G447" s="44"/>
      <c r="H447" s="44"/>
      <c r="I447" s="213"/>
      <c r="N447" s="211"/>
    </row>
    <row r="448" spans="5:14" ht="12.75">
      <c r="E448" s="44"/>
      <c r="F448" s="44"/>
      <c r="G448" s="44"/>
      <c r="H448" s="44"/>
      <c r="I448" s="213"/>
      <c r="N448" s="211"/>
    </row>
    <row r="449" spans="5:14" ht="12.75">
      <c r="E449" s="44"/>
      <c r="F449" s="44"/>
      <c r="G449" s="44"/>
      <c r="H449" s="44"/>
      <c r="I449" s="213"/>
      <c r="N449" s="211"/>
    </row>
    <row r="450" spans="5:14" ht="12.75">
      <c r="E450" s="44"/>
      <c r="F450" s="44"/>
      <c r="G450" s="44"/>
      <c r="H450" s="44"/>
      <c r="I450" s="213"/>
      <c r="N450" s="211"/>
    </row>
    <row r="451" spans="5:14" ht="12.75">
      <c r="E451" s="44"/>
      <c r="F451" s="44"/>
      <c r="G451" s="44"/>
      <c r="H451" s="44"/>
      <c r="I451" s="213"/>
      <c r="N451" s="211"/>
    </row>
    <row r="452" spans="5:14" ht="12.75">
      <c r="E452" s="44"/>
      <c r="F452" s="44"/>
      <c r="G452" s="44"/>
      <c r="H452" s="44"/>
      <c r="I452" s="213"/>
      <c r="N452" s="211"/>
    </row>
    <row r="453" spans="5:14" ht="12.75">
      <c r="E453" s="44"/>
      <c r="F453" s="44"/>
      <c r="G453" s="44"/>
      <c r="H453" s="44"/>
      <c r="I453" s="213"/>
      <c r="N453" s="211"/>
    </row>
    <row r="454" spans="5:14" ht="12.75">
      <c r="E454" s="44"/>
      <c r="F454" s="44"/>
      <c r="G454" s="44"/>
      <c r="H454" s="44"/>
      <c r="I454" s="213"/>
      <c r="N454" s="211"/>
    </row>
    <row r="455" spans="5:14" ht="12.75">
      <c r="E455" s="44"/>
      <c r="F455" s="44"/>
      <c r="G455" s="44"/>
      <c r="H455" s="44"/>
      <c r="I455" s="213"/>
      <c r="N455" s="211"/>
    </row>
    <row r="456" spans="5:14" ht="12.75">
      <c r="E456" s="44"/>
      <c r="F456" s="44"/>
      <c r="G456" s="44"/>
      <c r="H456" s="44"/>
      <c r="I456" s="213"/>
      <c r="N456" s="211"/>
    </row>
    <row r="457" spans="5:14" ht="12.75">
      <c r="E457" s="44"/>
      <c r="F457" s="44"/>
      <c r="G457" s="44"/>
      <c r="H457" s="44"/>
      <c r="I457" s="213"/>
      <c r="N457" s="211"/>
    </row>
    <row r="458" spans="5:14" ht="12.75">
      <c r="E458" s="44"/>
      <c r="F458" s="44"/>
      <c r="G458" s="44"/>
      <c r="H458" s="44"/>
      <c r="I458" s="213"/>
      <c r="N458" s="211"/>
    </row>
    <row r="459" spans="5:14" ht="12.75">
      <c r="E459" s="44"/>
      <c r="F459" s="44"/>
      <c r="G459" s="44"/>
      <c r="H459" s="44"/>
      <c r="I459" s="213"/>
      <c r="N459" s="211"/>
    </row>
    <row r="460" spans="5:14" ht="12.75">
      <c r="E460" s="44"/>
      <c r="F460" s="44"/>
      <c r="G460" s="44"/>
      <c r="H460" s="44"/>
      <c r="I460" s="213"/>
      <c r="N460" s="211"/>
    </row>
    <row r="461" spans="5:14" ht="12.75">
      <c r="E461" s="44"/>
      <c r="F461" s="44"/>
      <c r="G461" s="44"/>
      <c r="H461" s="44"/>
      <c r="I461" s="213"/>
      <c r="N461" s="211"/>
    </row>
    <row r="462" spans="5:14" ht="12.75">
      <c r="E462" s="44"/>
      <c r="F462" s="44"/>
      <c r="G462" s="44"/>
      <c r="H462" s="44"/>
      <c r="I462" s="213"/>
      <c r="N462" s="211"/>
    </row>
    <row r="463" spans="5:14" ht="12.75">
      <c r="E463" s="44"/>
      <c r="F463" s="44"/>
      <c r="G463" s="44"/>
      <c r="H463" s="44"/>
      <c r="I463" s="213"/>
      <c r="N463" s="211"/>
    </row>
    <row r="464" spans="5:14" ht="12.75">
      <c r="E464" s="44"/>
      <c r="F464" s="44"/>
      <c r="G464" s="44"/>
      <c r="H464" s="44"/>
      <c r="I464" s="213"/>
      <c r="N464" s="211"/>
    </row>
    <row r="465" spans="5:14" ht="12.75">
      <c r="E465" s="44"/>
      <c r="F465" s="44"/>
      <c r="G465" s="44"/>
      <c r="H465" s="44"/>
      <c r="I465" s="213"/>
      <c r="N465" s="211"/>
    </row>
    <row r="466" spans="5:14" ht="12.75">
      <c r="E466" s="44"/>
      <c r="F466" s="44"/>
      <c r="G466" s="44"/>
      <c r="H466" s="44"/>
      <c r="I466" s="213"/>
      <c r="N466" s="211"/>
    </row>
    <row r="467" spans="5:14" ht="12.75">
      <c r="E467" s="44"/>
      <c r="F467" s="44"/>
      <c r="G467" s="44"/>
      <c r="H467" s="44"/>
      <c r="I467" s="213"/>
      <c r="N467" s="211"/>
    </row>
    <row r="468" spans="5:14" ht="12.75">
      <c r="E468" s="44"/>
      <c r="F468" s="44"/>
      <c r="G468" s="44"/>
      <c r="H468" s="44"/>
      <c r="I468" s="213"/>
      <c r="N468" s="211"/>
    </row>
    <row r="469" spans="5:14" ht="12.75">
      <c r="E469" s="44"/>
      <c r="F469" s="44"/>
      <c r="G469" s="44"/>
      <c r="H469" s="44"/>
      <c r="I469" s="213"/>
      <c r="N469" s="211"/>
    </row>
    <row r="470" spans="5:14" ht="12.75">
      <c r="E470" s="44"/>
      <c r="F470" s="44"/>
      <c r="G470" s="44"/>
      <c r="H470" s="44"/>
      <c r="I470" s="213"/>
      <c r="N470" s="211"/>
    </row>
    <row r="471" spans="5:14" ht="12.75">
      <c r="E471" s="44"/>
      <c r="F471" s="44"/>
      <c r="G471" s="44"/>
      <c r="H471" s="44"/>
      <c r="I471" s="213"/>
      <c r="N471" s="211"/>
    </row>
    <row r="472" spans="5:14" ht="12.75">
      <c r="E472" s="44"/>
      <c r="F472" s="44"/>
      <c r="G472" s="44"/>
      <c r="H472" s="44"/>
      <c r="I472" s="213"/>
      <c r="N472" s="211"/>
    </row>
    <row r="473" spans="5:14" ht="12.75">
      <c r="E473" s="44"/>
      <c r="F473" s="44"/>
      <c r="G473" s="44"/>
      <c r="H473" s="44"/>
      <c r="I473" s="213"/>
      <c r="N473" s="211"/>
    </row>
    <row r="474" spans="5:14" ht="12.75">
      <c r="E474" s="44"/>
      <c r="F474" s="44"/>
      <c r="G474" s="44"/>
      <c r="H474" s="44"/>
      <c r="I474" s="213"/>
      <c r="N474" s="211"/>
    </row>
    <row r="475" spans="5:14" ht="12.75">
      <c r="E475" s="44"/>
      <c r="F475" s="44"/>
      <c r="G475" s="44"/>
      <c r="H475" s="44"/>
      <c r="I475" s="213"/>
      <c r="N475" s="211"/>
    </row>
    <row r="476" spans="5:14" ht="12.75">
      <c r="E476" s="44"/>
      <c r="F476" s="44"/>
      <c r="G476" s="44"/>
      <c r="H476" s="44"/>
      <c r="I476" s="213"/>
      <c r="N476" s="211"/>
    </row>
    <row r="477" spans="5:14" ht="12.75">
      <c r="E477" s="44"/>
      <c r="F477" s="44"/>
      <c r="G477" s="44"/>
      <c r="H477" s="44"/>
      <c r="I477" s="213"/>
      <c r="N477" s="211"/>
    </row>
    <row r="478" spans="5:14" ht="12.75">
      <c r="E478" s="44"/>
      <c r="F478" s="44"/>
      <c r="G478" s="44"/>
      <c r="H478" s="44"/>
      <c r="I478" s="213"/>
      <c r="N478" s="211"/>
    </row>
    <row r="479" spans="5:14" ht="12.75">
      <c r="E479" s="44"/>
      <c r="F479" s="44"/>
      <c r="G479" s="44"/>
      <c r="H479" s="44"/>
      <c r="I479" s="213"/>
      <c r="N479" s="211"/>
    </row>
    <row r="480" spans="5:14" ht="12.75">
      <c r="E480" s="44"/>
      <c r="F480" s="44"/>
      <c r="G480" s="44"/>
      <c r="H480" s="44"/>
      <c r="I480" s="213"/>
      <c r="N480" s="211"/>
    </row>
    <row r="481" spans="5:14" ht="12.75">
      <c r="E481" s="44"/>
      <c r="F481" s="44"/>
      <c r="G481" s="44"/>
      <c r="H481" s="44"/>
      <c r="I481" s="213"/>
      <c r="N481" s="211"/>
    </row>
    <row r="482" spans="5:14" ht="12.75">
      <c r="E482" s="44"/>
      <c r="F482" s="44"/>
      <c r="G482" s="44"/>
      <c r="H482" s="44"/>
      <c r="I482" s="213"/>
      <c r="N482" s="211"/>
    </row>
    <row r="483" spans="5:14" ht="12.75">
      <c r="E483" s="44"/>
      <c r="F483" s="44"/>
      <c r="G483" s="44"/>
      <c r="H483" s="44"/>
      <c r="I483" s="213"/>
      <c r="N483" s="211"/>
    </row>
    <row r="484" spans="5:14" ht="12.75">
      <c r="E484" s="44"/>
      <c r="F484" s="44"/>
      <c r="G484" s="44"/>
      <c r="H484" s="44"/>
      <c r="I484" s="213"/>
      <c r="N484" s="211"/>
    </row>
    <row r="485" spans="5:14" ht="12.75">
      <c r="E485" s="44"/>
      <c r="F485" s="44"/>
      <c r="G485" s="44"/>
      <c r="H485" s="44"/>
      <c r="I485" s="213"/>
      <c r="N485" s="211"/>
    </row>
    <row r="486" spans="5:14" ht="12.75">
      <c r="E486" s="44"/>
      <c r="F486" s="44"/>
      <c r="G486" s="44"/>
      <c r="H486" s="44"/>
      <c r="I486" s="213"/>
      <c r="N486" s="211"/>
    </row>
    <row r="487" spans="5:14" ht="12.75">
      <c r="E487" s="44"/>
      <c r="F487" s="44"/>
      <c r="G487" s="44"/>
      <c r="H487" s="44"/>
      <c r="I487" s="213"/>
      <c r="N487" s="211"/>
    </row>
    <row r="488" spans="5:14" ht="12.75">
      <c r="E488" s="44"/>
      <c r="F488" s="44"/>
      <c r="G488" s="44"/>
      <c r="H488" s="44"/>
      <c r="I488" s="213"/>
      <c r="N488" s="211"/>
    </row>
    <row r="489" spans="5:14" ht="12.75">
      <c r="E489" s="44"/>
      <c r="F489" s="44"/>
      <c r="G489" s="44"/>
      <c r="H489" s="44"/>
      <c r="I489" s="213"/>
      <c r="N489" s="211"/>
    </row>
    <row r="490" spans="5:14" ht="12.75">
      <c r="E490" s="44"/>
      <c r="F490" s="44"/>
      <c r="G490" s="44"/>
      <c r="H490" s="44"/>
      <c r="I490" s="213"/>
      <c r="N490" s="211"/>
    </row>
    <row r="491" spans="5:14" ht="12.75">
      <c r="E491" s="44"/>
      <c r="F491" s="44"/>
      <c r="G491" s="44"/>
      <c r="H491" s="44"/>
      <c r="I491" s="213"/>
      <c r="N491" s="211"/>
    </row>
    <row r="492" spans="5:14" ht="12.75">
      <c r="E492" s="44"/>
      <c r="F492" s="44"/>
      <c r="G492" s="44"/>
      <c r="H492" s="44"/>
      <c r="I492" s="213"/>
      <c r="N492" s="211"/>
    </row>
    <row r="493" spans="5:14" ht="12.75">
      <c r="E493" s="44"/>
      <c r="F493" s="44"/>
      <c r="G493" s="44"/>
      <c r="H493" s="44"/>
      <c r="I493" s="213"/>
      <c r="N493" s="211"/>
    </row>
    <row r="494" spans="5:14" ht="12.75">
      <c r="E494" s="44"/>
      <c r="F494" s="44"/>
      <c r="G494" s="44"/>
      <c r="H494" s="44"/>
      <c r="I494" s="213"/>
      <c r="N494" s="211"/>
    </row>
    <row r="495" spans="5:14" ht="12.75">
      <c r="E495" s="44"/>
      <c r="F495" s="44"/>
      <c r="G495" s="44"/>
      <c r="H495" s="44"/>
      <c r="I495" s="213"/>
      <c r="N495" s="211"/>
    </row>
    <row r="496" spans="5:14" ht="12.75">
      <c r="E496" s="44"/>
      <c r="F496" s="44"/>
      <c r="G496" s="44"/>
      <c r="H496" s="44"/>
      <c r="I496" s="213"/>
      <c r="N496" s="211"/>
    </row>
    <row r="497" spans="5:14" ht="12.75">
      <c r="E497" s="44"/>
      <c r="F497" s="44"/>
      <c r="G497" s="44"/>
      <c r="H497" s="44"/>
      <c r="I497" s="213"/>
      <c r="N497" s="211"/>
    </row>
    <row r="498" spans="5:14" ht="12.75">
      <c r="E498" s="44"/>
      <c r="F498" s="44"/>
      <c r="G498" s="44"/>
      <c r="H498" s="44"/>
      <c r="I498" s="213"/>
      <c r="N498" s="211"/>
    </row>
    <row r="499" spans="5:14" ht="12.75">
      <c r="E499" s="44"/>
      <c r="F499" s="44"/>
      <c r="G499" s="44"/>
      <c r="H499" s="44"/>
      <c r="I499" s="213"/>
      <c r="N499" s="211"/>
    </row>
    <row r="500" spans="5:14" ht="12.75">
      <c r="E500" s="44"/>
      <c r="F500" s="44"/>
      <c r="G500" s="44"/>
      <c r="H500" s="44"/>
      <c r="I500" s="213"/>
      <c r="N500" s="211"/>
    </row>
    <row r="501" spans="5:14" ht="12.75">
      <c r="E501" s="44"/>
      <c r="F501" s="44"/>
      <c r="G501" s="44"/>
      <c r="H501" s="44"/>
      <c r="I501" s="213"/>
      <c r="N501" s="211"/>
    </row>
    <row r="502" spans="5:14" ht="12.75">
      <c r="E502" s="44"/>
      <c r="F502" s="44"/>
      <c r="G502" s="44"/>
      <c r="H502" s="44"/>
      <c r="I502" s="213"/>
      <c r="N502" s="211"/>
    </row>
    <row r="503" spans="5:14" ht="12.75">
      <c r="E503" s="44"/>
      <c r="F503" s="44"/>
      <c r="G503" s="44"/>
      <c r="H503" s="44"/>
      <c r="I503" s="213"/>
      <c r="N503" s="211"/>
    </row>
    <row r="504" spans="5:14" ht="12.75">
      <c r="E504" s="44"/>
      <c r="F504" s="44"/>
      <c r="G504" s="44"/>
      <c r="H504" s="44"/>
      <c r="I504" s="213"/>
      <c r="N504" s="211"/>
    </row>
    <row r="505" spans="5:14" ht="12.75">
      <c r="E505" s="44"/>
      <c r="F505" s="44"/>
      <c r="G505" s="44"/>
      <c r="H505" s="44"/>
      <c r="I505" s="213"/>
      <c r="N505" s="211"/>
    </row>
    <row r="506" spans="5:14" ht="12.75">
      <c r="E506" s="44"/>
      <c r="F506" s="44"/>
      <c r="G506" s="44"/>
      <c r="H506" s="44"/>
      <c r="I506" s="213"/>
      <c r="N506" s="211"/>
    </row>
    <row r="507" spans="5:14" ht="12.75">
      <c r="E507" s="44"/>
      <c r="F507" s="44"/>
      <c r="G507" s="44"/>
      <c r="H507" s="44"/>
      <c r="I507" s="213"/>
      <c r="N507" s="211"/>
    </row>
    <row r="508" spans="5:14" ht="12.75">
      <c r="E508" s="44"/>
      <c r="F508" s="44"/>
      <c r="G508" s="44"/>
      <c r="H508" s="44"/>
      <c r="I508" s="213"/>
      <c r="N508" s="211"/>
    </row>
    <row r="509" spans="5:14" ht="12.75">
      <c r="E509" s="44"/>
      <c r="F509" s="44"/>
      <c r="G509" s="44"/>
      <c r="H509" s="44"/>
      <c r="I509" s="213"/>
      <c r="N509" s="211"/>
    </row>
    <row r="510" spans="5:14" ht="12.75">
      <c r="E510" s="44"/>
      <c r="F510" s="44"/>
      <c r="G510" s="44"/>
      <c r="H510" s="44"/>
      <c r="I510" s="213"/>
      <c r="N510" s="211"/>
    </row>
    <row r="511" spans="5:14" ht="12.75">
      <c r="E511" s="44"/>
      <c r="F511" s="44"/>
      <c r="G511" s="44"/>
      <c r="H511" s="44"/>
      <c r="I511" s="213"/>
      <c r="N511" s="211"/>
    </row>
    <row r="512" spans="5:14" ht="12.75">
      <c r="E512" s="44"/>
      <c r="F512" s="44"/>
      <c r="G512" s="44"/>
      <c r="H512" s="44"/>
      <c r="I512" s="213"/>
      <c r="N512" s="211"/>
    </row>
    <row r="513" spans="5:14" ht="12.75">
      <c r="E513" s="44"/>
      <c r="F513" s="44"/>
      <c r="G513" s="44"/>
      <c r="H513" s="44"/>
      <c r="I513" s="213"/>
      <c r="N513" s="211"/>
    </row>
    <row r="514" spans="5:14" ht="12.75">
      <c r="E514" s="44"/>
      <c r="F514" s="44"/>
      <c r="G514" s="44"/>
      <c r="H514" s="44"/>
      <c r="I514" s="213"/>
      <c r="N514" s="211"/>
    </row>
    <row r="515" spans="5:14" ht="12.75">
      <c r="E515" s="44"/>
      <c r="F515" s="44"/>
      <c r="G515" s="44"/>
      <c r="H515" s="44"/>
      <c r="I515" s="213"/>
      <c r="N515" s="211"/>
    </row>
    <row r="516" spans="5:14" ht="12.75">
      <c r="E516" s="44"/>
      <c r="F516" s="44"/>
      <c r="G516" s="44"/>
      <c r="H516" s="44"/>
      <c r="I516" s="213"/>
      <c r="N516" s="211"/>
    </row>
    <row r="517" spans="5:14" ht="12.75">
      <c r="E517" s="44"/>
      <c r="F517" s="44"/>
      <c r="G517" s="44"/>
      <c r="H517" s="44"/>
      <c r="I517" s="213"/>
      <c r="N517" s="211"/>
    </row>
    <row r="518" spans="5:14" ht="12.75">
      <c r="E518" s="44"/>
      <c r="F518" s="44"/>
      <c r="G518" s="44"/>
      <c r="H518" s="44"/>
      <c r="I518" s="213"/>
      <c r="N518" s="211"/>
    </row>
    <row r="519" spans="5:14" ht="12.75">
      <c r="E519" s="44"/>
      <c r="F519" s="44"/>
      <c r="G519" s="44"/>
      <c r="H519" s="44"/>
      <c r="I519" s="213"/>
      <c r="N519" s="211"/>
    </row>
    <row r="520" spans="5:14" ht="12.75">
      <c r="E520" s="44"/>
      <c r="F520" s="44"/>
      <c r="G520" s="44"/>
      <c r="H520" s="44"/>
      <c r="I520" s="213"/>
      <c r="N520" s="211"/>
    </row>
    <row r="521" spans="5:14" ht="12.75">
      <c r="E521" s="44"/>
      <c r="F521" s="44"/>
      <c r="G521" s="44"/>
      <c r="H521" s="44"/>
      <c r="I521" s="213"/>
      <c r="N521" s="211"/>
    </row>
    <row r="522" spans="5:14" ht="12.75">
      <c r="E522" s="44"/>
      <c r="F522" s="44"/>
      <c r="G522" s="44"/>
      <c r="H522" s="44"/>
      <c r="I522" s="213"/>
      <c r="N522" s="211"/>
    </row>
    <row r="523" spans="5:14" ht="12.75">
      <c r="E523" s="44"/>
      <c r="F523" s="44"/>
      <c r="G523" s="44"/>
      <c r="H523" s="44"/>
      <c r="I523" s="213"/>
      <c r="N523" s="211"/>
    </row>
    <row r="524" spans="5:14" ht="12.75">
      <c r="E524" s="44"/>
      <c r="F524" s="44"/>
      <c r="G524" s="44"/>
      <c r="H524" s="44"/>
      <c r="I524" s="213"/>
      <c r="N524" s="211"/>
    </row>
    <row r="525" spans="5:14" ht="12.75">
      <c r="E525" s="44"/>
      <c r="F525" s="44"/>
      <c r="G525" s="44"/>
      <c r="H525" s="44"/>
      <c r="I525" s="213"/>
      <c r="N525" s="211"/>
    </row>
    <row r="526" spans="5:14" ht="12.75">
      <c r="E526" s="44"/>
      <c r="F526" s="44"/>
      <c r="G526" s="44"/>
      <c r="H526" s="44"/>
      <c r="I526" s="213"/>
      <c r="N526" s="211"/>
    </row>
    <row r="527" spans="5:14" ht="12.75">
      <c r="E527" s="44"/>
      <c r="F527" s="44"/>
      <c r="G527" s="44"/>
      <c r="H527" s="44"/>
      <c r="I527" s="213"/>
      <c r="N527" s="211"/>
    </row>
    <row r="528" spans="5:14" ht="12.75">
      <c r="E528" s="44"/>
      <c r="F528" s="44"/>
      <c r="G528" s="44"/>
      <c r="H528" s="44"/>
      <c r="I528" s="213"/>
      <c r="N528" s="211"/>
    </row>
    <row r="529" spans="5:14" ht="12.75">
      <c r="E529" s="44"/>
      <c r="F529" s="44"/>
      <c r="G529" s="44"/>
      <c r="H529" s="44"/>
      <c r="I529" s="213"/>
      <c r="N529" s="211"/>
    </row>
    <row r="530" spans="5:14" ht="12.75">
      <c r="E530" s="44"/>
      <c r="F530" s="44"/>
      <c r="G530" s="44"/>
      <c r="H530" s="44"/>
      <c r="I530" s="213"/>
      <c r="N530" s="211"/>
    </row>
    <row r="531" spans="5:14" ht="12.75">
      <c r="E531" s="44"/>
      <c r="F531" s="44"/>
      <c r="G531" s="44"/>
      <c r="H531" s="44"/>
      <c r="I531" s="213"/>
      <c r="N531" s="211"/>
    </row>
    <row r="532" spans="5:14" ht="12.75">
      <c r="E532" s="44"/>
      <c r="F532" s="44"/>
      <c r="G532" s="44"/>
      <c r="H532" s="44"/>
      <c r="I532" s="213"/>
      <c r="N532" s="211"/>
    </row>
    <row r="533" spans="5:14" ht="12.75">
      <c r="E533" s="44"/>
      <c r="F533" s="44"/>
      <c r="G533" s="44"/>
      <c r="H533" s="44"/>
      <c r="I533" s="213"/>
      <c r="N533" s="211"/>
    </row>
    <row r="534" spans="5:14" ht="12.75">
      <c r="E534" s="44"/>
      <c r="F534" s="44"/>
      <c r="G534" s="44"/>
      <c r="H534" s="44"/>
      <c r="I534" s="213"/>
      <c r="N534" s="211"/>
    </row>
    <row r="535" spans="5:14" ht="12.75">
      <c r="E535" s="44"/>
      <c r="F535" s="44"/>
      <c r="G535" s="44"/>
      <c r="H535" s="44"/>
      <c r="I535" s="213"/>
      <c r="N535" s="211"/>
    </row>
    <row r="536" spans="5:14" ht="12.75">
      <c r="E536" s="44"/>
      <c r="F536" s="44"/>
      <c r="G536" s="44"/>
      <c r="H536" s="44"/>
      <c r="I536" s="213"/>
      <c r="N536" s="211"/>
    </row>
    <row r="537" spans="5:14" ht="12.75">
      <c r="E537" s="44"/>
      <c r="F537" s="44"/>
      <c r="G537" s="44"/>
      <c r="H537" s="44"/>
      <c r="I537" s="213"/>
      <c r="N537" s="211"/>
    </row>
    <row r="538" spans="5:14" ht="12.75">
      <c r="E538" s="44"/>
      <c r="F538" s="44"/>
      <c r="G538" s="44"/>
      <c r="H538" s="44"/>
      <c r="I538" s="213"/>
      <c r="N538" s="211"/>
    </row>
    <row r="539" spans="5:14" ht="12.75">
      <c r="E539" s="44"/>
      <c r="F539" s="44"/>
      <c r="G539" s="44"/>
      <c r="H539" s="44"/>
      <c r="I539" s="213"/>
      <c r="N539" s="211"/>
    </row>
    <row r="540" spans="5:14" ht="12.75">
      <c r="E540" s="44"/>
      <c r="F540" s="44"/>
      <c r="G540" s="44"/>
      <c r="H540" s="44"/>
      <c r="I540" s="213"/>
      <c r="N540" s="211"/>
    </row>
    <row r="541" spans="5:14" ht="12.75">
      <c r="E541" s="44"/>
      <c r="F541" s="44"/>
      <c r="G541" s="44"/>
      <c r="H541" s="44"/>
      <c r="I541" s="213"/>
      <c r="N541" s="211"/>
    </row>
    <row r="542" spans="5:14" ht="12.75">
      <c r="E542" s="44"/>
      <c r="F542" s="44"/>
      <c r="G542" s="44"/>
      <c r="H542" s="44"/>
      <c r="I542" s="213"/>
      <c r="N542" s="211"/>
    </row>
    <row r="543" spans="5:14" ht="12.75">
      <c r="E543" s="44"/>
      <c r="F543" s="44"/>
      <c r="G543" s="44"/>
      <c r="H543" s="44"/>
      <c r="I543" s="213"/>
      <c r="N543" s="211"/>
    </row>
    <row r="544" spans="5:14" ht="12.75">
      <c r="E544" s="44"/>
      <c r="F544" s="44"/>
      <c r="G544" s="44"/>
      <c r="H544" s="44"/>
      <c r="I544" s="213"/>
      <c r="N544" s="211"/>
    </row>
    <row r="545" spans="5:14" ht="12.75">
      <c r="E545" s="44"/>
      <c r="F545" s="44"/>
      <c r="G545" s="44"/>
      <c r="H545" s="44"/>
      <c r="I545" s="213"/>
      <c r="N545" s="211"/>
    </row>
    <row r="546" spans="5:14" ht="12.75">
      <c r="E546" s="44"/>
      <c r="F546" s="44"/>
      <c r="G546" s="44"/>
      <c r="H546" s="44"/>
      <c r="I546" s="213"/>
      <c r="N546" s="211"/>
    </row>
    <row r="547" spans="5:14" ht="12.75">
      <c r="E547" s="44"/>
      <c r="F547" s="44"/>
      <c r="G547" s="44"/>
      <c r="H547" s="44"/>
      <c r="I547" s="213"/>
      <c r="N547" s="211"/>
    </row>
    <row r="548" spans="5:14" ht="12.75">
      <c r="E548" s="44"/>
      <c r="F548" s="44"/>
      <c r="G548" s="44"/>
      <c r="H548" s="44"/>
      <c r="I548" s="213"/>
      <c r="N548" s="211"/>
    </row>
    <row r="549" spans="5:14" ht="12.75">
      <c r="E549" s="44"/>
      <c r="F549" s="44"/>
      <c r="G549" s="44"/>
      <c r="H549" s="44"/>
      <c r="I549" s="213"/>
      <c r="N549" s="211"/>
    </row>
    <row r="550" spans="5:14" ht="12.75">
      <c r="E550" s="44"/>
      <c r="F550" s="44"/>
      <c r="G550" s="44"/>
      <c r="H550" s="44"/>
      <c r="I550" s="213"/>
      <c r="N550" s="211"/>
    </row>
    <row r="551" spans="5:14" ht="12.75">
      <c r="E551" s="44"/>
      <c r="F551" s="44"/>
      <c r="G551" s="44"/>
      <c r="H551" s="44"/>
      <c r="I551" s="213"/>
      <c r="N551" s="211"/>
    </row>
    <row r="552" spans="5:14" ht="12.75">
      <c r="E552" s="44"/>
      <c r="F552" s="44"/>
      <c r="G552" s="44"/>
      <c r="H552" s="44"/>
      <c r="I552" s="213"/>
      <c r="N552" s="211"/>
    </row>
    <row r="553" spans="5:14" ht="12.75">
      <c r="E553" s="44"/>
      <c r="F553" s="44"/>
      <c r="G553" s="44"/>
      <c r="H553" s="44"/>
      <c r="I553" s="213"/>
      <c r="N553" s="211"/>
    </row>
    <row r="554" spans="5:14" ht="12.75">
      <c r="E554" s="44"/>
      <c r="F554" s="44"/>
      <c r="G554" s="44"/>
      <c r="H554" s="44"/>
      <c r="I554" s="213"/>
      <c r="N554" s="211"/>
    </row>
    <row r="555" spans="5:14" ht="12.75">
      <c r="E555" s="44"/>
      <c r="F555" s="44"/>
      <c r="G555" s="44"/>
      <c r="H555" s="44"/>
      <c r="I555" s="213"/>
      <c r="N555" s="211"/>
    </row>
    <row r="556" spans="5:14" ht="12.75">
      <c r="E556" s="44"/>
      <c r="F556" s="44"/>
      <c r="G556" s="44"/>
      <c r="H556" s="44"/>
      <c r="I556" s="213"/>
      <c r="N556" s="211"/>
    </row>
    <row r="557" spans="5:14" ht="12.75">
      <c r="E557" s="44"/>
      <c r="F557" s="44"/>
      <c r="G557" s="44"/>
      <c r="H557" s="44"/>
      <c r="I557" s="213"/>
      <c r="N557" s="211"/>
    </row>
    <row r="558" spans="5:14" ht="12.75">
      <c r="E558" s="44"/>
      <c r="F558" s="44"/>
      <c r="G558" s="44"/>
      <c r="H558" s="44"/>
      <c r="I558" s="213"/>
      <c r="N558" s="211"/>
    </row>
    <row r="559" spans="5:14" ht="12.75">
      <c r="E559" s="44"/>
      <c r="F559" s="44"/>
      <c r="G559" s="44"/>
      <c r="H559" s="44"/>
      <c r="I559" s="213"/>
      <c r="N559" s="211"/>
    </row>
    <row r="560" spans="5:14" ht="12.75">
      <c r="E560" s="44"/>
      <c r="F560" s="44"/>
      <c r="G560" s="44"/>
      <c r="H560" s="44"/>
      <c r="I560" s="213"/>
      <c r="N560" s="211"/>
    </row>
    <row r="561" spans="5:14" ht="12.75">
      <c r="E561" s="44"/>
      <c r="F561" s="44"/>
      <c r="G561" s="44"/>
      <c r="H561" s="44"/>
      <c r="I561" s="213"/>
      <c r="N561" s="211"/>
    </row>
    <row r="562" spans="5:14" ht="12.75">
      <c r="E562" s="44"/>
      <c r="F562" s="44"/>
      <c r="G562" s="44"/>
      <c r="H562" s="44"/>
      <c r="I562" s="213"/>
      <c r="N562" s="211"/>
    </row>
    <row r="563" spans="5:14" ht="12.75">
      <c r="E563" s="44"/>
      <c r="F563" s="44"/>
      <c r="G563" s="44"/>
      <c r="H563" s="44"/>
      <c r="I563" s="213"/>
      <c r="N563" s="211"/>
    </row>
    <row r="564" spans="5:14" ht="12.75">
      <c r="E564" s="44"/>
      <c r="F564" s="44"/>
      <c r="G564" s="44"/>
      <c r="H564" s="44"/>
      <c r="I564" s="213"/>
      <c r="N564" s="211"/>
    </row>
    <row r="565" spans="5:14" ht="12.75">
      <c r="E565" s="44"/>
      <c r="F565" s="44"/>
      <c r="G565" s="44"/>
      <c r="H565" s="44"/>
      <c r="I565" s="213"/>
      <c r="N565" s="211"/>
    </row>
    <row r="566" spans="5:14" ht="12.75">
      <c r="E566" s="44"/>
      <c r="F566" s="44"/>
      <c r="G566" s="44"/>
      <c r="H566" s="44"/>
      <c r="I566" s="213"/>
      <c r="N566" s="211"/>
    </row>
    <row r="567" spans="5:14" ht="12.75">
      <c r="E567" s="44"/>
      <c r="F567" s="44"/>
      <c r="G567" s="44"/>
      <c r="H567" s="44"/>
      <c r="I567" s="213"/>
      <c r="N567" s="211"/>
    </row>
    <row r="568" spans="5:14" ht="12.75">
      <c r="E568" s="44"/>
      <c r="F568" s="44"/>
      <c r="G568" s="44"/>
      <c r="H568" s="44"/>
      <c r="I568" s="213"/>
      <c r="N568" s="211"/>
    </row>
    <row r="569" spans="5:14" ht="12.75">
      <c r="E569" s="44"/>
      <c r="F569" s="44"/>
      <c r="G569" s="44"/>
      <c r="H569" s="44"/>
      <c r="I569" s="213"/>
      <c r="N569" s="211"/>
    </row>
    <row r="570" spans="5:14" ht="12.75">
      <c r="E570" s="44"/>
      <c r="F570" s="44"/>
      <c r="G570" s="44"/>
      <c r="H570" s="44"/>
      <c r="I570" s="213"/>
      <c r="N570" s="211"/>
    </row>
    <row r="571" spans="5:14" ht="12.75">
      <c r="E571" s="44"/>
      <c r="F571" s="44"/>
      <c r="G571" s="44"/>
      <c r="H571" s="44"/>
      <c r="I571" s="213"/>
      <c r="N571" s="211"/>
    </row>
    <row r="572" spans="5:14" ht="12.75">
      <c r="E572" s="44"/>
      <c r="F572" s="44"/>
      <c r="G572" s="44"/>
      <c r="H572" s="44"/>
      <c r="I572" s="213"/>
      <c r="N572" s="211"/>
    </row>
    <row r="573" spans="5:14" ht="12.75">
      <c r="E573" s="44"/>
      <c r="F573" s="44"/>
      <c r="G573" s="44"/>
      <c r="H573" s="44"/>
      <c r="I573" s="213"/>
      <c r="N573" s="211"/>
    </row>
    <row r="574" spans="5:14" ht="12.75">
      <c r="E574" s="44"/>
      <c r="F574" s="44"/>
      <c r="G574" s="44"/>
      <c r="H574" s="44"/>
      <c r="I574" s="213"/>
      <c r="N574" s="211"/>
    </row>
    <row r="575" spans="5:14" ht="12.75">
      <c r="E575" s="44"/>
      <c r="F575" s="44"/>
      <c r="G575" s="44"/>
      <c r="H575" s="44"/>
      <c r="I575" s="213"/>
      <c r="N575" s="211"/>
    </row>
    <row r="576" spans="5:14" ht="12.75">
      <c r="E576" s="44"/>
      <c r="F576" s="44"/>
      <c r="G576" s="44"/>
      <c r="H576" s="44"/>
      <c r="I576" s="213"/>
      <c r="N576" s="211"/>
    </row>
    <row r="577" spans="5:14" ht="12.75">
      <c r="E577" s="44"/>
      <c r="F577" s="44"/>
      <c r="G577" s="44"/>
      <c r="H577" s="44"/>
      <c r="I577" s="213"/>
      <c r="N577" s="211"/>
    </row>
    <row r="578" spans="5:14" ht="12.75">
      <c r="E578" s="44"/>
      <c r="F578" s="44"/>
      <c r="G578" s="44"/>
      <c r="H578" s="44"/>
      <c r="I578" s="213"/>
      <c r="N578" s="211"/>
    </row>
    <row r="579" spans="5:14" ht="12.75">
      <c r="E579" s="44"/>
      <c r="F579" s="44"/>
      <c r="G579" s="44"/>
      <c r="H579" s="44"/>
      <c r="I579" s="213"/>
      <c r="N579" s="211"/>
    </row>
    <row r="580" spans="5:14" ht="12.75">
      <c r="E580" s="44"/>
      <c r="F580" s="44"/>
      <c r="G580" s="44"/>
      <c r="H580" s="44"/>
      <c r="I580" s="213"/>
      <c r="N580" s="211"/>
    </row>
    <row r="581" spans="5:14" ht="12.75">
      <c r="E581" s="44"/>
      <c r="F581" s="44"/>
      <c r="G581" s="44"/>
      <c r="H581" s="44"/>
      <c r="I581" s="213"/>
      <c r="N581" s="211"/>
    </row>
    <row r="582" spans="5:14" ht="12.75">
      <c r="E582" s="44"/>
      <c r="F582" s="44"/>
      <c r="G582" s="44"/>
      <c r="H582" s="44"/>
      <c r="I582" s="213"/>
      <c r="N582" s="211"/>
    </row>
    <row r="583" spans="5:14" ht="12.75">
      <c r="E583" s="44"/>
      <c r="F583" s="44"/>
      <c r="G583" s="44"/>
      <c r="H583" s="44"/>
      <c r="I583" s="213"/>
      <c r="N583" s="211"/>
    </row>
    <row r="584" spans="5:14" ht="12.75">
      <c r="E584" s="44"/>
      <c r="F584" s="44"/>
      <c r="G584" s="44"/>
      <c r="H584" s="44"/>
      <c r="I584" s="213"/>
      <c r="N584" s="211"/>
    </row>
    <row r="585" spans="5:14" ht="12.75">
      <c r="E585" s="44"/>
      <c r="F585" s="44"/>
      <c r="G585" s="44"/>
      <c r="H585" s="44"/>
      <c r="I585" s="213"/>
      <c r="N585" s="211"/>
    </row>
    <row r="586" spans="5:14" ht="12.75">
      <c r="E586" s="44"/>
      <c r="F586" s="44"/>
      <c r="G586" s="44"/>
      <c r="H586" s="44"/>
      <c r="I586" s="213"/>
      <c r="N586" s="211"/>
    </row>
    <row r="587" spans="5:14" ht="12.75">
      <c r="E587" s="44"/>
      <c r="F587" s="44"/>
      <c r="G587" s="44"/>
      <c r="H587" s="44"/>
      <c r="I587" s="213"/>
      <c r="N587" s="211"/>
    </row>
    <row r="588" spans="5:14" ht="12.75">
      <c r="E588" s="44"/>
      <c r="F588" s="44"/>
      <c r="G588" s="44"/>
      <c r="H588" s="44"/>
      <c r="I588" s="213"/>
      <c r="N588" s="211"/>
    </row>
    <row r="589" spans="5:14" ht="12.75">
      <c r="E589" s="44"/>
      <c r="F589" s="44"/>
      <c r="G589" s="44"/>
      <c r="H589" s="44"/>
      <c r="I589" s="213"/>
      <c r="N589" s="211"/>
    </row>
    <row r="590" spans="5:14" ht="12.75">
      <c r="E590" s="44"/>
      <c r="F590" s="44"/>
      <c r="G590" s="44"/>
      <c r="H590" s="44"/>
      <c r="I590" s="213"/>
      <c r="N590" s="211"/>
    </row>
    <row r="591" spans="5:14" ht="12.75">
      <c r="E591" s="44"/>
      <c r="F591" s="44"/>
      <c r="G591" s="44"/>
      <c r="H591" s="44"/>
      <c r="I591" s="213"/>
      <c r="N591" s="211"/>
    </row>
    <row r="592" spans="5:14" ht="12.75">
      <c r="E592" s="44"/>
      <c r="F592" s="44"/>
      <c r="G592" s="44"/>
      <c r="H592" s="44"/>
      <c r="I592" s="213"/>
      <c r="N592" s="211"/>
    </row>
    <row r="593" spans="5:14" ht="12.75">
      <c r="E593" s="44"/>
      <c r="F593" s="44"/>
      <c r="G593" s="44"/>
      <c r="H593" s="44"/>
      <c r="I593" s="213"/>
      <c r="N593" s="211"/>
    </row>
    <row r="594" spans="5:14" ht="12.75">
      <c r="E594" s="44"/>
      <c r="F594" s="44"/>
      <c r="G594" s="44"/>
      <c r="H594" s="44"/>
      <c r="I594" s="213"/>
      <c r="N594" s="211"/>
    </row>
    <row r="595" spans="5:14" ht="12.75">
      <c r="E595" s="44"/>
      <c r="F595" s="44"/>
      <c r="G595" s="44"/>
      <c r="H595" s="44"/>
      <c r="I595" s="213"/>
      <c r="N595" s="211"/>
    </row>
    <row r="596" spans="5:14" ht="12.75">
      <c r="E596" s="44"/>
      <c r="F596" s="44"/>
      <c r="G596" s="44"/>
      <c r="H596" s="44"/>
      <c r="I596" s="213"/>
      <c r="N596" s="211"/>
    </row>
    <row r="597" spans="5:14" ht="12.75">
      <c r="E597" s="44"/>
      <c r="F597" s="44"/>
      <c r="G597" s="44"/>
      <c r="H597" s="44"/>
      <c r="I597" s="213"/>
      <c r="N597" s="211"/>
    </row>
    <row r="598" spans="5:14" ht="12.75">
      <c r="E598" s="44"/>
      <c r="F598" s="44"/>
      <c r="G598" s="44"/>
      <c r="H598" s="44"/>
      <c r="I598" s="213"/>
      <c r="N598" s="211"/>
    </row>
    <row r="599" spans="5:14" ht="12.75">
      <c r="E599" s="44"/>
      <c r="F599" s="44"/>
      <c r="G599" s="44"/>
      <c r="H599" s="44"/>
      <c r="I599" s="213"/>
      <c r="N599" s="211"/>
    </row>
    <row r="600" spans="5:14" ht="12.75">
      <c r="E600" s="44"/>
      <c r="F600" s="44"/>
      <c r="G600" s="44"/>
      <c r="H600" s="44"/>
      <c r="I600" s="213"/>
      <c r="N600" s="211"/>
    </row>
    <row r="601" spans="5:14" ht="12.75">
      <c r="E601" s="44"/>
      <c r="F601" s="44"/>
      <c r="G601" s="44"/>
      <c r="H601" s="44"/>
      <c r="I601" s="213"/>
      <c r="N601" s="211"/>
    </row>
    <row r="602" spans="5:14" ht="12.75">
      <c r="E602" s="44"/>
      <c r="F602" s="44"/>
      <c r="G602" s="44"/>
      <c r="H602" s="44"/>
      <c r="I602" s="213"/>
      <c r="N602" s="211"/>
    </row>
    <row r="603" spans="5:14" ht="12.75">
      <c r="E603" s="44"/>
      <c r="F603" s="44"/>
      <c r="G603" s="44"/>
      <c r="H603" s="44"/>
      <c r="I603" s="213"/>
      <c r="N603" s="211"/>
    </row>
    <row r="604" spans="5:14" ht="12.75">
      <c r="E604" s="44"/>
      <c r="F604" s="44"/>
      <c r="G604" s="44"/>
      <c r="H604" s="44"/>
      <c r="I604" s="213"/>
      <c r="N604" s="211"/>
    </row>
    <row r="605" spans="5:14" ht="12.75">
      <c r="E605" s="44"/>
      <c r="F605" s="44"/>
      <c r="G605" s="44"/>
      <c r="H605" s="44"/>
      <c r="I605" s="213"/>
      <c r="N605" s="211"/>
    </row>
    <row r="606" spans="5:14" ht="12.75">
      <c r="E606" s="44"/>
      <c r="F606" s="44"/>
      <c r="G606" s="44"/>
      <c r="H606" s="44"/>
      <c r="I606" s="213"/>
      <c r="N606" s="211"/>
    </row>
    <row r="607" spans="5:14" ht="12.75">
      <c r="E607" s="44"/>
      <c r="F607" s="44"/>
      <c r="G607" s="44"/>
      <c r="H607" s="44"/>
      <c r="I607" s="213"/>
      <c r="N607" s="211"/>
    </row>
    <row r="608" spans="5:14" ht="12.75">
      <c r="E608" s="44"/>
      <c r="F608" s="44"/>
      <c r="G608" s="44"/>
      <c r="H608" s="44"/>
      <c r="I608" s="213"/>
      <c r="N608" s="211"/>
    </row>
    <row r="609" spans="5:14" ht="12.75">
      <c r="E609" s="44"/>
      <c r="F609" s="44"/>
      <c r="G609" s="44"/>
      <c r="H609" s="44"/>
      <c r="I609" s="213"/>
      <c r="N609" s="211"/>
    </row>
    <row r="610" spans="5:14" ht="12.75">
      <c r="E610" s="44"/>
      <c r="F610" s="44"/>
      <c r="G610" s="44"/>
      <c r="H610" s="44"/>
      <c r="I610" s="213"/>
      <c r="N610" s="211"/>
    </row>
    <row r="611" spans="5:14" ht="12.75">
      <c r="E611" s="44"/>
      <c r="F611" s="44"/>
      <c r="G611" s="44"/>
      <c r="H611" s="44"/>
      <c r="I611" s="213"/>
      <c r="N611" s="211"/>
    </row>
    <row r="612" spans="5:14" ht="12.75">
      <c r="E612" s="44"/>
      <c r="F612" s="44"/>
      <c r="G612" s="44"/>
      <c r="H612" s="44"/>
      <c r="I612" s="213"/>
      <c r="N612" s="211"/>
    </row>
    <row r="613" spans="5:14" ht="12.75">
      <c r="E613" s="44"/>
      <c r="F613" s="44"/>
      <c r="G613" s="44"/>
      <c r="H613" s="44"/>
      <c r="I613" s="213"/>
      <c r="N613" s="211"/>
    </row>
    <row r="614" spans="5:14" ht="12.75">
      <c r="E614" s="44"/>
      <c r="F614" s="44"/>
      <c r="G614" s="44"/>
      <c r="H614" s="44"/>
      <c r="I614" s="213"/>
      <c r="N614" s="211"/>
    </row>
    <row r="615" spans="5:14" ht="12.75">
      <c r="E615" s="44"/>
      <c r="F615" s="44"/>
      <c r="G615" s="44"/>
      <c r="H615" s="44"/>
      <c r="I615" s="213"/>
      <c r="N615" s="211"/>
    </row>
    <row r="616" spans="5:14" ht="12.75">
      <c r="E616" s="44"/>
      <c r="F616" s="44"/>
      <c r="G616" s="44"/>
      <c r="H616" s="44"/>
      <c r="I616" s="213"/>
      <c r="N616" s="211"/>
    </row>
    <row r="617" spans="5:14" ht="12.75">
      <c r="E617" s="44"/>
      <c r="F617" s="44"/>
      <c r="G617" s="44"/>
      <c r="H617" s="44"/>
      <c r="I617" s="213"/>
      <c r="N617" s="211"/>
    </row>
    <row r="618" spans="5:14" ht="12.75">
      <c r="E618" s="44"/>
      <c r="F618" s="44"/>
      <c r="G618" s="44"/>
      <c r="H618" s="44"/>
      <c r="I618" s="213"/>
      <c r="N618" s="211"/>
    </row>
    <row r="619" spans="5:14" ht="12.75">
      <c r="E619" s="44"/>
      <c r="F619" s="44"/>
      <c r="G619" s="44"/>
      <c r="H619" s="44"/>
      <c r="I619" s="213"/>
      <c r="N619" s="211"/>
    </row>
    <row r="620" spans="5:14" ht="12.75">
      <c r="E620" s="44"/>
      <c r="F620" s="44"/>
      <c r="G620" s="44"/>
      <c r="H620" s="44"/>
      <c r="I620" s="213"/>
      <c r="N620" s="211"/>
    </row>
    <row r="621" spans="5:14" ht="12.75">
      <c r="E621" s="44"/>
      <c r="F621" s="44"/>
      <c r="G621" s="44"/>
      <c r="H621" s="44"/>
      <c r="I621" s="213"/>
      <c r="N621" s="211"/>
    </row>
    <row r="622" spans="5:14" ht="12.75">
      <c r="E622" s="44"/>
      <c r="F622" s="44"/>
      <c r="G622" s="44"/>
      <c r="H622" s="44"/>
      <c r="I622" s="213"/>
      <c r="N622" s="211"/>
    </row>
    <row r="623" spans="5:14" ht="12.75">
      <c r="E623" s="44"/>
      <c r="F623" s="44"/>
      <c r="G623" s="44"/>
      <c r="H623" s="44"/>
      <c r="I623" s="213"/>
      <c r="N623" s="211"/>
    </row>
    <row r="624" spans="5:14" ht="12.75">
      <c r="E624" s="44"/>
      <c r="F624" s="44"/>
      <c r="G624" s="44"/>
      <c r="H624" s="44"/>
      <c r="I624" s="213"/>
      <c r="N624" s="211"/>
    </row>
    <row r="625" spans="5:14" ht="12.75">
      <c r="E625" s="44"/>
      <c r="F625" s="44"/>
      <c r="G625" s="44"/>
      <c r="H625" s="44"/>
      <c r="I625" s="213"/>
      <c r="N625" s="211"/>
    </row>
    <row r="626" spans="5:14" ht="12.75">
      <c r="E626" s="44"/>
      <c r="F626" s="44"/>
      <c r="G626" s="44"/>
      <c r="H626" s="44"/>
      <c r="I626" s="213"/>
      <c r="N626" s="211"/>
    </row>
    <row r="627" spans="5:14" ht="12.75">
      <c r="E627" s="44"/>
      <c r="F627" s="44"/>
      <c r="G627" s="44"/>
      <c r="H627" s="44"/>
      <c r="I627" s="213"/>
      <c r="N627" s="211"/>
    </row>
    <row r="628" spans="5:14" ht="12.75">
      <c r="E628" s="44"/>
      <c r="F628" s="44"/>
      <c r="G628" s="44"/>
      <c r="H628" s="44"/>
      <c r="I628" s="213"/>
      <c r="N628" s="211"/>
    </row>
    <row r="629" spans="5:14" ht="12.75">
      <c r="E629" s="44"/>
      <c r="F629" s="44"/>
      <c r="G629" s="44"/>
      <c r="H629" s="44"/>
      <c r="I629" s="213"/>
      <c r="N629" s="211"/>
    </row>
    <row r="630" spans="5:14" ht="12.75">
      <c r="E630" s="44"/>
      <c r="F630" s="44"/>
      <c r="G630" s="44"/>
      <c r="H630" s="44"/>
      <c r="I630" s="213"/>
      <c r="N630" s="211"/>
    </row>
    <row r="631" spans="5:14" ht="12.75">
      <c r="E631" s="44"/>
      <c r="F631" s="44"/>
      <c r="G631" s="44"/>
      <c r="H631" s="44"/>
      <c r="I631" s="213"/>
      <c r="N631" s="211"/>
    </row>
    <row r="632" spans="5:14" ht="12.75">
      <c r="E632" s="44"/>
      <c r="F632" s="44"/>
      <c r="G632" s="44"/>
      <c r="H632" s="44"/>
      <c r="I632" s="213"/>
      <c r="N632" s="211"/>
    </row>
    <row r="633" spans="5:14" ht="12.75">
      <c r="E633" s="44"/>
      <c r="F633" s="44"/>
      <c r="G633" s="44"/>
      <c r="H633" s="44"/>
      <c r="I633" s="213"/>
      <c r="N633" s="211"/>
    </row>
    <row r="634" spans="5:14" ht="12.75">
      <c r="E634" s="44"/>
      <c r="F634" s="44"/>
      <c r="G634" s="44"/>
      <c r="H634" s="44"/>
      <c r="I634" s="213"/>
      <c r="N634" s="211"/>
    </row>
    <row r="635" spans="5:14" ht="12.75">
      <c r="E635" s="44"/>
      <c r="F635" s="44"/>
      <c r="G635" s="44"/>
      <c r="H635" s="44"/>
      <c r="I635" s="213"/>
      <c r="N635" s="211"/>
    </row>
    <row r="636" spans="5:14" ht="12.75">
      <c r="E636" s="44"/>
      <c r="F636" s="44"/>
      <c r="G636" s="44"/>
      <c r="H636" s="44"/>
      <c r="I636" s="213"/>
      <c r="N636" s="211"/>
    </row>
    <row r="637" spans="5:14" ht="12.75">
      <c r="E637" s="44"/>
      <c r="F637" s="44"/>
      <c r="G637" s="44"/>
      <c r="H637" s="44"/>
      <c r="I637" s="213"/>
      <c r="N637" s="211"/>
    </row>
    <row r="638" spans="5:14" ht="12.75">
      <c r="E638" s="44"/>
      <c r="F638" s="44"/>
      <c r="G638" s="44"/>
      <c r="H638" s="44"/>
      <c r="I638" s="213"/>
      <c r="N638" s="211"/>
    </row>
    <row r="639" spans="5:14" ht="12.75">
      <c r="E639" s="44"/>
      <c r="F639" s="44"/>
      <c r="G639" s="44"/>
      <c r="H639" s="44"/>
      <c r="I639" s="213"/>
      <c r="N639" s="211"/>
    </row>
    <row r="640" spans="5:14" ht="12.75">
      <c r="E640" s="44"/>
      <c r="F640" s="44"/>
      <c r="G640" s="44"/>
      <c r="H640" s="44"/>
      <c r="I640" s="213"/>
      <c r="N640" s="211"/>
    </row>
    <row r="641" spans="5:14" ht="12.75">
      <c r="E641" s="44"/>
      <c r="F641" s="44"/>
      <c r="G641" s="44"/>
      <c r="H641" s="44"/>
      <c r="I641" s="213"/>
      <c r="N641" s="211"/>
    </row>
    <row r="642" spans="5:14" ht="12.75">
      <c r="E642" s="44"/>
      <c r="F642" s="44"/>
      <c r="G642" s="44"/>
      <c r="H642" s="44"/>
      <c r="I642" s="213"/>
      <c r="N642" s="211"/>
    </row>
    <row r="643" spans="5:14" ht="12.75">
      <c r="E643" s="44"/>
      <c r="F643" s="44"/>
      <c r="G643" s="44"/>
      <c r="H643" s="44"/>
      <c r="I643" s="213"/>
      <c r="N643" s="211"/>
    </row>
    <row r="644" spans="5:14" ht="12.75">
      <c r="E644" s="44"/>
      <c r="F644" s="44"/>
      <c r="G644" s="44"/>
      <c r="H644" s="44"/>
      <c r="I644" s="213"/>
      <c r="N644" s="211"/>
    </row>
    <row r="645" spans="5:14" ht="12.75">
      <c r="E645" s="44"/>
      <c r="F645" s="44"/>
      <c r="G645" s="44"/>
      <c r="H645" s="44"/>
      <c r="I645" s="213"/>
      <c r="N645" s="211"/>
    </row>
    <row r="646" spans="5:14" ht="12.75">
      <c r="E646" s="44"/>
      <c r="F646" s="44"/>
      <c r="G646" s="44"/>
      <c r="H646" s="44"/>
      <c r="I646" s="213"/>
      <c r="N646" s="211"/>
    </row>
    <row r="647" spans="5:14" ht="12.75">
      <c r="E647" s="44"/>
      <c r="F647" s="44"/>
      <c r="G647" s="44"/>
      <c r="H647" s="44"/>
      <c r="I647" s="213"/>
      <c r="N647" s="211"/>
    </row>
    <row r="648" spans="5:14" ht="12.75">
      <c r="E648" s="44"/>
      <c r="F648" s="44"/>
      <c r="G648" s="44"/>
      <c r="H648" s="44"/>
      <c r="I648" s="213"/>
      <c r="N648" s="211"/>
    </row>
    <row r="649" spans="5:14" ht="12.75">
      <c r="E649" s="44"/>
      <c r="F649" s="44"/>
      <c r="G649" s="44"/>
      <c r="H649" s="44"/>
      <c r="I649" s="213"/>
      <c r="N649" s="211"/>
    </row>
    <row r="650" spans="5:14" ht="12.75">
      <c r="E650" s="44"/>
      <c r="F650" s="44"/>
      <c r="G650" s="44"/>
      <c r="H650" s="44"/>
      <c r="I650" s="213"/>
      <c r="N650" s="211"/>
    </row>
    <row r="651" spans="5:14" ht="12.75">
      <c r="E651" s="44"/>
      <c r="F651" s="44"/>
      <c r="G651" s="44"/>
      <c r="H651" s="44"/>
      <c r="I651" s="213"/>
      <c r="N651" s="211"/>
    </row>
    <row r="652" spans="5:14" ht="12.75">
      <c r="E652" s="44"/>
      <c r="F652" s="44"/>
      <c r="G652" s="44"/>
      <c r="H652" s="44"/>
      <c r="I652" s="213"/>
      <c r="N652" s="211"/>
    </row>
    <row r="653" spans="5:14" ht="12.75">
      <c r="E653" s="44"/>
      <c r="F653" s="44"/>
      <c r="G653" s="44"/>
      <c r="H653" s="44"/>
      <c r="I653" s="213"/>
      <c r="N653" s="211"/>
    </row>
    <row r="654" spans="5:14" ht="12.75">
      <c r="E654" s="44"/>
      <c r="F654" s="44"/>
      <c r="G654" s="44"/>
      <c r="H654" s="44"/>
      <c r="I654" s="213"/>
      <c r="N654" s="211"/>
    </row>
    <row r="655" spans="5:14" ht="12.75">
      <c r="E655" s="44"/>
      <c r="F655" s="44"/>
      <c r="G655" s="44"/>
      <c r="H655" s="44"/>
      <c r="I655" s="213"/>
      <c r="N655" s="211"/>
    </row>
    <row r="656" spans="5:14" ht="12.75">
      <c r="E656" s="44"/>
      <c r="F656" s="44"/>
      <c r="G656" s="44"/>
      <c r="H656" s="44"/>
      <c r="I656" s="213"/>
      <c r="N656" s="211"/>
    </row>
    <row r="657" spans="5:14" ht="12.75">
      <c r="E657" s="44"/>
      <c r="F657" s="44"/>
      <c r="G657" s="44"/>
      <c r="H657" s="44"/>
      <c r="I657" s="213"/>
      <c r="N657" s="211"/>
    </row>
    <row r="658" spans="5:14" ht="12.75">
      <c r="E658" s="44"/>
      <c r="F658" s="44"/>
      <c r="G658" s="44"/>
      <c r="H658" s="44"/>
      <c r="I658" s="213"/>
      <c r="N658" s="211"/>
    </row>
    <row r="659" spans="5:14" ht="12.75">
      <c r="E659" s="44"/>
      <c r="F659" s="44"/>
      <c r="G659" s="44"/>
      <c r="H659" s="44"/>
      <c r="I659" s="213"/>
      <c r="N659" s="211"/>
    </row>
    <row r="660" spans="5:14" ht="12.75">
      <c r="E660" s="44"/>
      <c r="F660" s="44"/>
      <c r="G660" s="44"/>
      <c r="H660" s="44"/>
      <c r="I660" s="213"/>
      <c r="N660" s="211"/>
    </row>
    <row r="661" spans="5:14" ht="12.75">
      <c r="E661" s="44"/>
      <c r="F661" s="44"/>
      <c r="G661" s="44"/>
      <c r="H661" s="44"/>
      <c r="I661" s="213"/>
      <c r="N661" s="211"/>
    </row>
    <row r="662" spans="5:14" ht="12.75">
      <c r="E662" s="44"/>
      <c r="F662" s="44"/>
      <c r="G662" s="44"/>
      <c r="H662" s="44"/>
      <c r="I662" s="213"/>
      <c r="N662" s="211"/>
    </row>
    <row r="663" spans="5:14" ht="12.75">
      <c r="E663" s="44"/>
      <c r="F663" s="44"/>
      <c r="G663" s="44"/>
      <c r="H663" s="44"/>
      <c r="I663" s="213"/>
      <c r="N663" s="211"/>
    </row>
    <row r="664" spans="5:14" ht="12.75">
      <c r="E664" s="44"/>
      <c r="F664" s="44"/>
      <c r="G664" s="44"/>
      <c r="H664" s="44"/>
      <c r="I664" s="213"/>
      <c r="N664" s="211"/>
    </row>
    <row r="665" spans="5:14" ht="12.75">
      <c r="E665" s="44"/>
      <c r="F665" s="44"/>
      <c r="G665" s="44"/>
      <c r="H665" s="44"/>
      <c r="I665" s="213"/>
      <c r="N665" s="211"/>
    </row>
    <row r="666" spans="5:14" ht="12.75">
      <c r="E666" s="44"/>
      <c r="F666" s="44"/>
      <c r="G666" s="44"/>
      <c r="H666" s="44"/>
      <c r="I666" s="213"/>
      <c r="N666" s="211"/>
    </row>
    <row r="667" spans="5:14" ht="12.75">
      <c r="E667" s="44"/>
      <c r="F667" s="44"/>
      <c r="G667" s="44"/>
      <c r="H667" s="44"/>
      <c r="I667" s="213"/>
      <c r="N667" s="211"/>
    </row>
    <row r="668" spans="5:14" ht="12.75">
      <c r="E668" s="44"/>
      <c r="F668" s="44"/>
      <c r="G668" s="44"/>
      <c r="H668" s="44"/>
      <c r="I668" s="213"/>
      <c r="N668" s="211"/>
    </row>
    <row r="669" spans="5:14" ht="12.75">
      <c r="E669" s="44"/>
      <c r="F669" s="44"/>
      <c r="G669" s="44"/>
      <c r="H669" s="44"/>
      <c r="I669" s="213"/>
      <c r="N669" s="211"/>
    </row>
    <row r="670" spans="5:14" ht="12.75">
      <c r="E670" s="44"/>
      <c r="F670" s="44"/>
      <c r="G670" s="44"/>
      <c r="H670" s="44"/>
      <c r="I670" s="213"/>
      <c r="N670" s="211"/>
    </row>
    <row r="671" spans="5:14" ht="12.75">
      <c r="E671" s="44"/>
      <c r="F671" s="44"/>
      <c r="G671" s="44"/>
      <c r="H671" s="44"/>
      <c r="I671" s="213"/>
      <c r="N671" s="211"/>
    </row>
    <row r="672" spans="5:14" ht="12.75">
      <c r="E672" s="44"/>
      <c r="F672" s="44"/>
      <c r="G672" s="44"/>
      <c r="H672" s="44"/>
      <c r="I672" s="213"/>
      <c r="N672" s="211"/>
    </row>
    <row r="673" spans="5:14" ht="12.75">
      <c r="E673" s="44"/>
      <c r="F673" s="44"/>
      <c r="G673" s="44"/>
      <c r="H673" s="44"/>
      <c r="I673" s="213"/>
      <c r="N673" s="211"/>
    </row>
    <row r="674" spans="5:14" ht="12.75">
      <c r="E674" s="44"/>
      <c r="F674" s="44"/>
      <c r="G674" s="44"/>
      <c r="H674" s="44"/>
      <c r="I674" s="213"/>
      <c r="N674" s="211"/>
    </row>
    <row r="675" spans="5:14" ht="12.75">
      <c r="E675" s="44"/>
      <c r="F675" s="44"/>
      <c r="G675" s="44"/>
      <c r="H675" s="44"/>
      <c r="I675" s="213"/>
      <c r="N675" s="211"/>
    </row>
    <row r="676" spans="5:14" ht="12.75">
      <c r="E676" s="44"/>
      <c r="F676" s="44"/>
      <c r="G676" s="44"/>
      <c r="H676" s="44"/>
      <c r="I676" s="213"/>
      <c r="N676" s="211"/>
    </row>
    <row r="677" spans="5:14" ht="12.75">
      <c r="E677" s="44"/>
      <c r="F677" s="44"/>
      <c r="G677" s="44"/>
      <c r="H677" s="44"/>
      <c r="I677" s="213"/>
      <c r="N677" s="211"/>
    </row>
    <row r="678" spans="5:14" ht="12.75">
      <c r="E678" s="44"/>
      <c r="F678" s="44"/>
      <c r="G678" s="44"/>
      <c r="H678" s="44"/>
      <c r="I678" s="213"/>
      <c r="N678" s="211"/>
    </row>
    <row r="679" spans="5:14" ht="12.75">
      <c r="E679" s="44"/>
      <c r="F679" s="44"/>
      <c r="G679" s="44"/>
      <c r="H679" s="44"/>
      <c r="I679" s="213"/>
      <c r="N679" s="211"/>
    </row>
    <row r="680" spans="5:14" ht="12.75">
      <c r="E680" s="44"/>
      <c r="F680" s="44"/>
      <c r="G680" s="44"/>
      <c r="H680" s="44"/>
      <c r="I680" s="213"/>
      <c r="N680" s="211"/>
    </row>
    <row r="681" spans="5:14" ht="12.75">
      <c r="E681" s="44"/>
      <c r="F681" s="44"/>
      <c r="G681" s="44"/>
      <c r="H681" s="44"/>
      <c r="I681" s="213"/>
      <c r="N681" s="211"/>
    </row>
    <row r="682" spans="5:14" ht="12.75">
      <c r="E682" s="44"/>
      <c r="F682" s="44"/>
      <c r="G682" s="44"/>
      <c r="H682" s="44"/>
      <c r="I682" s="213"/>
      <c r="N682" s="211"/>
    </row>
    <row r="683" spans="5:14" ht="12.75">
      <c r="E683" s="44"/>
      <c r="F683" s="44"/>
      <c r="G683" s="44"/>
      <c r="H683" s="44"/>
      <c r="I683" s="213"/>
      <c r="N683" s="211"/>
    </row>
    <row r="684" spans="5:14" ht="12.75">
      <c r="E684" s="44"/>
      <c r="F684" s="44"/>
      <c r="G684" s="44"/>
      <c r="H684" s="44"/>
      <c r="I684" s="213"/>
      <c r="N684" s="211"/>
    </row>
    <row r="685" spans="5:14" ht="12.75">
      <c r="E685" s="44"/>
      <c r="F685" s="44"/>
      <c r="G685" s="44"/>
      <c r="H685" s="44"/>
      <c r="I685" s="213"/>
      <c r="N685" s="211"/>
    </row>
    <row r="686" spans="5:14" ht="12.75">
      <c r="E686" s="44"/>
      <c r="F686" s="44"/>
      <c r="G686" s="44"/>
      <c r="H686" s="44"/>
      <c r="I686" s="213"/>
      <c r="N686" s="211"/>
    </row>
    <row r="687" spans="5:14" ht="12.75">
      <c r="E687" s="44"/>
      <c r="F687" s="44"/>
      <c r="G687" s="44"/>
      <c r="H687" s="44"/>
      <c r="I687" s="213"/>
      <c r="N687" s="211"/>
    </row>
    <row r="688" spans="5:14" ht="12.75">
      <c r="E688" s="44"/>
      <c r="F688" s="44"/>
      <c r="G688" s="44"/>
      <c r="H688" s="44"/>
      <c r="I688" s="213"/>
      <c r="N688" s="211"/>
    </row>
    <row r="689" spans="5:14" ht="12.75">
      <c r="E689" s="44"/>
      <c r="F689" s="44"/>
      <c r="G689" s="44"/>
      <c r="H689" s="44"/>
      <c r="I689" s="213"/>
      <c r="N689" s="211"/>
    </row>
  </sheetData>
  <sheetProtection password="F155" sheet="1" objects="1" scenarios="1" formatCells="0" formatColumns="0" formatRows="0" pivotTables="0"/>
  <mergeCells count="13">
    <mergeCell ref="A5:C5"/>
    <mergeCell ref="B6:C6"/>
    <mergeCell ref="B7:C7"/>
    <mergeCell ref="B8:C8"/>
    <mergeCell ref="E20:G20"/>
    <mergeCell ref="E21:G21"/>
    <mergeCell ref="B41:B42"/>
    <mergeCell ref="B9:C9"/>
    <mergeCell ref="B28:C28"/>
    <mergeCell ref="B20:C20"/>
    <mergeCell ref="B21:C21"/>
    <mergeCell ref="A14:C14"/>
    <mergeCell ref="B31:C31"/>
  </mergeCells>
  <conditionalFormatting sqref="G24:G27">
    <cfRule type="expression" priority="1" dxfId="0" stopIfTrue="1">
      <formula>(D24)&gt;2</formula>
    </cfRule>
  </conditionalFormatting>
  <conditionalFormatting sqref="B45">
    <cfRule type="cellIs" priority="2" dxfId="1" operator="equal" stopIfTrue="1">
      <formula>"granular"</formula>
    </cfRule>
    <cfRule type="cellIs" priority="3" dxfId="1" operator="equal" stopIfTrue="1">
      <formula>"liquid"</formula>
    </cfRule>
  </conditionalFormatting>
  <conditionalFormatting sqref="B46:B47">
    <cfRule type="cellIs" priority="4" dxfId="1" operator="greaterThan" stopIfTrue="1">
      <formula>0</formula>
    </cfRule>
  </conditionalFormatting>
  <conditionalFormatting sqref="B41">
    <cfRule type="cellIs" priority="5" dxfId="2" operator="equal" stopIfTrue="1">
      <formula>"Enter values in cells below"</formula>
    </cfRule>
  </conditionalFormatting>
  <conditionalFormatting sqref="A42:A44">
    <cfRule type="cellIs" priority="6" dxfId="2" operator="equal" stopIfTrue="1">
      <formula>"Is this application:"</formula>
    </cfRule>
  </conditionalFormatting>
  <conditionalFormatting sqref="A47">
    <cfRule type="cellIs" priority="7" dxfId="3" operator="equal" stopIfTrue="1">
      <formula>"oz. product/1000 ft row:"</formula>
    </cfRule>
  </conditionalFormatting>
  <conditionalFormatting sqref="A45">
    <cfRule type="cellIs" priority="8" dxfId="3" operator="equal" stopIfTrue="1">
      <formula>"BROADCAST or applied in ROWS?"</formula>
    </cfRule>
  </conditionalFormatting>
  <conditionalFormatting sqref="A46">
    <cfRule type="cellIs" priority="9" dxfId="3" operator="equal" stopIfTrue="1">
      <formula>"GRANULAR or LIQUID?"</formula>
    </cfRule>
  </conditionalFormatting>
  <conditionalFormatting sqref="B37">
    <cfRule type="expression" priority="10" dxfId="4" stopIfTrue="1">
      <formula>$C$36="no"</formula>
    </cfRule>
  </conditionalFormatting>
  <conditionalFormatting sqref="C37">
    <cfRule type="expression" priority="11" dxfId="5" stopIfTrue="1">
      <formula>$C$36="yes"</formula>
    </cfRule>
    <cfRule type="expression" priority="12" dxfId="6" stopIfTrue="1">
      <formula>$C$36="no"</formula>
    </cfRule>
  </conditionalFormatting>
  <conditionalFormatting sqref="B38">
    <cfRule type="expression" priority="13" dxfId="7" stopIfTrue="1">
      <formula>$C$36="yes"</formula>
    </cfRule>
  </conditionalFormatting>
  <conditionalFormatting sqref="C38:D38">
    <cfRule type="expression" priority="14" dxfId="8" stopIfTrue="1">
      <formula>$C$36="yes"</formula>
    </cfRule>
  </conditionalFormatting>
  <conditionalFormatting sqref="D43">
    <cfRule type="expression" priority="15" dxfId="8" stopIfTrue="1">
      <formula>$C$43="Do not use this input"</formula>
    </cfRule>
  </conditionalFormatting>
  <conditionalFormatting sqref="D45">
    <cfRule type="expression" priority="16" dxfId="8" stopIfTrue="1">
      <formula>$C$45="Do not use this input"</formula>
    </cfRule>
    <cfRule type="expression" priority="17" dxfId="9" stopIfTrue="1">
      <formula>$C$45="fl oz per acre"</formula>
    </cfRule>
  </conditionalFormatting>
  <conditionalFormatting sqref="D44">
    <cfRule type="expression" priority="18" dxfId="8" stopIfTrue="1">
      <formula>$C$44="Do not use this input"</formula>
    </cfRule>
    <cfRule type="expression" priority="19" dxfId="9" stopIfTrue="1">
      <formula>$D$43="yes"</formula>
    </cfRule>
  </conditionalFormatting>
  <conditionalFormatting sqref="D46">
    <cfRule type="expression" priority="20" dxfId="8" stopIfTrue="1">
      <formula>$C$46="Do not use this input"</formula>
    </cfRule>
    <cfRule type="expression" priority="21" dxfId="9" stopIfTrue="1">
      <formula>$C$46="Row spacing (in):"</formula>
    </cfRule>
  </conditionalFormatting>
  <conditionalFormatting sqref="D47">
    <cfRule type="expression" priority="22" dxfId="8" stopIfTrue="1">
      <formula>$C$47="Do not use this input"</formula>
    </cfRule>
    <cfRule type="expression" priority="23" dxfId="9" stopIfTrue="1">
      <formula>$C$47="Bandwidth (in):"</formula>
    </cfRule>
  </conditionalFormatting>
  <dataValidations count="1">
    <dataValidation type="list" allowBlank="1" showInputMessage="1" showErrorMessage="1" sqref="C36 D43">
      <formula1>$I$36:$J$36</formula1>
    </dataValidation>
  </dataValidations>
  <printOptions/>
  <pageMargins left="0.61" right="0.36" top="0.75" bottom="1" header="0.5" footer="0.5"/>
  <pageSetup horizontalDpi="300" verticalDpi="300" orientation="portrait" scale="48" r:id="rId3"/>
  <headerFooter alignWithMargins="0">
    <oddHeader>&amp;C&amp;A</oddHeader>
    <oddFooter>&amp;C&amp;F</oddFooter>
  </headerFooter>
  <legacyDrawing r:id="rId2"/>
</worksheet>
</file>

<file path=xl/worksheets/sheet4.xml><?xml version="1.0" encoding="utf-8"?>
<worksheet xmlns="http://schemas.openxmlformats.org/spreadsheetml/2006/main" xmlns:r="http://schemas.openxmlformats.org/officeDocument/2006/relationships">
  <sheetPr codeName="Sheet4">
    <tabColor indexed="13"/>
  </sheetPr>
  <dimension ref="A1:AD392"/>
  <sheetViews>
    <sheetView showGridLines="0" view="pageBreakPreview" zoomScale="75" zoomScaleNormal="70" zoomScaleSheetLayoutView="75" workbookViewId="0" topLeftCell="A1">
      <selection activeCell="C28" sqref="C28"/>
    </sheetView>
  </sheetViews>
  <sheetFormatPr defaultColWidth="9.140625" defaultRowHeight="12.75"/>
  <cols>
    <col min="1" max="1" width="38.57421875" style="1" customWidth="1"/>
    <col min="2" max="2" width="19.57421875" style="1" customWidth="1"/>
    <col min="3" max="3" width="19.28125" style="1" customWidth="1"/>
    <col min="4" max="4" width="15.28125" style="3" customWidth="1"/>
    <col min="5" max="5" width="16.57421875" style="1" customWidth="1"/>
    <col min="6" max="6" width="14.7109375" style="1" customWidth="1"/>
    <col min="7" max="7" width="14.57421875" style="1" customWidth="1"/>
    <col min="8" max="8" width="26.8515625" style="1" customWidth="1"/>
    <col min="9" max="9" width="14.57421875" style="1" customWidth="1"/>
    <col min="10" max="10" width="14.421875" style="1" customWidth="1"/>
    <col min="11" max="11" width="19.421875" style="0" customWidth="1"/>
    <col min="12" max="13" width="14.421875" style="1" customWidth="1"/>
    <col min="14" max="14" width="8.421875" style="1" customWidth="1"/>
    <col min="15" max="15" width="8.28125" style="1" customWidth="1"/>
    <col min="16" max="16" width="24.7109375" style="1" customWidth="1"/>
    <col min="17" max="17" width="10.28125" style="1" customWidth="1"/>
    <col min="18" max="18" width="14.421875" style="1" customWidth="1"/>
    <col min="19" max="20" width="8.421875" style="1" customWidth="1"/>
    <col min="21" max="21" width="24.421875" style="1" bestFit="1" customWidth="1"/>
    <col min="22" max="22" width="0.5625" style="1" customWidth="1"/>
    <col min="23" max="23" width="32.8515625" style="1" bestFit="1" customWidth="1"/>
    <col min="24" max="24" width="0.71875" style="1" customWidth="1"/>
    <col min="25" max="25" width="26.8515625" style="1" customWidth="1"/>
    <col min="26" max="26" width="31.7109375" style="1" bestFit="1" customWidth="1"/>
    <col min="27" max="31" width="8.421875" style="1" customWidth="1"/>
    <col min="32" max="32" width="11.57421875" style="1" customWidth="1"/>
    <col min="33" max="16384" width="8.421875" style="1" customWidth="1"/>
  </cols>
  <sheetData>
    <row r="1" spans="1:30" ht="15">
      <c r="A1" s="830" t="s">
        <v>185</v>
      </c>
      <c r="B1" s="831"/>
      <c r="C1" s="831"/>
      <c r="E1" s="199" t="s">
        <v>78</v>
      </c>
      <c r="F1" s="43"/>
      <c r="G1" s="43"/>
      <c r="H1" s="43"/>
      <c r="K1" s="43"/>
      <c r="L1" s="43"/>
      <c r="M1" s="43"/>
      <c r="N1" s="43"/>
      <c r="O1" s="43"/>
      <c r="P1" s="43"/>
      <c r="Q1" s="43"/>
      <c r="R1" s="43"/>
      <c r="S1" s="43"/>
      <c r="T1" s="43"/>
      <c r="U1" s="43"/>
      <c r="V1" s="43"/>
      <c r="W1" s="43"/>
      <c r="X1" s="43"/>
      <c r="Y1" s="43"/>
      <c r="Z1" s="43"/>
      <c r="AA1" s="43"/>
      <c r="AB1" s="43"/>
      <c r="AC1" s="43"/>
      <c r="AD1" s="43"/>
    </row>
    <row r="2" spans="1:30" ht="15" customHeight="1" thickBot="1">
      <c r="A2" s="832"/>
      <c r="B2" s="832"/>
      <c r="C2" s="832"/>
      <c r="E2" s="199" t="s">
        <v>79</v>
      </c>
      <c r="F2" s="43"/>
      <c r="G2" s="43"/>
      <c r="H2" s="43"/>
      <c r="K2" s="43"/>
      <c r="L2" s="43"/>
      <c r="M2" s="43"/>
      <c r="N2" s="43"/>
      <c r="O2" s="43"/>
      <c r="P2" s="43"/>
      <c r="Q2" s="43"/>
      <c r="R2" s="43"/>
      <c r="S2" s="43"/>
      <c r="T2" s="43"/>
      <c r="U2" s="43"/>
      <c r="V2" s="43"/>
      <c r="W2" s="43"/>
      <c r="X2" s="43"/>
      <c r="Y2" s="43"/>
      <c r="Z2" s="43"/>
      <c r="AA2" s="43"/>
      <c r="AB2" s="43"/>
      <c r="AC2" s="43"/>
      <c r="AD2" s="43"/>
    </row>
    <row r="3" spans="1:30" ht="20.25" customHeight="1">
      <c r="A3" s="367" t="s">
        <v>0</v>
      </c>
      <c r="B3" s="844">
        <f>INPUTS!B6</f>
        <v>0</v>
      </c>
      <c r="C3" s="845"/>
      <c r="D3" s="182"/>
      <c r="E3" s="199" t="s">
        <v>80</v>
      </c>
      <c r="F3" s="43"/>
      <c r="G3" s="43"/>
      <c r="H3" s="43"/>
      <c r="K3" s="43"/>
      <c r="L3" s="43"/>
      <c r="M3" s="43"/>
      <c r="N3" s="43"/>
      <c r="O3" s="43"/>
      <c r="P3" s="43"/>
      <c r="Q3" s="43"/>
      <c r="R3" s="43"/>
      <c r="S3" s="43"/>
      <c r="T3" s="43"/>
      <c r="U3" s="43"/>
      <c r="V3" s="43"/>
      <c r="W3" s="43"/>
      <c r="X3" s="43"/>
      <c r="Y3" s="43"/>
      <c r="Z3" s="43"/>
      <c r="AA3" s="43"/>
      <c r="AB3" s="43"/>
      <c r="AC3" s="43"/>
      <c r="AD3" s="43"/>
    </row>
    <row r="4" spans="1:30" ht="15" customHeight="1">
      <c r="A4" s="316" t="s">
        <v>1</v>
      </c>
      <c r="B4" s="846">
        <f>INPUTS!B7</f>
        <v>0</v>
      </c>
      <c r="C4" s="847"/>
      <c r="D4" s="182"/>
      <c r="E4" s="199" t="s">
        <v>81</v>
      </c>
      <c r="F4" s="43"/>
      <c r="G4" s="43"/>
      <c r="H4" s="43"/>
      <c r="K4" s="43"/>
      <c r="L4" s="43"/>
      <c r="M4" s="43"/>
      <c r="N4" s="43"/>
      <c r="O4" s="43"/>
      <c r="P4" s="43"/>
      <c r="Q4" s="43"/>
      <c r="R4" s="43"/>
      <c r="S4" s="43"/>
      <c r="T4" s="43"/>
      <c r="U4" s="43"/>
      <c r="V4" s="43"/>
      <c r="W4" s="43"/>
      <c r="X4" s="43"/>
      <c r="Y4" s="43"/>
      <c r="Z4" s="43"/>
      <c r="AA4" s="43"/>
      <c r="AB4" s="43"/>
      <c r="AC4" s="43"/>
      <c r="AD4" s="43"/>
    </row>
    <row r="5" spans="1:30" ht="15" customHeight="1">
      <c r="A5" s="314" t="s">
        <v>2</v>
      </c>
      <c r="B5" s="846">
        <f>INPUTS!B8</f>
        <v>0</v>
      </c>
      <c r="C5" s="847"/>
      <c r="D5" s="182"/>
      <c r="E5" s="43"/>
      <c r="F5" s="43"/>
      <c r="G5" s="43"/>
      <c r="H5" s="43"/>
      <c r="K5" s="43"/>
      <c r="L5" s="43"/>
      <c r="M5" s="43"/>
      <c r="N5" s="43"/>
      <c r="O5" s="43"/>
      <c r="P5" s="43" t="s">
        <v>3</v>
      </c>
      <c r="Q5" s="43"/>
      <c r="R5" s="43"/>
      <c r="S5" s="43"/>
      <c r="T5" s="43"/>
      <c r="U5" s="43"/>
      <c r="V5" s="43"/>
      <c r="W5" s="43"/>
      <c r="X5" s="43"/>
      <c r="Y5" s="43"/>
      <c r="Z5" s="43"/>
      <c r="AA5" s="43"/>
      <c r="AB5" s="43"/>
      <c r="AC5" s="43"/>
      <c r="AD5" s="43"/>
    </row>
    <row r="6" spans="1:30" ht="15" customHeight="1">
      <c r="A6" s="314" t="s">
        <v>4</v>
      </c>
      <c r="B6" s="368">
        <f>INPUTS!B10*INPUTS!B9</f>
        <v>0</v>
      </c>
      <c r="C6" s="369" t="s">
        <v>5</v>
      </c>
      <c r="D6" s="182"/>
      <c r="E6" s="291" t="s">
        <v>279</v>
      </c>
      <c r="F6" s="43"/>
      <c r="G6" s="43"/>
      <c r="H6" s="43"/>
      <c r="K6" s="43"/>
      <c r="L6" s="43"/>
      <c r="M6" s="43"/>
      <c r="N6" s="43"/>
      <c r="O6" s="43"/>
      <c r="P6" s="43"/>
      <c r="Q6" s="43"/>
      <c r="R6" s="43"/>
      <c r="S6" s="43"/>
      <c r="T6" s="43"/>
      <c r="U6" s="43"/>
      <c r="V6" s="43"/>
      <c r="W6" s="43"/>
      <c r="X6" s="43"/>
      <c r="Y6" s="43"/>
      <c r="Z6" s="43"/>
      <c r="AA6" s="43"/>
      <c r="AB6" s="43"/>
      <c r="AC6" s="43"/>
      <c r="AD6" s="43"/>
    </row>
    <row r="7" spans="1:30" ht="15" customHeight="1">
      <c r="A7" s="314" t="s">
        <v>8</v>
      </c>
      <c r="B7" s="368">
        <f>INPUTS!B11</f>
        <v>0</v>
      </c>
      <c r="C7" s="369" t="s">
        <v>9</v>
      </c>
      <c r="D7" s="182"/>
      <c r="E7" s="291" t="s">
        <v>280</v>
      </c>
      <c r="F7" s="43"/>
      <c r="G7" s="43"/>
      <c r="H7" s="43"/>
      <c r="K7" s="43"/>
      <c r="L7" s="43"/>
      <c r="M7" s="43"/>
      <c r="N7" s="43"/>
      <c r="O7" s="43"/>
      <c r="P7" s="43"/>
      <c r="Q7" s="43"/>
      <c r="R7" s="43"/>
      <c r="S7" s="43"/>
      <c r="T7" s="43"/>
      <c r="U7" s="43"/>
      <c r="V7" s="43"/>
      <c r="W7" s="43"/>
      <c r="X7" s="43"/>
      <c r="Y7" s="43"/>
      <c r="Z7" s="43"/>
      <c r="AA7" s="43"/>
      <c r="AB7" s="43"/>
      <c r="AC7" s="43"/>
      <c r="AD7" s="43"/>
    </row>
    <row r="8" spans="1:30" ht="15" customHeight="1">
      <c r="A8" s="318" t="s">
        <v>59</v>
      </c>
      <c r="B8" s="368">
        <f>INPUTS!B12</f>
        <v>0</v>
      </c>
      <c r="C8" s="369" t="s">
        <v>10</v>
      </c>
      <c r="D8" s="182"/>
      <c r="E8" s="291" t="s">
        <v>281</v>
      </c>
      <c r="F8" s="43"/>
      <c r="G8" s="43"/>
      <c r="H8" s="43"/>
      <c r="K8" s="43"/>
      <c r="L8" s="43"/>
      <c r="M8" s="43"/>
      <c r="N8" s="43"/>
      <c r="O8" s="43"/>
      <c r="P8" s="227" t="s">
        <v>336</v>
      </c>
      <c r="Q8" s="228" t="s">
        <v>7</v>
      </c>
      <c r="R8" s="43"/>
      <c r="S8" s="43"/>
      <c r="T8" s="43"/>
      <c r="U8" s="43"/>
      <c r="V8" s="43"/>
      <c r="W8" s="43"/>
      <c r="X8" s="43"/>
      <c r="Y8" s="43"/>
      <c r="Z8" s="43"/>
      <c r="AA8" s="43"/>
      <c r="AB8" s="43"/>
      <c r="AC8" s="43"/>
      <c r="AD8" s="43"/>
    </row>
    <row r="9" spans="1:30" ht="15" customHeight="1">
      <c r="A9" s="314" t="s">
        <v>11</v>
      </c>
      <c r="B9" s="370">
        <f>INPUTS!B13</f>
        <v>0</v>
      </c>
      <c r="C9" s="371"/>
      <c r="D9" s="182"/>
      <c r="F9" s="43"/>
      <c r="G9" s="43"/>
      <c r="H9" s="43"/>
      <c r="K9" s="43"/>
      <c r="L9" s="43"/>
      <c r="M9" s="43"/>
      <c r="N9" s="43"/>
      <c r="O9" s="43"/>
      <c r="P9" s="43"/>
      <c r="Q9" s="43"/>
      <c r="R9" s="43"/>
      <c r="S9" s="43"/>
      <c r="T9" s="43"/>
      <c r="U9" s="43"/>
      <c r="V9" s="43"/>
      <c r="W9" s="43"/>
      <c r="X9" s="43"/>
      <c r="Y9" s="43"/>
      <c r="Z9" s="43"/>
      <c r="AA9" s="43"/>
      <c r="AB9" s="43"/>
      <c r="AC9" s="43"/>
      <c r="AD9" s="43"/>
    </row>
    <row r="10" spans="1:30" ht="15" customHeight="1" thickBot="1">
      <c r="A10" s="314" t="s">
        <v>35</v>
      </c>
      <c r="B10" s="372">
        <v>1</v>
      </c>
      <c r="C10" s="373" t="s">
        <v>64</v>
      </c>
      <c r="D10" s="182"/>
      <c r="F10" s="43"/>
      <c r="G10" s="43"/>
      <c r="H10" s="43"/>
      <c r="K10" s="43"/>
      <c r="L10" s="43"/>
      <c r="M10" s="43"/>
      <c r="N10" s="43"/>
      <c r="O10" s="43"/>
      <c r="P10" s="43"/>
      <c r="Q10" s="43"/>
      <c r="R10" s="43"/>
      <c r="S10" s="43"/>
      <c r="T10" s="43"/>
      <c r="U10" s="43"/>
      <c r="V10" s="43"/>
      <c r="W10" s="43"/>
      <c r="X10" s="43"/>
      <c r="Y10" s="43"/>
      <c r="Z10" s="43"/>
      <c r="AA10" s="43"/>
      <c r="AB10" s="43"/>
      <c r="AC10" s="43"/>
      <c r="AD10" s="43"/>
    </row>
    <row r="11" spans="1:30" ht="15" customHeight="1">
      <c r="A11" s="231"/>
      <c r="B11" s="232"/>
      <c r="C11" s="233"/>
      <c r="D11" s="182"/>
      <c r="F11" s="43"/>
      <c r="G11" s="43"/>
      <c r="H11" s="43"/>
      <c r="K11" s="43"/>
      <c r="L11" s="43"/>
      <c r="M11" s="43"/>
      <c r="N11" s="43"/>
      <c r="O11" s="43"/>
      <c r="P11" s="43" t="s">
        <v>12</v>
      </c>
      <c r="Q11" s="43">
        <f>(B6*240)</f>
        <v>0</v>
      </c>
      <c r="R11" s="43"/>
      <c r="S11" s="43"/>
      <c r="T11" s="43"/>
      <c r="U11" s="43"/>
      <c r="V11" s="43"/>
      <c r="W11" s="43"/>
      <c r="X11" s="43"/>
      <c r="Y11" s="43"/>
      <c r="Z11" s="43"/>
      <c r="AA11" s="43"/>
      <c r="AB11" s="43"/>
      <c r="AC11" s="43"/>
      <c r="AD11" s="43"/>
    </row>
    <row r="12" spans="1:30" ht="15" customHeight="1" thickBot="1">
      <c r="A12" s="234"/>
      <c r="B12" s="848"/>
      <c r="C12" s="848"/>
      <c r="D12" s="182"/>
      <c r="E12" s="43"/>
      <c r="F12" s="43"/>
      <c r="G12" s="43"/>
      <c r="H12" s="43"/>
      <c r="K12" s="43"/>
      <c r="L12" s="43"/>
      <c r="M12" s="43"/>
      <c r="N12" s="43"/>
      <c r="O12" s="43"/>
      <c r="P12" s="43" t="s">
        <v>13</v>
      </c>
      <c r="Q12" s="43">
        <f>(B6*110)</f>
        <v>0</v>
      </c>
      <c r="R12" s="43"/>
      <c r="S12" s="43"/>
      <c r="T12" s="43"/>
      <c r="U12" s="43"/>
      <c r="V12" s="43"/>
      <c r="W12" s="43"/>
      <c r="X12" s="43"/>
      <c r="Y12" s="43"/>
      <c r="Z12" s="43"/>
      <c r="AA12" s="43"/>
      <c r="AB12" s="43"/>
      <c r="AC12" s="43"/>
      <c r="AD12" s="43"/>
    </row>
    <row r="13" spans="1:30" ht="15" customHeight="1">
      <c r="A13" s="858" t="s">
        <v>63</v>
      </c>
      <c r="B13" s="859"/>
      <c r="C13" s="859"/>
      <c r="D13" s="860"/>
      <c r="E13" s="43"/>
      <c r="F13" s="43"/>
      <c r="G13" s="43"/>
      <c r="H13" s="43"/>
      <c r="K13" s="43"/>
      <c r="L13" s="43"/>
      <c r="M13" s="43"/>
      <c r="N13" s="43"/>
      <c r="O13" s="43"/>
      <c r="P13" s="43" t="s">
        <v>14</v>
      </c>
      <c r="Q13" s="43">
        <f>(B6*135)</f>
        <v>0</v>
      </c>
      <c r="R13" s="43"/>
      <c r="S13" s="43"/>
      <c r="T13" s="43"/>
      <c r="U13" s="43"/>
      <c r="V13" s="43"/>
      <c r="W13" s="43"/>
      <c r="X13" s="43"/>
      <c r="Y13" s="43"/>
      <c r="Z13" s="43"/>
      <c r="AA13" s="43"/>
      <c r="AB13" s="43"/>
      <c r="AC13" s="43"/>
      <c r="AD13" s="43"/>
    </row>
    <row r="14" spans="1:30" ht="13.5" thickBot="1">
      <c r="A14" s="861"/>
      <c r="B14" s="862"/>
      <c r="C14" s="862"/>
      <c r="D14" s="863"/>
      <c r="E14" s="43"/>
      <c r="F14" s="43"/>
      <c r="G14" s="43"/>
      <c r="H14" s="43"/>
      <c r="K14" s="43"/>
      <c r="L14" s="43"/>
      <c r="M14" s="43"/>
      <c r="N14" s="43"/>
      <c r="O14" s="43"/>
      <c r="P14" s="43" t="s">
        <v>15</v>
      </c>
      <c r="Q14" s="43">
        <f>(B6*15)</f>
        <v>0</v>
      </c>
      <c r="R14" s="43"/>
      <c r="S14" s="43"/>
      <c r="T14" s="43"/>
      <c r="U14" s="43"/>
      <c r="V14" s="43"/>
      <c r="W14" s="43"/>
      <c r="X14" s="43"/>
      <c r="Y14" s="43"/>
      <c r="Z14" s="43"/>
      <c r="AA14" s="43"/>
      <c r="AB14" s="43"/>
      <c r="AC14" s="43"/>
      <c r="AD14" s="43"/>
    </row>
    <row r="15" spans="1:30" ht="15" customHeight="1">
      <c r="A15" s="865" t="s">
        <v>19</v>
      </c>
      <c r="B15" s="374" t="str">
        <f>IF(INPUTS!D24=3,INPUTS!G24,IF(INPUTS!D24=1,"Bobwhite quail ","Mallard duck "))</f>
        <v>Mallard duck </v>
      </c>
      <c r="C15" s="375" t="s">
        <v>191</v>
      </c>
      <c r="D15" s="376">
        <f>INPUTS!C24</f>
        <v>0</v>
      </c>
      <c r="E15" s="1">
        <f>IF(INPUTS!$F$24=0,"",IF(INPUTS!$D$24&lt;3,"Toxicity adjustments not based on standard assumed test animal body weight",""))</f>
      </c>
      <c r="G15" s="43"/>
      <c r="H15" s="43"/>
      <c r="K15" s="43"/>
      <c r="L15" s="43"/>
      <c r="M15" s="43"/>
      <c r="N15" s="43"/>
      <c r="O15" s="43"/>
      <c r="P15" s="43"/>
      <c r="Q15" s="43"/>
      <c r="R15" s="43"/>
      <c r="S15" s="43"/>
      <c r="T15" s="43"/>
      <c r="U15" s="829" t="s">
        <v>459</v>
      </c>
      <c r="V15" s="829"/>
      <c r="W15" s="829"/>
      <c r="X15" s="829"/>
      <c r="Y15" s="829"/>
      <c r="Z15" s="829"/>
      <c r="AA15" s="43"/>
      <c r="AB15" s="43"/>
      <c r="AC15" s="43"/>
      <c r="AD15" s="43"/>
    </row>
    <row r="16" spans="1:30" ht="32.25" customHeight="1">
      <c r="A16" s="866"/>
      <c r="B16" s="377" t="str">
        <f>IF(INPUTS!D25=3,INPUTS!G25,IF(INPUTS!D25=1,"Bobwhite quail ","Mallard duck)"))</f>
        <v>Bobwhite quail </v>
      </c>
      <c r="C16" s="378" t="s">
        <v>190</v>
      </c>
      <c r="D16" s="379">
        <f>INPUTS!C25</f>
        <v>0</v>
      </c>
      <c r="G16" s="43"/>
      <c r="H16" s="43"/>
      <c r="K16" s="43"/>
      <c r="L16" s="43"/>
      <c r="M16" s="43"/>
      <c r="N16" s="43"/>
      <c r="O16" s="43"/>
      <c r="P16" s="43" t="s">
        <v>17</v>
      </c>
      <c r="Q16" s="112" t="e">
        <f>(LN(2)/B7)</f>
        <v>#DIV/0!</v>
      </c>
      <c r="R16" s="43"/>
      <c r="S16" s="43"/>
      <c r="T16" s="43"/>
      <c r="U16" s="524" t="s">
        <v>455</v>
      </c>
      <c r="V16" s="524"/>
      <c r="W16" s="524" t="s">
        <v>457</v>
      </c>
      <c r="X16" s="524"/>
      <c r="Y16" s="524" t="s">
        <v>458</v>
      </c>
      <c r="Z16" s="524" t="s">
        <v>462</v>
      </c>
      <c r="AA16" s="43"/>
      <c r="AB16" s="43"/>
      <c r="AC16" s="43"/>
      <c r="AD16" s="43"/>
    </row>
    <row r="17" spans="1:30" ht="15" customHeight="1">
      <c r="A17" s="866"/>
      <c r="B17" s="377" t="str">
        <f>IF(INPUTS!D26=3,INPUTS!G26,IF(INPUTS!D26=1,"Bobwhite quail ","Mallard duck "))</f>
        <v>Mallard duck </v>
      </c>
      <c r="C17" s="378" t="s">
        <v>302</v>
      </c>
      <c r="D17" s="380">
        <f>INPUTS!C26</f>
        <v>0</v>
      </c>
      <c r="G17" s="43"/>
      <c r="H17" s="43"/>
      <c r="K17" s="43"/>
      <c r="L17" s="43"/>
      <c r="M17" s="43"/>
      <c r="N17" s="43"/>
      <c r="O17" s="43"/>
      <c r="P17" s="43"/>
      <c r="Q17" s="43"/>
      <c r="R17" s="43"/>
      <c r="S17" s="43"/>
      <c r="T17" s="43"/>
      <c r="U17" s="229" t="s">
        <v>19</v>
      </c>
      <c r="V17" s="229"/>
      <c r="W17" s="229" t="s">
        <v>19</v>
      </c>
      <c r="X17" s="229"/>
      <c r="Y17" s="229" t="s">
        <v>20</v>
      </c>
      <c r="Z17" s="229" t="s">
        <v>20</v>
      </c>
      <c r="AA17" s="229"/>
      <c r="AB17" s="43"/>
      <c r="AC17" s="43"/>
      <c r="AD17" s="43"/>
    </row>
    <row r="18" spans="1:30" ht="15" customHeight="1" thickBot="1">
      <c r="A18" s="867"/>
      <c r="B18" s="381" t="str">
        <f>IF(INPUTS!D27=3,INPUTS!G27,IF(INPUTS!D27=1,"Bobwhite quail ","Mallard duck "))</f>
        <v>Bobwhite quail </v>
      </c>
      <c r="C18" s="382" t="s">
        <v>189</v>
      </c>
      <c r="D18" s="383">
        <f>INPUTS!C27</f>
        <v>0</v>
      </c>
      <c r="E18" s="43"/>
      <c r="F18" s="43"/>
      <c r="G18" s="43"/>
      <c r="H18" s="43"/>
      <c r="K18" s="43"/>
      <c r="L18" s="43"/>
      <c r="M18" s="43"/>
      <c r="N18" s="43"/>
      <c r="O18" s="43"/>
      <c r="P18" s="43"/>
      <c r="Q18" s="229" t="s">
        <v>16</v>
      </c>
      <c r="R18" s="43"/>
      <c r="S18" s="43"/>
      <c r="T18" s="43" t="s">
        <v>22</v>
      </c>
      <c r="U18" s="229" t="s">
        <v>23</v>
      </c>
      <c r="V18" s="229"/>
      <c r="W18" s="229" t="s">
        <v>24</v>
      </c>
      <c r="X18" s="229"/>
      <c r="Y18" s="229" t="s">
        <v>23</v>
      </c>
      <c r="Z18" s="229" t="s">
        <v>24</v>
      </c>
      <c r="AA18" s="229"/>
      <c r="AB18" s="43"/>
      <c r="AC18" s="43"/>
      <c r="AD18" s="43"/>
    </row>
    <row r="19" spans="1:30" ht="15" customHeight="1" thickBot="1">
      <c r="A19" s="184"/>
      <c r="B19" s="185"/>
      <c r="C19" s="185"/>
      <c r="D19" s="155"/>
      <c r="E19" s="43"/>
      <c r="F19" s="43"/>
      <c r="G19" s="43"/>
      <c r="H19" s="43"/>
      <c r="K19" s="43"/>
      <c r="L19" s="43"/>
      <c r="M19" s="229" t="s">
        <v>25</v>
      </c>
      <c r="N19" s="229" t="s">
        <v>26</v>
      </c>
      <c r="O19" s="229" t="s">
        <v>27</v>
      </c>
      <c r="P19" s="229" t="s">
        <v>18</v>
      </c>
      <c r="Q19" s="229" t="s">
        <v>28</v>
      </c>
      <c r="R19" s="229" t="s">
        <v>29</v>
      </c>
      <c r="S19" s="230" t="s">
        <v>39</v>
      </c>
      <c r="T19" s="43" t="s">
        <v>30</v>
      </c>
      <c r="U19" s="229" t="s">
        <v>31</v>
      </c>
      <c r="V19" s="229"/>
      <c r="W19" s="229" t="s">
        <v>31</v>
      </c>
      <c r="X19" s="229"/>
      <c r="Y19" s="229" t="s">
        <v>31</v>
      </c>
      <c r="Z19" s="229" t="s">
        <v>31</v>
      </c>
      <c r="AA19" s="229"/>
      <c r="AB19" s="43"/>
      <c r="AC19" s="43"/>
      <c r="AD19" s="43"/>
    </row>
    <row r="20" spans="1:30" ht="15" customHeight="1">
      <c r="A20" s="839" t="s">
        <v>62</v>
      </c>
      <c r="B20" s="842" t="s">
        <v>191</v>
      </c>
      <c r="C20" s="843"/>
      <c r="D20" s="384">
        <f>INPUTS!C33</f>
        <v>0</v>
      </c>
      <c r="E20" s="200"/>
      <c r="F20" s="43"/>
      <c r="G20" s="43"/>
      <c r="H20" s="43"/>
      <c r="K20" s="43"/>
      <c r="L20" s="43"/>
      <c r="M20" s="228" t="s">
        <v>16</v>
      </c>
      <c r="N20" s="228" t="s">
        <v>16</v>
      </c>
      <c r="O20" s="228" t="s">
        <v>32</v>
      </c>
      <c r="P20" s="228" t="s">
        <v>16</v>
      </c>
      <c r="Q20" s="228" t="s">
        <v>16</v>
      </c>
      <c r="R20" s="227" t="s">
        <v>38</v>
      </c>
      <c r="S20" s="227" t="s">
        <v>40</v>
      </c>
      <c r="T20" s="43" t="s">
        <v>16</v>
      </c>
      <c r="U20" s="229" t="s">
        <v>33</v>
      </c>
      <c r="V20" s="230" t="s">
        <v>456</v>
      </c>
      <c r="W20" s="229" t="s">
        <v>33</v>
      </c>
      <c r="X20" s="229"/>
      <c r="Y20" s="229" t="s">
        <v>33</v>
      </c>
      <c r="Z20" s="229" t="s">
        <v>33</v>
      </c>
      <c r="AA20" s="229"/>
      <c r="AB20" s="43"/>
      <c r="AC20" s="43"/>
      <c r="AD20" s="43"/>
    </row>
    <row r="21" spans="1:30" ht="12.75">
      <c r="A21" s="840"/>
      <c r="B21" s="835" t="s">
        <v>190</v>
      </c>
      <c r="C21" s="864"/>
      <c r="D21" s="385">
        <f>INPUTS!C34</f>
        <v>0</v>
      </c>
      <c r="E21" s="200"/>
      <c r="F21" s="43"/>
      <c r="G21" s="43"/>
      <c r="H21" s="43"/>
      <c r="K21" s="43"/>
      <c r="L21" s="43"/>
      <c r="M21" s="43">
        <v>0</v>
      </c>
      <c r="N21" s="43">
        <v>1</v>
      </c>
      <c r="O21" s="43">
        <v>0</v>
      </c>
      <c r="P21" s="113">
        <f>(Q11)</f>
        <v>0</v>
      </c>
      <c r="Q21" s="43">
        <f>(Q12)</f>
        <v>0</v>
      </c>
      <c r="R21" s="43">
        <f>(Q13)</f>
        <v>0</v>
      </c>
      <c r="S21" s="43">
        <f>(Q14)</f>
        <v>0</v>
      </c>
      <c r="T21" s="43">
        <f aca="true" t="shared" si="0" ref="T21:T89">$B$11</f>
        <v>0</v>
      </c>
      <c r="U21" s="577">
        <f>COUNTIF(P21:P76,"&gt;"&amp;INPUTS!C27)</f>
        <v>0</v>
      </c>
      <c r="V21" s="525">
        <f>P21*('upper bound Kenaga'!$F$36/100)</f>
        <v>0</v>
      </c>
      <c r="W21" s="183">
        <f>COUNTIF(V21:V76,"&gt;="&amp;(C46*0.1))</f>
        <v>1</v>
      </c>
      <c r="X21" s="525">
        <f>P21*('upper bound Kenaga'!$F$96/100)</f>
        <v>0</v>
      </c>
      <c r="Y21" s="183">
        <f>COUNTIF(X21:X76,"&gt;="&amp;(E105))</f>
        <v>1</v>
      </c>
      <c r="Z21" s="183">
        <f>COUNTIF(X21:X76,"&gt;="&amp;(D105*0.1))</f>
        <v>1</v>
      </c>
      <c r="AA21" s="43"/>
      <c r="AB21" s="43"/>
      <c r="AC21" s="43"/>
      <c r="AD21" s="43"/>
    </row>
    <row r="22" spans="1:30" ht="12.75">
      <c r="A22" s="840"/>
      <c r="B22" s="835" t="s">
        <v>192</v>
      </c>
      <c r="C22" s="836"/>
      <c r="D22" s="379">
        <f>IF(INPUTS!D35=2,INPUTS!C38,INPUTS!C35)</f>
        <v>0</v>
      </c>
      <c r="E22" s="200"/>
      <c r="F22" s="43"/>
      <c r="G22" s="43"/>
      <c r="H22" s="43"/>
      <c r="K22" s="43"/>
      <c r="L22" s="43"/>
      <c r="M22" s="43">
        <f aca="true" t="shared" si="1" ref="M22:M90">(M21+1)</f>
        <v>1</v>
      </c>
      <c r="N22" s="43">
        <f aca="true" t="shared" si="2" ref="N22:N90">IF($B$9&gt;N21,IF(O21=($B$8-1),(N21+1),(N21)),(N21))</f>
        <v>1</v>
      </c>
      <c r="O22" s="43">
        <f aca="true" t="shared" si="3" ref="O22:O90">IF(O21&lt;($B$8-1),(1+O21),0)</f>
        <v>0</v>
      </c>
      <c r="P22" s="113" t="e">
        <f aca="true" t="shared" si="4" ref="P22:P41">IF((N22&gt;N21),(EXP(-$Q$16)*(P21)+$Q$11),((EXP(-$Q$16)*(P21))))</f>
        <v>#DIV/0!</v>
      </c>
      <c r="Q22" s="113" t="e">
        <f>IF((N22&gt;N21),(EXP(-$Q$16)*(Q21)+$Q$12),((EXP(-$Q$16)*(Q21))))</f>
        <v>#DIV/0!</v>
      </c>
      <c r="R22" s="113" t="e">
        <f aca="true" t="shared" si="5" ref="R22:R41">IF((N22&gt;N21),(EXP(-$Q$16)*(R21)+$Q$13),((EXP(-$Q$16)*(R21))))</f>
        <v>#DIV/0!</v>
      </c>
      <c r="S22" s="113" t="e">
        <f aca="true" t="shared" si="6" ref="S22:S41">IF((N22&gt;N21),(EXP(-$Q$16)*(S21)+$Q$14),((EXP(-$Q$16)*(S21))))</f>
        <v>#DIV/0!</v>
      </c>
      <c r="T22" s="43">
        <f t="shared" si="0"/>
        <v>0</v>
      </c>
      <c r="V22" s="525" t="e">
        <f>P22*('upper bound Kenaga'!$F$36/100)</f>
        <v>#DIV/0!</v>
      </c>
      <c r="X22" s="525" t="e">
        <f>P22*('upper bound Kenaga'!$F$96/100)</f>
        <v>#DIV/0!</v>
      </c>
      <c r="Y22" s="183"/>
      <c r="Z22" s="183"/>
      <c r="AA22" s="43"/>
      <c r="AB22" s="43"/>
      <c r="AC22" s="43"/>
      <c r="AD22" s="43"/>
    </row>
    <row r="23" spans="1:30" ht="13.5" thickBot="1">
      <c r="A23" s="841"/>
      <c r="B23" s="837" t="s">
        <v>189</v>
      </c>
      <c r="C23" s="838"/>
      <c r="D23" s="386">
        <f>IF(INPUTS!D35=1,INPUTS!C38,INPUTS!C35)</f>
        <v>0</v>
      </c>
      <c r="E23" s="200"/>
      <c r="F23" s="43"/>
      <c r="G23" s="43"/>
      <c r="H23" s="43"/>
      <c r="I23" s="14"/>
      <c r="K23" s="43"/>
      <c r="L23" s="43"/>
      <c r="M23" s="43">
        <f t="shared" si="1"/>
        <v>2</v>
      </c>
      <c r="N23" s="43">
        <f t="shared" si="2"/>
        <v>1</v>
      </c>
      <c r="O23" s="43">
        <f t="shared" si="3"/>
        <v>0</v>
      </c>
      <c r="P23" s="113" t="e">
        <f t="shared" si="4"/>
        <v>#DIV/0!</v>
      </c>
      <c r="Q23" s="113" t="e">
        <f aca="true" t="shared" si="7" ref="Q23:Q41">IF((N23&gt;N22),(EXP(-$Q$16)*(Q22)+$Q$12),((EXP(-$Q$16)*(Q22))))</f>
        <v>#DIV/0!</v>
      </c>
      <c r="R23" s="113" t="e">
        <f t="shared" si="5"/>
        <v>#DIV/0!</v>
      </c>
      <c r="S23" s="113" t="e">
        <f t="shared" si="6"/>
        <v>#DIV/0!</v>
      </c>
      <c r="T23" s="43">
        <f t="shared" si="0"/>
        <v>0</v>
      </c>
      <c r="U23" s="43"/>
      <c r="V23" s="525" t="e">
        <f>P23*('upper bound Kenaga'!$F$36/100)</f>
        <v>#DIV/0!</v>
      </c>
      <c r="W23" s="43"/>
      <c r="X23" s="525" t="e">
        <f>P23*('upper bound Kenaga'!$F$96/100)</f>
        <v>#DIV/0!</v>
      </c>
      <c r="Y23" s="43"/>
      <c r="Z23" s="43"/>
      <c r="AA23" s="43"/>
      <c r="AB23" s="43"/>
      <c r="AC23" s="43"/>
      <c r="AD23" s="43"/>
    </row>
    <row r="24" spans="1:30" ht="13.5" thickBot="1">
      <c r="A24" s="184"/>
      <c r="B24" s="43"/>
      <c r="C24" s="185"/>
      <c r="D24" s="155"/>
      <c r="E24" s="43"/>
      <c r="F24" s="43"/>
      <c r="G24" s="43"/>
      <c r="H24" s="43"/>
      <c r="I24" s="14"/>
      <c r="K24" s="43"/>
      <c r="L24" s="43"/>
      <c r="M24" s="43">
        <f t="shared" si="1"/>
        <v>3</v>
      </c>
      <c r="N24" s="43">
        <f t="shared" si="2"/>
        <v>1</v>
      </c>
      <c r="O24" s="43">
        <f t="shared" si="3"/>
        <v>0</v>
      </c>
      <c r="P24" s="113" t="e">
        <f t="shared" si="4"/>
        <v>#DIV/0!</v>
      </c>
      <c r="Q24" s="113" t="e">
        <f t="shared" si="7"/>
        <v>#DIV/0!</v>
      </c>
      <c r="R24" s="113" t="e">
        <f t="shared" si="5"/>
        <v>#DIV/0!</v>
      </c>
      <c r="S24" s="113" t="e">
        <f t="shared" si="6"/>
        <v>#DIV/0!</v>
      </c>
      <c r="T24" s="43">
        <f t="shared" si="0"/>
        <v>0</v>
      </c>
      <c r="U24" s="43"/>
      <c r="V24" s="525" t="e">
        <f>P24*('upper bound Kenaga'!$F$36/100)</f>
        <v>#DIV/0!</v>
      </c>
      <c r="W24" s="43"/>
      <c r="X24" s="525" t="e">
        <f>P24*('upper bound Kenaga'!$F$96/100)</f>
        <v>#DIV/0!</v>
      </c>
      <c r="Y24" s="43"/>
      <c r="Z24" s="43"/>
      <c r="AA24" s="43"/>
      <c r="AB24" s="43"/>
      <c r="AC24" s="43"/>
      <c r="AD24" s="43"/>
    </row>
    <row r="25" spans="1:30" ht="12.75" customHeight="1">
      <c r="A25" s="833" t="s">
        <v>342</v>
      </c>
      <c r="B25" s="408" t="s">
        <v>60</v>
      </c>
      <c r="E25" s="43"/>
      <c r="F25" s="43"/>
      <c r="G25" s="43"/>
      <c r="H25" s="43"/>
      <c r="I25" s="14"/>
      <c r="K25" s="43"/>
      <c r="L25" s="43"/>
      <c r="M25" s="43">
        <f t="shared" si="1"/>
        <v>4</v>
      </c>
      <c r="N25" s="43">
        <f t="shared" si="2"/>
        <v>1</v>
      </c>
      <c r="O25" s="43">
        <f t="shared" si="3"/>
        <v>0</v>
      </c>
      <c r="P25" s="113" t="e">
        <f t="shared" si="4"/>
        <v>#DIV/0!</v>
      </c>
      <c r="Q25" s="113" t="e">
        <f t="shared" si="7"/>
        <v>#DIV/0!</v>
      </c>
      <c r="R25" s="113" t="e">
        <f t="shared" si="5"/>
        <v>#DIV/0!</v>
      </c>
      <c r="S25" s="113" t="e">
        <f t="shared" si="6"/>
        <v>#DIV/0!</v>
      </c>
      <c r="T25" s="43">
        <f t="shared" si="0"/>
        <v>0</v>
      </c>
      <c r="U25" s="43"/>
      <c r="V25" s="525" t="e">
        <f>P25*('upper bound Kenaga'!$F$36/100)</f>
        <v>#DIV/0!</v>
      </c>
      <c r="W25" s="43"/>
      <c r="X25" s="525" t="e">
        <f>P25*('upper bound Kenaga'!$F$96/100)</f>
        <v>#DIV/0!</v>
      </c>
      <c r="Y25" s="43"/>
      <c r="Z25" s="43"/>
      <c r="AA25" s="43"/>
      <c r="AB25" s="43"/>
      <c r="AC25" s="43"/>
      <c r="AD25" s="43"/>
    </row>
    <row r="26" spans="1:30" ht="12.75" customHeight="1">
      <c r="A26" s="834"/>
      <c r="B26" s="409" t="s">
        <v>61</v>
      </c>
      <c r="E26" s="43"/>
      <c r="F26" s="43"/>
      <c r="G26" s="43"/>
      <c r="H26" s="43"/>
      <c r="I26" s="14"/>
      <c r="K26" s="43"/>
      <c r="L26" s="43"/>
      <c r="M26" s="43">
        <f t="shared" si="1"/>
        <v>5</v>
      </c>
      <c r="N26" s="43">
        <f t="shared" si="2"/>
        <v>1</v>
      </c>
      <c r="O26" s="43">
        <f t="shared" si="3"/>
        <v>0</v>
      </c>
      <c r="P26" s="113" t="e">
        <f t="shared" si="4"/>
        <v>#DIV/0!</v>
      </c>
      <c r="Q26" s="113" t="e">
        <f t="shared" si="7"/>
        <v>#DIV/0!</v>
      </c>
      <c r="R26" s="113" t="e">
        <f t="shared" si="5"/>
        <v>#DIV/0!</v>
      </c>
      <c r="S26" s="113" t="e">
        <f t="shared" si="6"/>
        <v>#DIV/0!</v>
      </c>
      <c r="T26" s="43">
        <f t="shared" si="0"/>
        <v>0</v>
      </c>
      <c r="U26" s="43"/>
      <c r="V26" s="525" t="e">
        <f>P26*('upper bound Kenaga'!$F$36/100)</f>
        <v>#DIV/0!</v>
      </c>
      <c r="W26" s="43"/>
      <c r="X26" s="525" t="e">
        <f>P26*('upper bound Kenaga'!$F$96/100)</f>
        <v>#DIV/0!</v>
      </c>
      <c r="Y26" s="43"/>
      <c r="Z26" s="43"/>
      <c r="AA26" s="43"/>
      <c r="AB26" s="43"/>
      <c r="AC26" s="43"/>
      <c r="AD26" s="43"/>
    </row>
    <row r="27" spans="1:30" ht="12.75">
      <c r="A27" s="387" t="s">
        <v>18</v>
      </c>
      <c r="B27" s="388" t="e">
        <f>MAX(P21:P391)</f>
        <v>#DIV/0!</v>
      </c>
      <c r="E27" s="43"/>
      <c r="F27" s="43"/>
      <c r="G27" s="43"/>
      <c r="H27" s="43"/>
      <c r="I27" s="14"/>
      <c r="K27" s="43"/>
      <c r="L27" s="43"/>
      <c r="M27" s="43">
        <f t="shared" si="1"/>
        <v>6</v>
      </c>
      <c r="N27" s="43">
        <f t="shared" si="2"/>
        <v>1</v>
      </c>
      <c r="O27" s="43">
        <f t="shared" si="3"/>
        <v>0</v>
      </c>
      <c r="P27" s="113" t="e">
        <f t="shared" si="4"/>
        <v>#DIV/0!</v>
      </c>
      <c r="Q27" s="113" t="e">
        <f t="shared" si="7"/>
        <v>#DIV/0!</v>
      </c>
      <c r="R27" s="113" t="e">
        <f t="shared" si="5"/>
        <v>#DIV/0!</v>
      </c>
      <c r="S27" s="113" t="e">
        <f t="shared" si="6"/>
        <v>#DIV/0!</v>
      </c>
      <c r="T27" s="43">
        <f t="shared" si="0"/>
        <v>0</v>
      </c>
      <c r="U27" s="43"/>
      <c r="V27" s="525" t="e">
        <f>P27*('upper bound Kenaga'!$F$36/100)</f>
        <v>#DIV/0!</v>
      </c>
      <c r="W27" s="43"/>
      <c r="X27" s="525" t="e">
        <f>P27*('upper bound Kenaga'!$F$96/100)</f>
        <v>#DIV/0!</v>
      </c>
      <c r="Y27" s="43"/>
      <c r="Z27" s="43"/>
      <c r="AA27" s="43"/>
      <c r="AB27" s="43"/>
      <c r="AC27" s="43"/>
      <c r="AD27" s="43"/>
    </row>
    <row r="28" spans="1:30" ht="12.75">
      <c r="A28" s="387" t="s">
        <v>21</v>
      </c>
      <c r="B28" s="388" t="e">
        <f>MAX(Q21:Q391)</f>
        <v>#DIV/0!</v>
      </c>
      <c r="E28" s="43"/>
      <c r="F28" s="43"/>
      <c r="G28" s="43"/>
      <c r="H28" s="43"/>
      <c r="I28" s="14"/>
      <c r="K28" s="43"/>
      <c r="L28" s="43"/>
      <c r="M28" s="43">
        <f t="shared" si="1"/>
        <v>7</v>
      </c>
      <c r="N28" s="43">
        <f t="shared" si="2"/>
        <v>1</v>
      </c>
      <c r="O28" s="43">
        <f t="shared" si="3"/>
        <v>0</v>
      </c>
      <c r="P28" s="113" t="e">
        <f t="shared" si="4"/>
        <v>#DIV/0!</v>
      </c>
      <c r="Q28" s="113" t="e">
        <f t="shared" si="7"/>
        <v>#DIV/0!</v>
      </c>
      <c r="R28" s="113" t="e">
        <f t="shared" si="5"/>
        <v>#DIV/0!</v>
      </c>
      <c r="S28" s="113" t="e">
        <f t="shared" si="6"/>
        <v>#DIV/0!</v>
      </c>
      <c r="T28" s="43">
        <f t="shared" si="0"/>
        <v>0</v>
      </c>
      <c r="U28" s="43"/>
      <c r="V28" s="525" t="e">
        <f>P28*('upper bound Kenaga'!$F$36/100)</f>
        <v>#DIV/0!</v>
      </c>
      <c r="W28" s="43"/>
      <c r="X28" s="525" t="e">
        <f>P28*('upper bound Kenaga'!$F$96/100)</f>
        <v>#DIV/0!</v>
      </c>
      <c r="Y28" s="43"/>
      <c r="Z28" s="43"/>
      <c r="AA28" s="43"/>
      <c r="AB28" s="43"/>
      <c r="AC28" s="43"/>
      <c r="AD28" s="43"/>
    </row>
    <row r="29" spans="1:30" ht="12.75">
      <c r="A29" s="387" t="s">
        <v>37</v>
      </c>
      <c r="B29" s="388" t="e">
        <f>MAX(R21:R391)</f>
        <v>#DIV/0!</v>
      </c>
      <c r="E29" s="43"/>
      <c r="F29" s="43"/>
      <c r="G29" s="43"/>
      <c r="H29" s="43"/>
      <c r="I29" s="14"/>
      <c r="K29" s="43"/>
      <c r="L29" s="43"/>
      <c r="M29" s="43">
        <f t="shared" si="1"/>
        <v>8</v>
      </c>
      <c r="N29" s="43">
        <f t="shared" si="2"/>
        <v>1</v>
      </c>
      <c r="O29" s="43">
        <f t="shared" si="3"/>
        <v>0</v>
      </c>
      <c r="P29" s="113" t="e">
        <f t="shared" si="4"/>
        <v>#DIV/0!</v>
      </c>
      <c r="Q29" s="113" t="e">
        <f t="shared" si="7"/>
        <v>#DIV/0!</v>
      </c>
      <c r="R29" s="113" t="e">
        <f t="shared" si="5"/>
        <v>#DIV/0!</v>
      </c>
      <c r="S29" s="113" t="e">
        <f t="shared" si="6"/>
        <v>#DIV/0!</v>
      </c>
      <c r="T29" s="43">
        <f t="shared" si="0"/>
        <v>0</v>
      </c>
      <c r="U29" s="43"/>
      <c r="V29" s="525" t="e">
        <f>P29*('upper bound Kenaga'!$F$36/100)</f>
        <v>#DIV/0!</v>
      </c>
      <c r="W29" s="43"/>
      <c r="X29" s="525" t="e">
        <f>P29*('upper bound Kenaga'!$F$96/100)</f>
        <v>#DIV/0!</v>
      </c>
      <c r="Y29" s="43"/>
      <c r="Z29" s="43"/>
      <c r="AA29" s="43"/>
      <c r="AB29" s="43"/>
      <c r="AC29" s="43"/>
      <c r="AD29" s="43"/>
    </row>
    <row r="30" spans="1:30" ht="13.5" thickBot="1">
      <c r="A30" s="389" t="s">
        <v>194</v>
      </c>
      <c r="B30" s="390" t="e">
        <f>MAX(S21:S391)</f>
        <v>#DIV/0!</v>
      </c>
      <c r="E30" s="43"/>
      <c r="F30" s="43"/>
      <c r="G30" s="43"/>
      <c r="H30" s="43"/>
      <c r="I30" s="14"/>
      <c r="K30" s="43"/>
      <c r="L30" s="43"/>
      <c r="M30" s="43">
        <f t="shared" si="1"/>
        <v>9</v>
      </c>
      <c r="N30" s="43">
        <f t="shared" si="2"/>
        <v>1</v>
      </c>
      <c r="O30" s="43">
        <f t="shared" si="3"/>
        <v>0</v>
      </c>
      <c r="P30" s="113" t="e">
        <f t="shared" si="4"/>
        <v>#DIV/0!</v>
      </c>
      <c r="Q30" s="113" t="e">
        <f t="shared" si="7"/>
        <v>#DIV/0!</v>
      </c>
      <c r="R30" s="113" t="e">
        <f t="shared" si="5"/>
        <v>#DIV/0!</v>
      </c>
      <c r="S30" s="113" t="e">
        <f t="shared" si="6"/>
        <v>#DIV/0!</v>
      </c>
      <c r="T30" s="43">
        <f t="shared" si="0"/>
        <v>0</v>
      </c>
      <c r="U30" s="43"/>
      <c r="V30" s="525" t="e">
        <f>P30*('upper bound Kenaga'!$F$36/100)</f>
        <v>#DIV/0!</v>
      </c>
      <c r="W30" s="43"/>
      <c r="X30" s="525" t="e">
        <f>P30*('upper bound Kenaga'!$F$96/100)</f>
        <v>#DIV/0!</v>
      </c>
      <c r="Y30" s="43"/>
      <c r="Z30" s="43"/>
      <c r="AA30" s="43"/>
      <c r="AB30" s="43"/>
      <c r="AC30" s="43"/>
      <c r="AD30" s="43"/>
    </row>
    <row r="31" spans="5:30" ht="12.75">
      <c r="E31" s="43"/>
      <c r="F31" s="43"/>
      <c r="G31" s="43"/>
      <c r="H31" s="43"/>
      <c r="I31" s="14"/>
      <c r="K31" s="43"/>
      <c r="L31" s="43"/>
      <c r="M31" s="43">
        <f t="shared" si="1"/>
        <v>10</v>
      </c>
      <c r="N31" s="43">
        <f t="shared" si="2"/>
        <v>1</v>
      </c>
      <c r="O31" s="43">
        <f t="shared" si="3"/>
        <v>0</v>
      </c>
      <c r="P31" s="113" t="e">
        <f t="shared" si="4"/>
        <v>#DIV/0!</v>
      </c>
      <c r="Q31" s="113" t="e">
        <f t="shared" si="7"/>
        <v>#DIV/0!</v>
      </c>
      <c r="R31" s="113" t="e">
        <f t="shared" si="5"/>
        <v>#DIV/0!</v>
      </c>
      <c r="S31" s="113" t="e">
        <f t="shared" si="6"/>
        <v>#DIV/0!</v>
      </c>
      <c r="T31" s="43">
        <f t="shared" si="0"/>
        <v>0</v>
      </c>
      <c r="U31" s="43"/>
      <c r="V31" s="525" t="e">
        <f>P31*('upper bound Kenaga'!$F$36/100)</f>
        <v>#DIV/0!</v>
      </c>
      <c r="W31" s="43"/>
      <c r="X31" s="525" t="e">
        <f>P31*('upper bound Kenaga'!$F$96/100)</f>
        <v>#DIV/0!</v>
      </c>
      <c r="Y31" s="43"/>
      <c r="Z31" s="43"/>
      <c r="AA31" s="43"/>
      <c r="AB31" s="43"/>
      <c r="AC31" s="43"/>
      <c r="AD31" s="43"/>
    </row>
    <row r="32" spans="1:30" ht="21" thickBot="1">
      <c r="A32" s="18" t="s">
        <v>65</v>
      </c>
      <c r="B32" s="19"/>
      <c r="C32" s="19"/>
      <c r="D32" s="20"/>
      <c r="E32" s="19"/>
      <c r="F32" s="19"/>
      <c r="G32" s="19"/>
      <c r="H32" s="19"/>
      <c r="I32" s="14"/>
      <c r="K32" s="43"/>
      <c r="L32" s="43"/>
      <c r="M32" s="43">
        <f t="shared" si="1"/>
        <v>11</v>
      </c>
      <c r="N32" s="43">
        <f t="shared" si="2"/>
        <v>1</v>
      </c>
      <c r="O32" s="43">
        <f t="shared" si="3"/>
        <v>0</v>
      </c>
      <c r="P32" s="113" t="e">
        <f t="shared" si="4"/>
        <v>#DIV/0!</v>
      </c>
      <c r="Q32" s="113" t="e">
        <f t="shared" si="7"/>
        <v>#DIV/0!</v>
      </c>
      <c r="R32" s="113" t="e">
        <f t="shared" si="5"/>
        <v>#DIV/0!</v>
      </c>
      <c r="S32" s="113" t="e">
        <f t="shared" si="6"/>
        <v>#DIV/0!</v>
      </c>
      <c r="T32" s="43">
        <f t="shared" si="0"/>
        <v>0</v>
      </c>
      <c r="U32" s="43"/>
      <c r="V32" s="525" t="e">
        <f>P32*('upper bound Kenaga'!$F$36/100)</f>
        <v>#DIV/0!</v>
      </c>
      <c r="W32" s="43"/>
      <c r="X32" s="525" t="e">
        <f>P32*('upper bound Kenaga'!$F$96/100)</f>
        <v>#DIV/0!</v>
      </c>
      <c r="Y32" s="43"/>
      <c r="Z32" s="43"/>
      <c r="AA32" s="43"/>
      <c r="AB32" s="43"/>
      <c r="AC32" s="43"/>
      <c r="AD32" s="43"/>
    </row>
    <row r="33" spans="4:30" ht="14.25" thickBot="1" thickTop="1">
      <c r="D33" s="31"/>
      <c r="E33" s="8"/>
      <c r="I33" s="14"/>
      <c r="K33" s="43"/>
      <c r="L33" s="43"/>
      <c r="M33" s="43">
        <f t="shared" si="1"/>
        <v>12</v>
      </c>
      <c r="N33" s="43">
        <f t="shared" si="2"/>
        <v>1</v>
      </c>
      <c r="O33" s="43">
        <f t="shared" si="3"/>
        <v>0</v>
      </c>
      <c r="P33" s="113" t="e">
        <f t="shared" si="4"/>
        <v>#DIV/0!</v>
      </c>
      <c r="Q33" s="113" t="e">
        <f t="shared" si="7"/>
        <v>#DIV/0!</v>
      </c>
      <c r="R33" s="113" t="e">
        <f t="shared" si="5"/>
        <v>#DIV/0!</v>
      </c>
      <c r="S33" s="113" t="e">
        <f t="shared" si="6"/>
        <v>#DIV/0!</v>
      </c>
      <c r="T33" s="43">
        <f t="shared" si="0"/>
        <v>0</v>
      </c>
      <c r="U33" s="43"/>
      <c r="V33" s="525" t="e">
        <f>P33*('upper bound Kenaga'!$F$36/100)</f>
        <v>#DIV/0!</v>
      </c>
      <c r="W33" s="43"/>
      <c r="X33" s="525" t="e">
        <f>P33*('upper bound Kenaga'!$F$96/100)</f>
        <v>#DIV/0!</v>
      </c>
      <c r="Y33" s="43"/>
      <c r="Z33" s="43"/>
      <c r="AA33" s="43"/>
      <c r="AB33" s="43"/>
      <c r="AC33" s="43"/>
      <c r="AD33" s="43"/>
    </row>
    <row r="34" spans="2:30" ht="12.75">
      <c r="B34" s="410" t="s">
        <v>19</v>
      </c>
      <c r="C34" s="411" t="s">
        <v>52</v>
      </c>
      <c r="D34" s="412" t="s">
        <v>272</v>
      </c>
      <c r="E34" s="412" t="s">
        <v>267</v>
      </c>
      <c r="F34" s="411" t="s">
        <v>54</v>
      </c>
      <c r="G34" s="413" t="s">
        <v>270</v>
      </c>
      <c r="K34" s="43"/>
      <c r="L34" s="43"/>
      <c r="M34" s="43">
        <f>(M33+1)</f>
        <v>13</v>
      </c>
      <c r="N34" s="43">
        <f t="shared" si="2"/>
        <v>1</v>
      </c>
      <c r="O34" s="43">
        <f t="shared" si="3"/>
        <v>0</v>
      </c>
      <c r="P34" s="113" t="e">
        <f t="shared" si="4"/>
        <v>#DIV/0!</v>
      </c>
      <c r="Q34" s="113" t="e">
        <f t="shared" si="7"/>
        <v>#DIV/0!</v>
      </c>
      <c r="R34" s="113" t="e">
        <f t="shared" si="5"/>
        <v>#DIV/0!</v>
      </c>
      <c r="S34" s="113" t="e">
        <f t="shared" si="6"/>
        <v>#DIV/0!</v>
      </c>
      <c r="T34" s="43">
        <f t="shared" si="0"/>
        <v>0</v>
      </c>
      <c r="U34" s="43"/>
      <c r="V34" s="525" t="e">
        <f>P34*('upper bound Kenaga'!$F$36/100)</f>
        <v>#DIV/0!</v>
      </c>
      <c r="W34" s="43"/>
      <c r="X34" s="525" t="e">
        <f>P34*('upper bound Kenaga'!$F$96/100)</f>
        <v>#DIV/0!</v>
      </c>
      <c r="Y34" s="43"/>
      <c r="Z34" s="43"/>
      <c r="AA34" s="43"/>
      <c r="AB34" s="43"/>
      <c r="AC34" s="43"/>
      <c r="AD34" s="43"/>
    </row>
    <row r="35" spans="2:30" ht="13.5" customHeight="1">
      <c r="B35" s="414" t="s">
        <v>51</v>
      </c>
      <c r="C35" s="415" t="s">
        <v>172</v>
      </c>
      <c r="D35" s="416" t="s">
        <v>273</v>
      </c>
      <c r="E35" s="416" t="s">
        <v>268</v>
      </c>
      <c r="F35" s="415" t="s">
        <v>55</v>
      </c>
      <c r="G35" s="417" t="s">
        <v>271</v>
      </c>
      <c r="K35" s="43"/>
      <c r="L35" s="43"/>
      <c r="M35" s="43">
        <f t="shared" si="1"/>
        <v>14</v>
      </c>
      <c r="N35" s="43">
        <f t="shared" si="2"/>
        <v>1</v>
      </c>
      <c r="O35" s="43">
        <f t="shared" si="3"/>
        <v>0</v>
      </c>
      <c r="P35" s="113" t="e">
        <f t="shared" si="4"/>
        <v>#DIV/0!</v>
      </c>
      <c r="Q35" s="113" t="e">
        <f t="shared" si="7"/>
        <v>#DIV/0!</v>
      </c>
      <c r="R35" s="113" t="e">
        <f t="shared" si="5"/>
        <v>#DIV/0!</v>
      </c>
      <c r="S35" s="113" t="e">
        <f t="shared" si="6"/>
        <v>#DIV/0!</v>
      </c>
      <c r="T35" s="43">
        <f t="shared" si="0"/>
        <v>0</v>
      </c>
      <c r="U35" s="43"/>
      <c r="V35" s="525" t="e">
        <f>P35*('upper bound Kenaga'!$F$36/100)</f>
        <v>#DIV/0!</v>
      </c>
      <c r="W35" s="43"/>
      <c r="X35" s="525" t="e">
        <f>P35*('upper bound Kenaga'!$F$96/100)</f>
        <v>#DIV/0!</v>
      </c>
      <c r="Y35" s="43"/>
      <c r="Z35" s="43"/>
      <c r="AA35" s="43"/>
      <c r="AB35" s="43"/>
      <c r="AC35" s="43"/>
      <c r="AD35" s="43"/>
    </row>
    <row r="36" spans="2:30" ht="16.5" customHeight="1">
      <c r="B36" s="391" t="s">
        <v>69</v>
      </c>
      <c r="C36" s="393">
        <f>INPUTS!B16</f>
        <v>20</v>
      </c>
      <c r="D36" s="392">
        <f aca="true" t="shared" si="8" ref="D36:D41">(0.648*C36^0.651)</f>
        <v>4.555599462601989</v>
      </c>
      <c r="E36" s="392">
        <f>D36/0.2</f>
        <v>22.77799731300994</v>
      </c>
      <c r="F36" s="393">
        <f aca="true" t="shared" si="9" ref="F36:F41">(E36/C36)*100</f>
        <v>113.8899865650497</v>
      </c>
      <c r="G36" s="394">
        <f aca="true" t="shared" si="10" ref="G36:G41">E36/1000</f>
        <v>0.022777997313009942</v>
      </c>
      <c r="K36" s="43"/>
      <c r="L36" s="43"/>
      <c r="M36" s="43">
        <f t="shared" si="1"/>
        <v>15</v>
      </c>
      <c r="N36" s="43">
        <f t="shared" si="2"/>
        <v>1</v>
      </c>
      <c r="O36" s="43">
        <f t="shared" si="3"/>
        <v>0</v>
      </c>
      <c r="P36" s="113" t="e">
        <f t="shared" si="4"/>
        <v>#DIV/0!</v>
      </c>
      <c r="Q36" s="113" t="e">
        <f t="shared" si="7"/>
        <v>#DIV/0!</v>
      </c>
      <c r="R36" s="113" t="e">
        <f t="shared" si="5"/>
        <v>#DIV/0!</v>
      </c>
      <c r="S36" s="113" t="e">
        <f t="shared" si="6"/>
        <v>#DIV/0!</v>
      </c>
      <c r="T36" s="43">
        <f t="shared" si="0"/>
        <v>0</v>
      </c>
      <c r="U36" s="43"/>
      <c r="V36" s="525" t="e">
        <f>P36*('upper bound Kenaga'!$F$36/100)</f>
        <v>#DIV/0!</v>
      </c>
      <c r="W36" s="43"/>
      <c r="X36" s="525" t="e">
        <f>P36*('upper bound Kenaga'!$F$96/100)</f>
        <v>#DIV/0!</v>
      </c>
      <c r="Y36" s="43"/>
      <c r="Z36" s="43"/>
      <c r="AA36" s="43"/>
      <c r="AB36" s="43"/>
      <c r="AC36" s="43"/>
      <c r="AD36" s="43"/>
    </row>
    <row r="37" spans="2:30" ht="16.5" customHeight="1">
      <c r="B37" s="395" t="s">
        <v>70</v>
      </c>
      <c r="C37" s="393">
        <f>INPUTS!B17</f>
        <v>100</v>
      </c>
      <c r="D37" s="392">
        <f t="shared" si="8"/>
        <v>12.988978737326251</v>
      </c>
      <c r="E37" s="392">
        <f>D37/0.2</f>
        <v>64.94489368663125</v>
      </c>
      <c r="F37" s="393">
        <f t="shared" si="9"/>
        <v>64.94489368663125</v>
      </c>
      <c r="G37" s="394">
        <f t="shared" si="10"/>
        <v>0.06494489368663124</v>
      </c>
      <c r="K37" s="43"/>
      <c r="L37" s="43"/>
      <c r="M37" s="43">
        <f t="shared" si="1"/>
        <v>16</v>
      </c>
      <c r="N37" s="43">
        <f t="shared" si="2"/>
        <v>1</v>
      </c>
      <c r="O37" s="43">
        <f t="shared" si="3"/>
        <v>0</v>
      </c>
      <c r="P37" s="113" t="e">
        <f t="shared" si="4"/>
        <v>#DIV/0!</v>
      </c>
      <c r="Q37" s="113" t="e">
        <f t="shared" si="7"/>
        <v>#DIV/0!</v>
      </c>
      <c r="R37" s="113" t="e">
        <f t="shared" si="5"/>
        <v>#DIV/0!</v>
      </c>
      <c r="S37" s="113" t="e">
        <f t="shared" si="6"/>
        <v>#DIV/0!</v>
      </c>
      <c r="T37" s="43">
        <f t="shared" si="0"/>
        <v>0</v>
      </c>
      <c r="U37" s="43"/>
      <c r="V37" s="525" t="e">
        <f>P37*('upper bound Kenaga'!$F$36/100)</f>
        <v>#DIV/0!</v>
      </c>
      <c r="W37" s="43"/>
      <c r="X37" s="525" t="e">
        <f>P37*('upper bound Kenaga'!$F$96/100)</f>
        <v>#DIV/0!</v>
      </c>
      <c r="Y37" s="43"/>
      <c r="Z37" s="43"/>
      <c r="AA37" s="43"/>
      <c r="AB37" s="43"/>
      <c r="AC37" s="43"/>
      <c r="AD37" s="43"/>
    </row>
    <row r="38" spans="2:30" ht="16.5" customHeight="1" thickBot="1">
      <c r="B38" s="396" t="s">
        <v>71</v>
      </c>
      <c r="C38" s="397">
        <f>INPUTS!B18</f>
        <v>1000</v>
      </c>
      <c r="D38" s="398">
        <f t="shared" si="8"/>
        <v>58.153385883648525</v>
      </c>
      <c r="E38" s="398">
        <f>D38/0.2</f>
        <v>290.7669294182426</v>
      </c>
      <c r="F38" s="399">
        <f t="shared" si="9"/>
        <v>29.076692941824263</v>
      </c>
      <c r="G38" s="400">
        <f t="shared" si="10"/>
        <v>0.2907669294182426</v>
      </c>
      <c r="H38" s="10"/>
      <c r="I38" s="32"/>
      <c r="K38" s="43"/>
      <c r="L38" s="43"/>
      <c r="M38" s="43">
        <f t="shared" si="1"/>
        <v>17</v>
      </c>
      <c r="N38" s="43">
        <f t="shared" si="2"/>
        <v>1</v>
      </c>
      <c r="O38" s="43">
        <f t="shared" si="3"/>
        <v>0</v>
      </c>
      <c r="P38" s="113" t="e">
        <f t="shared" si="4"/>
        <v>#DIV/0!</v>
      </c>
      <c r="Q38" s="113" t="e">
        <f t="shared" si="7"/>
        <v>#DIV/0!</v>
      </c>
      <c r="R38" s="113" t="e">
        <f t="shared" si="5"/>
        <v>#DIV/0!</v>
      </c>
      <c r="S38" s="113" t="e">
        <f t="shared" si="6"/>
        <v>#DIV/0!</v>
      </c>
      <c r="T38" s="43">
        <f t="shared" si="0"/>
        <v>0</v>
      </c>
      <c r="U38" s="43"/>
      <c r="V38" s="525" t="e">
        <f>P38*('upper bound Kenaga'!$F$36/100)</f>
        <v>#DIV/0!</v>
      </c>
      <c r="W38" s="43"/>
      <c r="X38" s="525" t="e">
        <f>P38*('upper bound Kenaga'!$F$96/100)</f>
        <v>#DIV/0!</v>
      </c>
      <c r="Y38" s="43"/>
      <c r="Z38" s="43"/>
      <c r="AA38" s="43"/>
      <c r="AB38" s="43"/>
      <c r="AC38" s="43"/>
      <c r="AD38" s="43"/>
    </row>
    <row r="39" spans="2:30" ht="12.75">
      <c r="B39" s="433"/>
      <c r="C39" s="672">
        <f>C36</f>
        <v>20</v>
      </c>
      <c r="D39" s="392">
        <f t="shared" si="8"/>
        <v>4.555599462601989</v>
      </c>
      <c r="E39" s="436">
        <f>D39/0.9</f>
        <v>5.0617771806688765</v>
      </c>
      <c r="F39" s="437">
        <f t="shared" si="9"/>
        <v>25.30888590334438</v>
      </c>
      <c r="G39" s="438">
        <f t="shared" si="10"/>
        <v>0.0050617771806688765</v>
      </c>
      <c r="K39" s="43"/>
      <c r="L39" s="43"/>
      <c r="M39" s="43">
        <f t="shared" si="1"/>
        <v>18</v>
      </c>
      <c r="N39" s="43">
        <f t="shared" si="2"/>
        <v>1</v>
      </c>
      <c r="O39" s="43">
        <f t="shared" si="3"/>
        <v>0</v>
      </c>
      <c r="P39" s="113" t="e">
        <f t="shared" si="4"/>
        <v>#DIV/0!</v>
      </c>
      <c r="Q39" s="113" t="e">
        <f t="shared" si="7"/>
        <v>#DIV/0!</v>
      </c>
      <c r="R39" s="113" t="e">
        <f t="shared" si="5"/>
        <v>#DIV/0!</v>
      </c>
      <c r="S39" s="113" t="e">
        <f t="shared" si="6"/>
        <v>#DIV/0!</v>
      </c>
      <c r="T39" s="43">
        <f t="shared" si="0"/>
        <v>0</v>
      </c>
      <c r="U39" s="43"/>
      <c r="V39" s="525" t="e">
        <f>P39*('upper bound Kenaga'!$F$36/100)</f>
        <v>#DIV/0!</v>
      </c>
      <c r="W39" s="43"/>
      <c r="X39" s="525" t="e">
        <f>P39*('upper bound Kenaga'!$F$96/100)</f>
        <v>#DIV/0!</v>
      </c>
      <c r="Y39" s="43"/>
      <c r="Z39" s="43"/>
      <c r="AA39" s="43"/>
      <c r="AB39" s="43"/>
      <c r="AC39" s="43"/>
      <c r="AD39" s="43"/>
    </row>
    <row r="40" spans="2:30" ht="12.75">
      <c r="B40" s="789" t="s">
        <v>58</v>
      </c>
      <c r="C40" s="672">
        <f>C37</f>
        <v>100</v>
      </c>
      <c r="D40" s="392">
        <f t="shared" si="8"/>
        <v>12.988978737326251</v>
      </c>
      <c r="E40" s="436">
        <f>D40/0.9</f>
        <v>14.432198597029167</v>
      </c>
      <c r="F40" s="437">
        <f t="shared" si="9"/>
        <v>14.432198597029167</v>
      </c>
      <c r="G40" s="438">
        <f t="shared" si="10"/>
        <v>0.014432198597029168</v>
      </c>
      <c r="K40" s="43"/>
      <c r="L40" s="43"/>
      <c r="M40" s="43">
        <f t="shared" si="1"/>
        <v>19</v>
      </c>
      <c r="N40" s="43">
        <f t="shared" si="2"/>
        <v>1</v>
      </c>
      <c r="O40" s="43">
        <f t="shared" si="3"/>
        <v>0</v>
      </c>
      <c r="P40" s="113" t="e">
        <f t="shared" si="4"/>
        <v>#DIV/0!</v>
      </c>
      <c r="Q40" s="113" t="e">
        <f t="shared" si="7"/>
        <v>#DIV/0!</v>
      </c>
      <c r="R40" s="113" t="e">
        <f t="shared" si="5"/>
        <v>#DIV/0!</v>
      </c>
      <c r="S40" s="113" t="e">
        <f t="shared" si="6"/>
        <v>#DIV/0!</v>
      </c>
      <c r="T40" s="43">
        <f t="shared" si="0"/>
        <v>0</v>
      </c>
      <c r="U40" s="43"/>
      <c r="V40" s="525" t="e">
        <f>P40*('upper bound Kenaga'!$F$36/100)</f>
        <v>#DIV/0!</v>
      </c>
      <c r="W40" s="43"/>
      <c r="X40" s="525" t="e">
        <f>P40*('upper bound Kenaga'!$F$96/100)</f>
        <v>#DIV/0!</v>
      </c>
      <c r="Y40" s="43"/>
      <c r="Z40" s="43"/>
      <c r="AA40" s="43"/>
      <c r="AB40" s="43"/>
      <c r="AC40" s="43"/>
      <c r="AD40" s="43"/>
    </row>
    <row r="41" spans="2:30" ht="13.5" thickBot="1">
      <c r="B41" s="444"/>
      <c r="C41" s="445">
        <f>C38</f>
        <v>1000</v>
      </c>
      <c r="D41" s="398">
        <f t="shared" si="8"/>
        <v>58.153385883648525</v>
      </c>
      <c r="E41" s="447">
        <f>D41/0.9</f>
        <v>64.61487320405392</v>
      </c>
      <c r="F41" s="448">
        <f t="shared" si="9"/>
        <v>6.461487320405392</v>
      </c>
      <c r="G41" s="449">
        <f t="shared" si="10"/>
        <v>0.06461487320405392</v>
      </c>
      <c r="K41" s="43"/>
      <c r="L41" s="43"/>
      <c r="M41" s="43">
        <f t="shared" si="1"/>
        <v>20</v>
      </c>
      <c r="N41" s="43">
        <f t="shared" si="2"/>
        <v>1</v>
      </c>
      <c r="O41" s="43">
        <f t="shared" si="3"/>
        <v>0</v>
      </c>
      <c r="P41" s="113" t="e">
        <f t="shared" si="4"/>
        <v>#DIV/0!</v>
      </c>
      <c r="Q41" s="113" t="e">
        <f t="shared" si="7"/>
        <v>#DIV/0!</v>
      </c>
      <c r="R41" s="113" t="e">
        <f t="shared" si="5"/>
        <v>#DIV/0!</v>
      </c>
      <c r="S41" s="113" t="e">
        <f t="shared" si="6"/>
        <v>#DIV/0!</v>
      </c>
      <c r="T41" s="43">
        <f t="shared" si="0"/>
        <v>0</v>
      </c>
      <c r="U41" s="43"/>
      <c r="V41" s="525" t="e">
        <f>P41*('upper bound Kenaga'!$F$36/100)</f>
        <v>#DIV/0!</v>
      </c>
      <c r="W41" s="43"/>
      <c r="X41" s="525" t="e">
        <f>P41*('upper bound Kenaga'!$F$96/100)</f>
        <v>#DIV/0!</v>
      </c>
      <c r="Y41" s="43"/>
      <c r="Z41" s="43"/>
      <c r="AA41" s="43"/>
      <c r="AB41" s="43"/>
      <c r="AC41" s="43"/>
      <c r="AD41" s="43"/>
    </row>
    <row r="42" spans="2:30" ht="16.5" customHeight="1">
      <c r="B42" s="669"/>
      <c r="C42" s="669"/>
      <c r="D42" s="670"/>
      <c r="E42" s="670"/>
      <c r="F42" s="552"/>
      <c r="G42" s="671"/>
      <c r="H42" s="10"/>
      <c r="I42" s="32"/>
      <c r="K42" s="43"/>
      <c r="L42" s="43"/>
      <c r="M42" s="43">
        <f t="shared" si="1"/>
        <v>21</v>
      </c>
      <c r="N42" s="43">
        <f t="shared" si="2"/>
        <v>1</v>
      </c>
      <c r="O42" s="43">
        <f t="shared" si="3"/>
        <v>0</v>
      </c>
      <c r="P42" s="113" t="e">
        <f aca="true" t="shared" si="11" ref="P42:P105">IF((N42&gt;N41),(EXP(-$Q$16)*(P41)+$Q$11),((EXP(-$Q$16)*(P41))))</f>
        <v>#DIV/0!</v>
      </c>
      <c r="Q42" s="113" t="e">
        <f aca="true" t="shared" si="12" ref="Q42:Q105">IF((N42&gt;N41),(EXP(-$Q$16)*(Q41)+$Q$12),((EXP(-$Q$16)*(Q41))))</f>
        <v>#DIV/0!</v>
      </c>
      <c r="R42" s="113" t="e">
        <f aca="true" t="shared" si="13" ref="R42:R105">IF((N42&gt;N41),(EXP(-$Q$16)*(R41)+$Q$13),((EXP(-$Q$16)*(R41))))</f>
        <v>#DIV/0!</v>
      </c>
      <c r="S42" s="113" t="e">
        <f aca="true" t="shared" si="14" ref="S42:S105">IF((N42&gt;N41),(EXP(-$Q$16)*(S41)+$Q$14),((EXP(-$Q$16)*(S41))))</f>
        <v>#DIV/0!</v>
      </c>
      <c r="T42" s="43"/>
      <c r="U42" s="43"/>
      <c r="V42" s="525" t="e">
        <f>P42*('upper bound Kenaga'!$F$36/100)</f>
        <v>#DIV/0!</v>
      </c>
      <c r="W42" s="43"/>
      <c r="X42" s="525" t="e">
        <f>P42*('upper bound Kenaga'!$F$96/100)</f>
        <v>#DIV/0!</v>
      </c>
      <c r="Y42" s="43"/>
      <c r="Z42" s="43"/>
      <c r="AA42" s="43"/>
      <c r="AB42" s="43"/>
      <c r="AC42" s="43"/>
      <c r="AD42" s="43"/>
    </row>
    <row r="43" spans="2:30" ht="24" thickBot="1">
      <c r="B43" s="253">
        <f>IF(INPUTS!$D$28="","Warning! You Have Failed to Enter a Toxicity Scaling Factor on the Inputs Page","")</f>
      </c>
      <c r="C43" s="43"/>
      <c r="D43" s="182"/>
      <c r="E43" s="43"/>
      <c r="F43" s="183"/>
      <c r="G43" s="183"/>
      <c r="H43" s="10"/>
      <c r="I43" s="32"/>
      <c r="K43" s="43"/>
      <c r="L43" s="43"/>
      <c r="M43" s="43">
        <f t="shared" si="1"/>
        <v>22</v>
      </c>
      <c r="N43" s="43">
        <f t="shared" si="2"/>
        <v>1</v>
      </c>
      <c r="O43" s="43">
        <f t="shared" si="3"/>
        <v>0</v>
      </c>
      <c r="P43" s="113" t="e">
        <f t="shared" si="11"/>
        <v>#DIV/0!</v>
      </c>
      <c r="Q43" s="113" t="e">
        <f t="shared" si="12"/>
        <v>#DIV/0!</v>
      </c>
      <c r="R43" s="113" t="e">
        <f t="shared" si="13"/>
        <v>#DIV/0!</v>
      </c>
      <c r="S43" s="113" t="e">
        <f t="shared" si="14"/>
        <v>#DIV/0!</v>
      </c>
      <c r="T43" s="43">
        <f t="shared" si="0"/>
        <v>0</v>
      </c>
      <c r="U43" s="43"/>
      <c r="V43" s="525" t="e">
        <f>P43*('upper bound Kenaga'!$F$36/100)</f>
        <v>#DIV/0!</v>
      </c>
      <c r="W43" s="43"/>
      <c r="X43" s="525" t="e">
        <f>P43*('upper bound Kenaga'!$F$96/100)</f>
        <v>#DIV/0!</v>
      </c>
      <c r="Y43" s="43"/>
      <c r="Z43" s="43"/>
      <c r="AA43" s="43"/>
      <c r="AB43" s="43"/>
      <c r="AC43" s="43"/>
      <c r="AD43" s="43"/>
    </row>
    <row r="44" spans="2:30" ht="12.75">
      <c r="B44" s="410" t="s">
        <v>269</v>
      </c>
      <c r="C44" s="418" t="s">
        <v>193</v>
      </c>
      <c r="D44" s="235"/>
      <c r="E44" s="43"/>
      <c r="F44" s="43"/>
      <c r="G44" s="43"/>
      <c r="I44" s="32"/>
      <c r="K44" s="43"/>
      <c r="L44" s="43"/>
      <c r="M44" s="43">
        <f t="shared" si="1"/>
        <v>23</v>
      </c>
      <c r="N44" s="43">
        <f t="shared" si="2"/>
        <v>1</v>
      </c>
      <c r="O44" s="43">
        <f t="shared" si="3"/>
        <v>0</v>
      </c>
      <c r="P44" s="113" t="e">
        <f t="shared" si="11"/>
        <v>#DIV/0!</v>
      </c>
      <c r="Q44" s="113" t="e">
        <f t="shared" si="12"/>
        <v>#DIV/0!</v>
      </c>
      <c r="R44" s="113" t="e">
        <f t="shared" si="13"/>
        <v>#DIV/0!</v>
      </c>
      <c r="S44" s="113" t="e">
        <f t="shared" si="14"/>
        <v>#DIV/0!</v>
      </c>
      <c r="T44" s="43">
        <f t="shared" si="0"/>
        <v>0</v>
      </c>
      <c r="U44" s="43"/>
      <c r="V44" s="525" t="e">
        <f>P44*('upper bound Kenaga'!$F$36/100)</f>
        <v>#DIV/0!</v>
      </c>
      <c r="W44" s="43"/>
      <c r="X44" s="525" t="e">
        <f>P44*('upper bound Kenaga'!$F$96/100)</f>
        <v>#DIV/0!</v>
      </c>
      <c r="Y44" s="43"/>
      <c r="Z44" s="43"/>
      <c r="AA44" s="43"/>
      <c r="AB44" s="43"/>
      <c r="AC44" s="43"/>
      <c r="AD44" s="43"/>
    </row>
    <row r="45" spans="2:30" ht="15">
      <c r="B45" s="414" t="s">
        <v>172</v>
      </c>
      <c r="C45" s="419" t="s">
        <v>275</v>
      </c>
      <c r="D45" s="249"/>
      <c r="E45" s="248"/>
      <c r="F45" s="43"/>
      <c r="G45" s="43"/>
      <c r="K45" s="43"/>
      <c r="L45" s="43"/>
      <c r="M45" s="43">
        <f t="shared" si="1"/>
        <v>24</v>
      </c>
      <c r="N45" s="43">
        <f t="shared" si="2"/>
        <v>1</v>
      </c>
      <c r="O45" s="43">
        <f t="shared" si="3"/>
        <v>0</v>
      </c>
      <c r="P45" s="113" t="e">
        <f t="shared" si="11"/>
        <v>#DIV/0!</v>
      </c>
      <c r="Q45" s="113" t="e">
        <f t="shared" si="12"/>
        <v>#DIV/0!</v>
      </c>
      <c r="R45" s="113" t="e">
        <f t="shared" si="13"/>
        <v>#DIV/0!</v>
      </c>
      <c r="S45" s="113" t="e">
        <f t="shared" si="14"/>
        <v>#DIV/0!</v>
      </c>
      <c r="T45" s="43">
        <f t="shared" si="0"/>
        <v>0</v>
      </c>
      <c r="U45" s="43"/>
      <c r="V45" s="525" t="e">
        <f>P45*('upper bound Kenaga'!$F$36/100)</f>
        <v>#DIV/0!</v>
      </c>
      <c r="W45" s="43"/>
      <c r="X45" s="525" t="e">
        <f>P45*('upper bound Kenaga'!$F$96/100)</f>
        <v>#DIV/0!</v>
      </c>
      <c r="Y45" s="43"/>
      <c r="Z45" s="43"/>
      <c r="AA45" s="43"/>
      <c r="AB45" s="43"/>
      <c r="AC45" s="43"/>
      <c r="AD45" s="43"/>
    </row>
    <row r="46" spans="2:30" ht="12.75">
      <c r="B46" s="491">
        <f>C36</f>
        <v>20</v>
      </c>
      <c r="C46" s="401">
        <f>+IF(INPUTS!$D$24=3,(($D$15)*((C36/INPUTS!$F$24)^(INPUTS!$D$28-1))),IF(INPUTS!$D$24=1,(($D$15)*((C36/178)^(INPUTS!$D$28-1))),(($D$15)*((C36/1580)^(INPUTS!$D$28-1)))))</f>
        <v>0</v>
      </c>
      <c r="D46" s="236"/>
      <c r="E46" s="206">
        <f>IF(INPUTS!$F$24=0,"",IF(INPUTS!$D$24&lt;3,"NOTE:Toxicity adjustments not based on standard assumed test animal body weight",""))</f>
      </c>
      <c r="F46" s="43"/>
      <c r="G46" s="43"/>
      <c r="K46" s="43"/>
      <c r="L46" s="43"/>
      <c r="M46" s="43">
        <f t="shared" si="1"/>
        <v>25</v>
      </c>
      <c r="N46" s="43">
        <f t="shared" si="2"/>
        <v>1</v>
      </c>
      <c r="O46" s="43">
        <f t="shared" si="3"/>
        <v>0</v>
      </c>
      <c r="P46" s="113" t="e">
        <f t="shared" si="11"/>
        <v>#DIV/0!</v>
      </c>
      <c r="Q46" s="113" t="e">
        <f t="shared" si="12"/>
        <v>#DIV/0!</v>
      </c>
      <c r="R46" s="113" t="e">
        <f t="shared" si="13"/>
        <v>#DIV/0!</v>
      </c>
      <c r="S46" s="113" t="e">
        <f t="shared" si="14"/>
        <v>#DIV/0!</v>
      </c>
      <c r="T46" s="43">
        <f t="shared" si="0"/>
        <v>0</v>
      </c>
      <c r="U46" s="43"/>
      <c r="V46" s="525" t="e">
        <f>P46*('upper bound Kenaga'!$F$36/100)</f>
        <v>#DIV/0!</v>
      </c>
      <c r="W46" s="43"/>
      <c r="X46" s="525" t="e">
        <f>P46*('upper bound Kenaga'!$F$96/100)</f>
        <v>#DIV/0!</v>
      </c>
      <c r="Y46" s="43"/>
      <c r="Z46" s="43"/>
      <c r="AA46" s="43"/>
      <c r="AB46" s="43"/>
      <c r="AC46" s="43"/>
      <c r="AD46" s="43"/>
    </row>
    <row r="47" spans="2:30" ht="12.75">
      <c r="B47" s="491">
        <f>C37</f>
        <v>100</v>
      </c>
      <c r="C47" s="401">
        <f>+IF(INPUTS!$D$24=3,(($D$15)*((C37/INPUTS!$F$24)^(INPUTS!$D$28-1))),IF(INPUTS!$D$24=1,(($D$15)*((C37/178)^(INPUTS!$D$28-1))),(($D$15)*((C37/1580)^(INPUTS!$D$28-1)))))</f>
        <v>0</v>
      </c>
      <c r="D47" s="236"/>
      <c r="E47" s="206">
        <f>IF(INPUTS!$F$24=0,"",IF(INPUTS!$D$24&lt;3,"NOTE:Toxicity adjustments not based on standard assumed test animal body weight",""))</f>
      </c>
      <c r="F47" s="43"/>
      <c r="G47" s="43"/>
      <c r="K47" s="43"/>
      <c r="L47" s="43"/>
      <c r="M47" s="43">
        <f t="shared" si="1"/>
        <v>26</v>
      </c>
      <c r="N47" s="43">
        <f t="shared" si="2"/>
        <v>1</v>
      </c>
      <c r="O47" s="43">
        <f t="shared" si="3"/>
        <v>0</v>
      </c>
      <c r="P47" s="113" t="e">
        <f t="shared" si="11"/>
        <v>#DIV/0!</v>
      </c>
      <c r="Q47" s="113" t="e">
        <f t="shared" si="12"/>
        <v>#DIV/0!</v>
      </c>
      <c r="R47" s="113" t="e">
        <f t="shared" si="13"/>
        <v>#DIV/0!</v>
      </c>
      <c r="S47" s="113" t="e">
        <f t="shared" si="14"/>
        <v>#DIV/0!</v>
      </c>
      <c r="T47" s="43">
        <f t="shared" si="0"/>
        <v>0</v>
      </c>
      <c r="U47" s="43"/>
      <c r="V47" s="525" t="e">
        <f>P47*('upper bound Kenaga'!$F$36/100)</f>
        <v>#DIV/0!</v>
      </c>
      <c r="W47" s="43"/>
      <c r="X47" s="525" t="e">
        <f>P47*('upper bound Kenaga'!$F$96/100)</f>
        <v>#DIV/0!</v>
      </c>
      <c r="Y47" s="43"/>
      <c r="Z47" s="43"/>
      <c r="AA47" s="43"/>
      <c r="AB47" s="43"/>
      <c r="AC47" s="43"/>
      <c r="AD47" s="43"/>
    </row>
    <row r="48" spans="2:30" ht="13.5" thickBot="1">
      <c r="B48" s="396">
        <f>C38</f>
        <v>1000</v>
      </c>
      <c r="C48" s="402">
        <f>+IF(INPUTS!$D$24=3,(($D$15)*((C38/INPUTS!$F$24)^(INPUTS!$D$28-1))),IF(INPUTS!$D$24=1,(($D$15)*((C38/178)^(INPUTS!$D$28-1))),(($D$15)*((C38/1580)^(INPUTS!$D$28-1)))))</f>
        <v>0</v>
      </c>
      <c r="D48" s="236"/>
      <c r="E48" s="206">
        <f>IF(INPUTS!$F$24=0,"",IF(INPUTS!$D$24&lt;3,"NOTE:Toxicity adjustments not based on standard assumed test animal body weight",""))</f>
      </c>
      <c r="F48" s="43"/>
      <c r="G48" s="43"/>
      <c r="K48" s="43"/>
      <c r="L48" s="43"/>
      <c r="M48" s="43">
        <f t="shared" si="1"/>
        <v>27</v>
      </c>
      <c r="N48" s="43">
        <f t="shared" si="2"/>
        <v>1</v>
      </c>
      <c r="O48" s="43">
        <f t="shared" si="3"/>
        <v>0</v>
      </c>
      <c r="P48" s="113" t="e">
        <f t="shared" si="11"/>
        <v>#DIV/0!</v>
      </c>
      <c r="Q48" s="113" t="e">
        <f t="shared" si="12"/>
        <v>#DIV/0!</v>
      </c>
      <c r="R48" s="113" t="e">
        <f t="shared" si="13"/>
        <v>#DIV/0!</v>
      </c>
      <c r="S48" s="113" t="e">
        <f t="shared" si="14"/>
        <v>#DIV/0!</v>
      </c>
      <c r="T48" s="43">
        <f t="shared" si="0"/>
        <v>0</v>
      </c>
      <c r="U48" s="43"/>
      <c r="V48" s="525" t="e">
        <f>P48*('upper bound Kenaga'!$F$36/100)</f>
        <v>#DIV/0!</v>
      </c>
      <c r="W48" s="43"/>
      <c r="X48" s="525" t="e">
        <f>P48*('upper bound Kenaga'!$F$96/100)</f>
        <v>#DIV/0!</v>
      </c>
      <c r="Y48" s="43"/>
      <c r="Z48" s="43"/>
      <c r="AA48" s="43"/>
      <c r="AB48" s="43"/>
      <c r="AC48" s="43"/>
      <c r="AD48" s="43"/>
    </row>
    <row r="49" spans="6:30" ht="13.5" thickBot="1">
      <c r="F49" s="29"/>
      <c r="G49" s="29"/>
      <c r="K49" s="43"/>
      <c r="L49" s="43"/>
      <c r="M49" s="43">
        <f t="shared" si="1"/>
        <v>28</v>
      </c>
      <c r="N49" s="43">
        <f t="shared" si="2"/>
        <v>1</v>
      </c>
      <c r="O49" s="43">
        <f t="shared" si="3"/>
        <v>0</v>
      </c>
      <c r="P49" s="113" t="e">
        <f t="shared" si="11"/>
        <v>#DIV/0!</v>
      </c>
      <c r="Q49" s="113" t="e">
        <f t="shared" si="12"/>
        <v>#DIV/0!</v>
      </c>
      <c r="R49" s="113" t="e">
        <f t="shared" si="13"/>
        <v>#DIV/0!</v>
      </c>
      <c r="S49" s="113" t="e">
        <f t="shared" si="14"/>
        <v>#DIV/0!</v>
      </c>
      <c r="T49" s="43">
        <f t="shared" si="0"/>
        <v>0</v>
      </c>
      <c r="U49" s="43"/>
      <c r="V49" s="525" t="e">
        <f>P49*('upper bound Kenaga'!$F$36/100)</f>
        <v>#DIV/0!</v>
      </c>
      <c r="W49" s="43"/>
      <c r="X49" s="525" t="e">
        <f>P49*('upper bound Kenaga'!$F$96/100)</f>
        <v>#DIV/0!</v>
      </c>
      <c r="Y49" s="43"/>
      <c r="Z49" s="43"/>
      <c r="AA49" s="43"/>
      <c r="AB49" s="43"/>
      <c r="AC49" s="43"/>
      <c r="AD49" s="43"/>
    </row>
    <row r="50" spans="1:30" ht="12.75">
      <c r="A50" s="851" t="s">
        <v>346</v>
      </c>
      <c r="B50" s="825" t="s">
        <v>450</v>
      </c>
      <c r="C50" s="826"/>
      <c r="D50" s="826"/>
      <c r="E50" s="827"/>
      <c r="F50" s="827"/>
      <c r="G50" s="828"/>
      <c r="K50" s="43"/>
      <c r="L50" s="43"/>
      <c r="M50" s="43">
        <f t="shared" si="1"/>
        <v>29</v>
      </c>
      <c r="N50" s="43">
        <f t="shared" si="2"/>
        <v>1</v>
      </c>
      <c r="O50" s="43">
        <f t="shared" si="3"/>
        <v>0</v>
      </c>
      <c r="P50" s="113" t="e">
        <f t="shared" si="11"/>
        <v>#DIV/0!</v>
      </c>
      <c r="Q50" s="113" t="e">
        <f t="shared" si="12"/>
        <v>#DIV/0!</v>
      </c>
      <c r="R50" s="113" t="e">
        <f t="shared" si="13"/>
        <v>#DIV/0!</v>
      </c>
      <c r="S50" s="113" t="e">
        <f t="shared" si="14"/>
        <v>#DIV/0!</v>
      </c>
      <c r="T50" s="43">
        <f t="shared" si="0"/>
        <v>0</v>
      </c>
      <c r="U50" s="43"/>
      <c r="V50" s="525" t="e">
        <f>P50*('upper bound Kenaga'!$F$36/100)</f>
        <v>#DIV/0!</v>
      </c>
      <c r="W50" s="43"/>
      <c r="X50" s="525" t="e">
        <f>P50*('upper bound Kenaga'!$F$96/100)</f>
        <v>#DIV/0!</v>
      </c>
      <c r="Y50" s="43"/>
      <c r="Z50" s="43"/>
      <c r="AA50" s="43"/>
      <c r="AB50" s="43"/>
      <c r="AC50" s="43"/>
      <c r="AD50" s="43"/>
    </row>
    <row r="51" spans="1:30" ht="12.75">
      <c r="A51" s="852"/>
      <c r="B51" s="420" t="s">
        <v>72</v>
      </c>
      <c r="C51" s="421" t="s">
        <v>73</v>
      </c>
      <c r="D51" s="422" t="s">
        <v>74</v>
      </c>
      <c r="E51" s="868" t="s">
        <v>452</v>
      </c>
      <c r="F51" s="869"/>
      <c r="G51" s="870"/>
      <c r="K51" s="43"/>
      <c r="L51" s="43"/>
      <c r="M51" s="43">
        <f t="shared" si="1"/>
        <v>30</v>
      </c>
      <c r="N51" s="43">
        <f t="shared" si="2"/>
        <v>1</v>
      </c>
      <c r="O51" s="43">
        <f t="shared" si="3"/>
        <v>0</v>
      </c>
      <c r="P51" s="113" t="e">
        <f t="shared" si="11"/>
        <v>#DIV/0!</v>
      </c>
      <c r="Q51" s="113" t="e">
        <f t="shared" si="12"/>
        <v>#DIV/0!</v>
      </c>
      <c r="R51" s="113" t="e">
        <f t="shared" si="13"/>
        <v>#DIV/0!</v>
      </c>
      <c r="S51" s="113" t="e">
        <f t="shared" si="14"/>
        <v>#DIV/0!</v>
      </c>
      <c r="T51" s="43">
        <f t="shared" si="0"/>
        <v>0</v>
      </c>
      <c r="U51" s="43"/>
      <c r="V51" s="525" t="e">
        <f>P51*('upper bound Kenaga'!$F$36/100)</f>
        <v>#DIV/0!</v>
      </c>
      <c r="W51" s="43"/>
      <c r="X51" s="525" t="e">
        <f>P51*('upper bound Kenaga'!$F$96/100)</f>
        <v>#DIV/0!</v>
      </c>
      <c r="Y51" s="43"/>
      <c r="Z51" s="43"/>
      <c r="AA51" s="43"/>
      <c r="AB51" s="43"/>
      <c r="AC51" s="43"/>
      <c r="AD51" s="43"/>
    </row>
    <row r="52" spans="1:30" ht="13.5" customHeight="1" thickBot="1">
      <c r="A52" s="853"/>
      <c r="B52" s="495">
        <f>C36</f>
        <v>20</v>
      </c>
      <c r="C52" s="496">
        <f>C37</f>
        <v>100</v>
      </c>
      <c r="D52" s="423">
        <f>C38</f>
        <v>1000</v>
      </c>
      <c r="E52" s="510">
        <f>B52</f>
        <v>20</v>
      </c>
      <c r="F52" s="511">
        <f>C52</f>
        <v>100</v>
      </c>
      <c r="G52" s="423">
        <f>D52</f>
        <v>1000</v>
      </c>
      <c r="K52" s="43"/>
      <c r="L52" s="43"/>
      <c r="M52" s="43">
        <f t="shared" si="1"/>
        <v>31</v>
      </c>
      <c r="N52" s="43">
        <f t="shared" si="2"/>
        <v>1</v>
      </c>
      <c r="O52" s="43">
        <f t="shared" si="3"/>
        <v>0</v>
      </c>
      <c r="P52" s="113" t="e">
        <f t="shared" si="11"/>
        <v>#DIV/0!</v>
      </c>
      <c r="Q52" s="113" t="e">
        <f t="shared" si="12"/>
        <v>#DIV/0!</v>
      </c>
      <c r="R52" s="113" t="e">
        <f t="shared" si="13"/>
        <v>#DIV/0!</v>
      </c>
      <c r="S52" s="113" t="e">
        <f t="shared" si="14"/>
        <v>#DIV/0!</v>
      </c>
      <c r="T52" s="43">
        <f t="shared" si="0"/>
        <v>0</v>
      </c>
      <c r="U52" s="43"/>
      <c r="V52" s="525" t="e">
        <f>P52*('upper bound Kenaga'!$F$36/100)</f>
        <v>#DIV/0!</v>
      </c>
      <c r="W52" s="43"/>
      <c r="X52" s="525" t="e">
        <f>P52*('upper bound Kenaga'!$F$96/100)</f>
        <v>#DIV/0!</v>
      </c>
      <c r="Y52" s="43"/>
      <c r="Z52" s="43"/>
      <c r="AA52" s="43"/>
      <c r="AB52" s="43"/>
      <c r="AC52" s="43"/>
      <c r="AD52" s="43"/>
    </row>
    <row r="53" spans="1:30" ht="13.5" thickTop="1">
      <c r="A53" s="387" t="s">
        <v>18</v>
      </c>
      <c r="B53" s="427" t="e">
        <f>B27*($G$36/($C$36/1000))</f>
        <v>#DIV/0!</v>
      </c>
      <c r="C53" s="427" t="e">
        <f>B27*($G$37/(C$37/1000))</f>
        <v>#DIV/0!</v>
      </c>
      <c r="D53" s="385" t="e">
        <f>B27*($G$38/(C$38/1000))</f>
        <v>#DIV/0!</v>
      </c>
      <c r="E53" s="462"/>
      <c r="F53" s="462"/>
      <c r="G53" s="463"/>
      <c r="K53" s="43"/>
      <c r="L53" s="43"/>
      <c r="M53" s="43">
        <f t="shared" si="1"/>
        <v>32</v>
      </c>
      <c r="N53" s="43">
        <f t="shared" si="2"/>
        <v>1</v>
      </c>
      <c r="O53" s="43">
        <f t="shared" si="3"/>
        <v>0</v>
      </c>
      <c r="P53" s="113" t="e">
        <f t="shared" si="11"/>
        <v>#DIV/0!</v>
      </c>
      <c r="Q53" s="113" t="e">
        <f t="shared" si="12"/>
        <v>#DIV/0!</v>
      </c>
      <c r="R53" s="113" t="e">
        <f t="shared" si="13"/>
        <v>#DIV/0!</v>
      </c>
      <c r="S53" s="113" t="e">
        <f t="shared" si="14"/>
        <v>#DIV/0!</v>
      </c>
      <c r="T53" s="43">
        <f t="shared" si="0"/>
        <v>0</v>
      </c>
      <c r="U53" s="43"/>
      <c r="V53" s="525" t="e">
        <f>P53*('upper bound Kenaga'!$F$36/100)</f>
        <v>#DIV/0!</v>
      </c>
      <c r="W53" s="43"/>
      <c r="X53" s="525" t="e">
        <f>P53*('upper bound Kenaga'!$F$96/100)</f>
        <v>#DIV/0!</v>
      </c>
      <c r="Y53" s="43"/>
      <c r="Z53" s="43"/>
      <c r="AA53" s="43"/>
      <c r="AB53" s="43"/>
      <c r="AC53" s="43"/>
      <c r="AD53" s="43"/>
    </row>
    <row r="54" spans="1:30" ht="12.75" customHeight="1">
      <c r="A54" s="387" t="s">
        <v>21</v>
      </c>
      <c r="B54" s="427" t="e">
        <f>B28*($G$36/($C$36/1000))</f>
        <v>#DIV/0!</v>
      </c>
      <c r="C54" s="427" t="e">
        <f>B28*($G$37/(C$37/1000))</f>
        <v>#DIV/0!</v>
      </c>
      <c r="D54" s="385" t="e">
        <f>B28*($G$38/(C$38/1000))</f>
        <v>#DIV/0!</v>
      </c>
      <c r="E54" s="464"/>
      <c r="F54" s="464"/>
      <c r="G54" s="463"/>
      <c r="I54" s="11"/>
      <c r="K54" s="43"/>
      <c r="L54" s="43"/>
      <c r="M54" s="43">
        <f t="shared" si="1"/>
        <v>33</v>
      </c>
      <c r="N54" s="43">
        <f t="shared" si="2"/>
        <v>1</v>
      </c>
      <c r="O54" s="43">
        <f t="shared" si="3"/>
        <v>0</v>
      </c>
      <c r="P54" s="113" t="e">
        <f t="shared" si="11"/>
        <v>#DIV/0!</v>
      </c>
      <c r="Q54" s="113" t="e">
        <f t="shared" si="12"/>
        <v>#DIV/0!</v>
      </c>
      <c r="R54" s="113" t="e">
        <f t="shared" si="13"/>
        <v>#DIV/0!</v>
      </c>
      <c r="S54" s="113" t="e">
        <f t="shared" si="14"/>
        <v>#DIV/0!</v>
      </c>
      <c r="T54" s="43">
        <f t="shared" si="0"/>
        <v>0</v>
      </c>
      <c r="U54" s="43"/>
      <c r="V54" s="525" t="e">
        <f>P54*('upper bound Kenaga'!$F$36/100)</f>
        <v>#DIV/0!</v>
      </c>
      <c r="W54" s="43"/>
      <c r="X54" s="525" t="e">
        <f>P54*('upper bound Kenaga'!$F$96/100)</f>
        <v>#DIV/0!</v>
      </c>
      <c r="Y54" s="43"/>
      <c r="Z54" s="43"/>
      <c r="AA54" s="43"/>
      <c r="AB54" s="43"/>
      <c r="AC54" s="43"/>
      <c r="AD54" s="43"/>
    </row>
    <row r="55" spans="1:30" ht="12.75">
      <c r="A55" s="387" t="s">
        <v>37</v>
      </c>
      <c r="B55" s="427" t="e">
        <f>B29*($G$36/($C$36/1000))</f>
        <v>#DIV/0!</v>
      </c>
      <c r="C55" s="427" t="e">
        <f>B29*($G$37/(C$37/1000))</f>
        <v>#DIV/0!</v>
      </c>
      <c r="D55" s="385" t="e">
        <f>B29*($G$38/(C$38/1000))</f>
        <v>#DIV/0!</v>
      </c>
      <c r="E55" s="464"/>
      <c r="F55" s="464"/>
      <c r="G55" s="463"/>
      <c r="I55" s="11"/>
      <c r="K55" s="43"/>
      <c r="L55" s="43"/>
      <c r="M55" s="43">
        <f t="shared" si="1"/>
        <v>34</v>
      </c>
      <c r="N55" s="43">
        <f t="shared" si="2"/>
        <v>1</v>
      </c>
      <c r="O55" s="43">
        <f t="shared" si="3"/>
        <v>0</v>
      </c>
      <c r="P55" s="113" t="e">
        <f t="shared" si="11"/>
        <v>#DIV/0!</v>
      </c>
      <c r="Q55" s="113" t="e">
        <f t="shared" si="12"/>
        <v>#DIV/0!</v>
      </c>
      <c r="R55" s="113" t="e">
        <f t="shared" si="13"/>
        <v>#DIV/0!</v>
      </c>
      <c r="S55" s="113" t="e">
        <f t="shared" si="14"/>
        <v>#DIV/0!</v>
      </c>
      <c r="T55" s="43">
        <f t="shared" si="0"/>
        <v>0</v>
      </c>
      <c r="U55" s="43"/>
      <c r="V55" s="525" t="e">
        <f>P55*('upper bound Kenaga'!$F$36/100)</f>
        <v>#DIV/0!</v>
      </c>
      <c r="W55" s="43"/>
      <c r="X55" s="525" t="e">
        <f>P55*('upper bound Kenaga'!$F$96/100)</f>
        <v>#DIV/0!</v>
      </c>
      <c r="Y55" s="43"/>
      <c r="Z55" s="43"/>
      <c r="AA55" s="43"/>
      <c r="AB55" s="43"/>
      <c r="AC55" s="43"/>
      <c r="AD55" s="43"/>
    </row>
    <row r="56" spans="1:30" ht="12.75" customHeight="1">
      <c r="A56" s="492" t="s">
        <v>194</v>
      </c>
      <c r="B56" s="493" t="e">
        <f>B30*($G$36/($C$36/1000))</f>
        <v>#DIV/0!</v>
      </c>
      <c r="C56" s="493" t="e">
        <f>B30*($G$37/(C$37/1000))</f>
        <v>#DIV/0!</v>
      </c>
      <c r="D56" s="494" t="e">
        <f>B30*($G$38/(C$38/1000))</f>
        <v>#DIV/0!</v>
      </c>
      <c r="E56" s="673" t="e">
        <f>B30*(G39/(C39/1000))</f>
        <v>#DIV/0!</v>
      </c>
      <c r="F56" s="493" t="e">
        <f>B30*(G40/(C40/1000))</f>
        <v>#DIV/0!</v>
      </c>
      <c r="G56" s="494" t="e">
        <f>B30*(G41/(C41/1000))</f>
        <v>#DIV/0!</v>
      </c>
      <c r="I56" s="11"/>
      <c r="K56" s="43"/>
      <c r="L56" s="43"/>
      <c r="M56" s="43">
        <f t="shared" si="1"/>
        <v>35</v>
      </c>
      <c r="N56" s="43">
        <f t="shared" si="2"/>
        <v>1</v>
      </c>
      <c r="O56" s="43">
        <f t="shared" si="3"/>
        <v>0</v>
      </c>
      <c r="P56" s="113" t="e">
        <f t="shared" si="11"/>
        <v>#DIV/0!</v>
      </c>
      <c r="Q56" s="113" t="e">
        <f t="shared" si="12"/>
        <v>#DIV/0!</v>
      </c>
      <c r="R56" s="113" t="e">
        <f t="shared" si="13"/>
        <v>#DIV/0!</v>
      </c>
      <c r="S56" s="113" t="e">
        <f t="shared" si="14"/>
        <v>#DIV/0!</v>
      </c>
      <c r="T56" s="43">
        <f t="shared" si="0"/>
        <v>0</v>
      </c>
      <c r="U56" s="43"/>
      <c r="V56" s="525" t="e">
        <f>P56*('upper bound Kenaga'!$F$36/100)</f>
        <v>#DIV/0!</v>
      </c>
      <c r="W56" s="43"/>
      <c r="X56" s="525" t="e">
        <f>P56*('upper bound Kenaga'!$F$96/100)</f>
        <v>#DIV/0!</v>
      </c>
      <c r="Y56" s="43"/>
      <c r="Z56" s="43"/>
      <c r="AA56" s="43"/>
      <c r="AB56" s="43"/>
      <c r="AC56" s="43"/>
      <c r="AD56" s="43"/>
    </row>
    <row r="57" spans="1:30" ht="12.75" customHeight="1" hidden="1">
      <c r="A57" s="43"/>
      <c r="E57" s="28"/>
      <c r="I57" s="11"/>
      <c r="K57" s="43"/>
      <c r="L57" s="43"/>
      <c r="M57" s="43">
        <f t="shared" si="1"/>
        <v>36</v>
      </c>
      <c r="N57" s="43">
        <f t="shared" si="2"/>
        <v>1</v>
      </c>
      <c r="O57" s="43">
        <f t="shared" si="3"/>
        <v>0</v>
      </c>
      <c r="P57" s="113" t="e">
        <f t="shared" si="11"/>
        <v>#DIV/0!</v>
      </c>
      <c r="Q57" s="113" t="e">
        <f t="shared" si="12"/>
        <v>#DIV/0!</v>
      </c>
      <c r="R57" s="113" t="e">
        <f t="shared" si="13"/>
        <v>#DIV/0!</v>
      </c>
      <c r="S57" s="113" t="e">
        <f t="shared" si="14"/>
        <v>#DIV/0!</v>
      </c>
      <c r="T57" s="43">
        <f t="shared" si="0"/>
        <v>0</v>
      </c>
      <c r="U57" s="43"/>
      <c r="V57" s="525" t="e">
        <f>P57*('upper bound Kenaga'!$F$36/100)</f>
        <v>#DIV/0!</v>
      </c>
      <c r="W57" s="43"/>
      <c r="X57" s="525" t="e">
        <f>P57*('upper bound Kenaga'!$F$96/100)</f>
        <v>#DIV/0!</v>
      </c>
      <c r="Y57" s="43"/>
      <c r="Z57" s="43"/>
      <c r="AA57" s="43"/>
      <c r="AB57" s="43"/>
      <c r="AC57" s="43"/>
      <c r="AD57" s="43"/>
    </row>
    <row r="58" spans="1:30" ht="12.75" customHeight="1" hidden="1">
      <c r="A58" s="854"/>
      <c r="B58" s="856"/>
      <c r="C58" s="857"/>
      <c r="D58" s="857"/>
      <c r="E58" s="28"/>
      <c r="F58" s="849"/>
      <c r="G58" s="850"/>
      <c r="I58" s="12"/>
      <c r="K58" s="43"/>
      <c r="L58" s="43"/>
      <c r="M58" s="43">
        <f t="shared" si="1"/>
        <v>37</v>
      </c>
      <c r="N58" s="43">
        <f t="shared" si="2"/>
        <v>1</v>
      </c>
      <c r="O58" s="43">
        <f t="shared" si="3"/>
        <v>0</v>
      </c>
      <c r="P58" s="113" t="e">
        <f t="shared" si="11"/>
        <v>#DIV/0!</v>
      </c>
      <c r="Q58" s="113" t="e">
        <f t="shared" si="12"/>
        <v>#DIV/0!</v>
      </c>
      <c r="R58" s="113" t="e">
        <f t="shared" si="13"/>
        <v>#DIV/0!</v>
      </c>
      <c r="S58" s="113" t="e">
        <f t="shared" si="14"/>
        <v>#DIV/0!</v>
      </c>
      <c r="T58" s="43">
        <f t="shared" si="0"/>
        <v>0</v>
      </c>
      <c r="U58" s="43"/>
      <c r="V58" s="525" t="e">
        <f>P58*('upper bound Kenaga'!$F$36/100)</f>
        <v>#DIV/0!</v>
      </c>
      <c r="W58" s="43"/>
      <c r="X58" s="525" t="e">
        <f>P58*('upper bound Kenaga'!$F$96/100)</f>
        <v>#DIV/0!</v>
      </c>
      <c r="Y58" s="43"/>
      <c r="Z58" s="43"/>
      <c r="AA58" s="43"/>
      <c r="AB58" s="43"/>
      <c r="AC58" s="43"/>
      <c r="AD58" s="43"/>
    </row>
    <row r="59" spans="1:30" ht="12.75" customHeight="1" hidden="1">
      <c r="A59" s="855"/>
      <c r="B59" s="237"/>
      <c r="C59" s="238"/>
      <c r="D59" s="238"/>
      <c r="E59" s="29"/>
      <c r="F59" s="99"/>
      <c r="G59" s="99"/>
      <c r="I59" s="12"/>
      <c r="K59" s="43"/>
      <c r="L59" s="43"/>
      <c r="M59" s="43">
        <f t="shared" si="1"/>
        <v>38</v>
      </c>
      <c r="N59" s="43">
        <f t="shared" si="2"/>
        <v>1</v>
      </c>
      <c r="O59" s="43">
        <f t="shared" si="3"/>
        <v>0</v>
      </c>
      <c r="P59" s="113" t="e">
        <f t="shared" si="11"/>
        <v>#DIV/0!</v>
      </c>
      <c r="Q59" s="113" t="e">
        <f t="shared" si="12"/>
        <v>#DIV/0!</v>
      </c>
      <c r="R59" s="113" t="e">
        <f t="shared" si="13"/>
        <v>#DIV/0!</v>
      </c>
      <c r="S59" s="113" t="e">
        <f t="shared" si="14"/>
        <v>#DIV/0!</v>
      </c>
      <c r="T59" s="43">
        <f t="shared" si="0"/>
        <v>0</v>
      </c>
      <c r="U59" s="43"/>
      <c r="V59" s="525" t="e">
        <f>P59*('upper bound Kenaga'!$F$36/100)</f>
        <v>#DIV/0!</v>
      </c>
      <c r="W59" s="43"/>
      <c r="X59" s="525" t="e">
        <f>P59*('upper bound Kenaga'!$F$96/100)</f>
        <v>#DIV/0!</v>
      </c>
      <c r="Y59" s="43"/>
      <c r="Z59" s="43"/>
      <c r="AA59" s="43"/>
      <c r="AB59" s="43"/>
      <c r="AC59" s="43"/>
      <c r="AD59" s="43"/>
    </row>
    <row r="60" spans="1:30" ht="13.5" customHeight="1" hidden="1">
      <c r="A60" s="855"/>
      <c r="B60" s="239"/>
      <c r="C60" s="237"/>
      <c r="D60" s="237"/>
      <c r="F60" s="26"/>
      <c r="G60" s="26"/>
      <c r="I60" s="12"/>
      <c r="K60" s="43"/>
      <c r="L60" s="43"/>
      <c r="M60" s="43">
        <f t="shared" si="1"/>
        <v>39</v>
      </c>
      <c r="N60" s="43">
        <f t="shared" si="2"/>
        <v>1</v>
      </c>
      <c r="O60" s="43">
        <f t="shared" si="3"/>
        <v>0</v>
      </c>
      <c r="P60" s="113" t="e">
        <f t="shared" si="11"/>
        <v>#DIV/0!</v>
      </c>
      <c r="Q60" s="113" t="e">
        <f t="shared" si="12"/>
        <v>#DIV/0!</v>
      </c>
      <c r="R60" s="113" t="e">
        <f t="shared" si="13"/>
        <v>#DIV/0!</v>
      </c>
      <c r="S60" s="113" t="e">
        <f t="shared" si="14"/>
        <v>#DIV/0!</v>
      </c>
      <c r="T60" s="43">
        <f t="shared" si="0"/>
        <v>0</v>
      </c>
      <c r="U60" s="43"/>
      <c r="V60" s="525" t="e">
        <f>P60*('upper bound Kenaga'!$F$36/100)</f>
        <v>#DIV/0!</v>
      </c>
      <c r="W60" s="43"/>
      <c r="X60" s="525" t="e">
        <f>P60*('upper bound Kenaga'!$F$96/100)</f>
        <v>#DIV/0!</v>
      </c>
      <c r="Y60" s="43"/>
      <c r="Z60" s="43"/>
      <c r="AA60" s="43"/>
      <c r="AB60" s="43"/>
      <c r="AC60" s="43"/>
      <c r="AD60" s="43"/>
    </row>
    <row r="61" spans="1:30" ht="12.75" hidden="1">
      <c r="A61" s="240"/>
      <c r="B61" s="241"/>
      <c r="C61" s="241"/>
      <c r="D61" s="241"/>
      <c r="F61" s="13"/>
      <c r="G61" s="13"/>
      <c r="I61" s="12"/>
      <c r="K61" s="43"/>
      <c r="L61" s="43"/>
      <c r="M61" s="43">
        <f t="shared" si="1"/>
        <v>40</v>
      </c>
      <c r="N61" s="43">
        <f t="shared" si="2"/>
        <v>1</v>
      </c>
      <c r="O61" s="43">
        <f t="shared" si="3"/>
        <v>0</v>
      </c>
      <c r="P61" s="113" t="e">
        <f t="shared" si="11"/>
        <v>#DIV/0!</v>
      </c>
      <c r="Q61" s="113" t="e">
        <f t="shared" si="12"/>
        <v>#DIV/0!</v>
      </c>
      <c r="R61" s="113" t="e">
        <f t="shared" si="13"/>
        <v>#DIV/0!</v>
      </c>
      <c r="S61" s="113" t="e">
        <f t="shared" si="14"/>
        <v>#DIV/0!</v>
      </c>
      <c r="T61" s="43">
        <f t="shared" si="0"/>
        <v>0</v>
      </c>
      <c r="U61" s="43"/>
      <c r="V61" s="525" t="e">
        <f>P61*('upper bound Kenaga'!$F$36/100)</f>
        <v>#DIV/0!</v>
      </c>
      <c r="W61" s="43"/>
      <c r="X61" s="525" t="e">
        <f>P61*('upper bound Kenaga'!$F$96/100)</f>
        <v>#DIV/0!</v>
      </c>
      <c r="Y61" s="43"/>
      <c r="Z61" s="43"/>
      <c r="AA61" s="43"/>
      <c r="AB61" s="43"/>
      <c r="AC61" s="43"/>
      <c r="AD61" s="43"/>
    </row>
    <row r="62" spans="1:30" ht="12.75" hidden="1">
      <c r="A62" s="240"/>
      <c r="B62" s="241"/>
      <c r="C62" s="241"/>
      <c r="D62" s="241"/>
      <c r="F62" s="13"/>
      <c r="G62" s="13"/>
      <c r="K62" s="43"/>
      <c r="L62" s="43"/>
      <c r="M62" s="43">
        <f t="shared" si="1"/>
        <v>41</v>
      </c>
      <c r="N62" s="43">
        <f t="shared" si="2"/>
        <v>1</v>
      </c>
      <c r="O62" s="43">
        <f t="shared" si="3"/>
        <v>0</v>
      </c>
      <c r="P62" s="113" t="e">
        <f t="shared" si="11"/>
        <v>#DIV/0!</v>
      </c>
      <c r="Q62" s="113" t="e">
        <f t="shared" si="12"/>
        <v>#DIV/0!</v>
      </c>
      <c r="R62" s="113" t="e">
        <f t="shared" si="13"/>
        <v>#DIV/0!</v>
      </c>
      <c r="S62" s="113" t="e">
        <f t="shared" si="14"/>
        <v>#DIV/0!</v>
      </c>
      <c r="T62" s="43">
        <f t="shared" si="0"/>
        <v>0</v>
      </c>
      <c r="U62" s="43"/>
      <c r="V62" s="525" t="e">
        <f>P62*('upper bound Kenaga'!$F$36/100)</f>
        <v>#DIV/0!</v>
      </c>
      <c r="W62" s="43"/>
      <c r="X62" s="525" t="e">
        <f>P62*('upper bound Kenaga'!$F$96/100)</f>
        <v>#DIV/0!</v>
      </c>
      <c r="Y62" s="43"/>
      <c r="Z62" s="43"/>
      <c r="AA62" s="43"/>
      <c r="AB62" s="43"/>
      <c r="AC62" s="43"/>
      <c r="AD62" s="43"/>
    </row>
    <row r="63" spans="1:30" ht="12.75" hidden="1">
      <c r="A63" s="240"/>
      <c r="B63" s="241"/>
      <c r="C63" s="241"/>
      <c r="D63" s="241"/>
      <c r="F63" s="13"/>
      <c r="G63" s="13"/>
      <c r="K63" s="43"/>
      <c r="L63" s="43"/>
      <c r="M63" s="43">
        <f t="shared" si="1"/>
        <v>42</v>
      </c>
      <c r="N63" s="43">
        <f t="shared" si="2"/>
        <v>1</v>
      </c>
      <c r="O63" s="43">
        <f t="shared" si="3"/>
        <v>0</v>
      </c>
      <c r="P63" s="113" t="e">
        <f t="shared" si="11"/>
        <v>#DIV/0!</v>
      </c>
      <c r="Q63" s="113" t="e">
        <f t="shared" si="12"/>
        <v>#DIV/0!</v>
      </c>
      <c r="R63" s="113" t="e">
        <f t="shared" si="13"/>
        <v>#DIV/0!</v>
      </c>
      <c r="S63" s="113" t="e">
        <f t="shared" si="14"/>
        <v>#DIV/0!</v>
      </c>
      <c r="T63" s="43">
        <f t="shared" si="0"/>
        <v>0</v>
      </c>
      <c r="U63" s="43"/>
      <c r="V63" s="525" t="e">
        <f>P63*('upper bound Kenaga'!$F$36/100)</f>
        <v>#DIV/0!</v>
      </c>
      <c r="W63" s="43"/>
      <c r="X63" s="525" t="e">
        <f>P63*('upper bound Kenaga'!$F$96/100)</f>
        <v>#DIV/0!</v>
      </c>
      <c r="Y63" s="43"/>
      <c r="Z63" s="43"/>
      <c r="AA63" s="43"/>
      <c r="AB63" s="43"/>
      <c r="AC63" s="43"/>
      <c r="AD63" s="43"/>
    </row>
    <row r="64" spans="1:30" ht="12.75">
      <c r="A64" s="240"/>
      <c r="B64" s="241"/>
      <c r="C64" s="241"/>
      <c r="D64" s="241"/>
      <c r="F64" s="13"/>
      <c r="G64" s="13"/>
      <c r="K64" s="43"/>
      <c r="L64" s="43"/>
      <c r="M64" s="43">
        <f t="shared" si="1"/>
        <v>43</v>
      </c>
      <c r="N64" s="43">
        <f t="shared" si="2"/>
        <v>1</v>
      </c>
      <c r="O64" s="43">
        <f t="shared" si="3"/>
        <v>0</v>
      </c>
      <c r="P64" s="113" t="e">
        <f t="shared" si="11"/>
        <v>#DIV/0!</v>
      </c>
      <c r="Q64" s="113" t="e">
        <f t="shared" si="12"/>
        <v>#DIV/0!</v>
      </c>
      <c r="R64" s="113" t="e">
        <f t="shared" si="13"/>
        <v>#DIV/0!</v>
      </c>
      <c r="S64" s="113" t="e">
        <f t="shared" si="14"/>
        <v>#DIV/0!</v>
      </c>
      <c r="T64" s="43">
        <f t="shared" si="0"/>
        <v>0</v>
      </c>
      <c r="U64" s="43"/>
      <c r="V64" s="525" t="e">
        <f>P64*('upper bound Kenaga'!$F$36/100)</f>
        <v>#DIV/0!</v>
      </c>
      <c r="W64" s="43"/>
      <c r="X64" s="525" t="e">
        <f>P64*('upper bound Kenaga'!$F$96/100)</f>
        <v>#DIV/0!</v>
      </c>
      <c r="Y64" s="43"/>
      <c r="Z64" s="43"/>
      <c r="AA64" s="43"/>
      <c r="AB64" s="43"/>
      <c r="AC64" s="43"/>
      <c r="AD64" s="43"/>
    </row>
    <row r="65" spans="1:30" ht="12.75" customHeight="1" thickBot="1">
      <c r="A65" s="43"/>
      <c r="F65" s="8"/>
      <c r="G65" s="8"/>
      <c r="K65" s="43"/>
      <c r="L65" s="43"/>
      <c r="M65" s="43">
        <f t="shared" si="1"/>
        <v>44</v>
      </c>
      <c r="N65" s="43">
        <f t="shared" si="2"/>
        <v>1</v>
      </c>
      <c r="O65" s="43">
        <f t="shared" si="3"/>
        <v>0</v>
      </c>
      <c r="P65" s="113" t="e">
        <f t="shared" si="11"/>
        <v>#DIV/0!</v>
      </c>
      <c r="Q65" s="113" t="e">
        <f t="shared" si="12"/>
        <v>#DIV/0!</v>
      </c>
      <c r="R65" s="113" t="e">
        <f t="shared" si="13"/>
        <v>#DIV/0!</v>
      </c>
      <c r="S65" s="113" t="e">
        <f t="shared" si="14"/>
        <v>#DIV/0!</v>
      </c>
      <c r="T65" s="43">
        <f t="shared" si="0"/>
        <v>0</v>
      </c>
      <c r="U65" s="43"/>
      <c r="V65" s="525" t="e">
        <f>P65*('upper bound Kenaga'!$F$36/100)</f>
        <v>#DIV/0!</v>
      </c>
      <c r="W65" s="43"/>
      <c r="X65" s="525" t="e">
        <f>P65*('upper bound Kenaga'!$F$96/100)</f>
        <v>#DIV/0!</v>
      </c>
      <c r="Y65" s="43"/>
      <c r="Z65" s="43"/>
      <c r="AA65" s="43"/>
      <c r="AB65" s="43"/>
      <c r="AC65" s="43"/>
      <c r="AD65" s="43"/>
    </row>
    <row r="66" spans="1:30" ht="36.75" customHeight="1">
      <c r="A66" s="874" t="s">
        <v>347</v>
      </c>
      <c r="B66" s="871" t="s">
        <v>466</v>
      </c>
      <c r="C66" s="872"/>
      <c r="D66" s="873"/>
      <c r="K66" s="43"/>
      <c r="L66" s="43"/>
      <c r="M66" s="43">
        <f t="shared" si="1"/>
        <v>45</v>
      </c>
      <c r="N66" s="43">
        <f t="shared" si="2"/>
        <v>1</v>
      </c>
      <c r="O66" s="43">
        <f t="shared" si="3"/>
        <v>0</v>
      </c>
      <c r="P66" s="113" t="e">
        <f t="shared" si="11"/>
        <v>#DIV/0!</v>
      </c>
      <c r="Q66" s="113" t="e">
        <f t="shared" si="12"/>
        <v>#DIV/0!</v>
      </c>
      <c r="R66" s="113" t="e">
        <f t="shared" si="13"/>
        <v>#DIV/0!</v>
      </c>
      <c r="S66" s="113" t="e">
        <f t="shared" si="14"/>
        <v>#DIV/0!</v>
      </c>
      <c r="T66" s="43">
        <f t="shared" si="0"/>
        <v>0</v>
      </c>
      <c r="U66" s="43"/>
      <c r="V66" s="525" t="e">
        <f>P66*('upper bound Kenaga'!$F$36/100)</f>
        <v>#DIV/0!</v>
      </c>
      <c r="W66" s="43"/>
      <c r="X66" s="525" t="e">
        <f>P66*('upper bound Kenaga'!$F$96/100)</f>
        <v>#DIV/0!</v>
      </c>
      <c r="Y66" s="43"/>
      <c r="Z66" s="43"/>
      <c r="AA66" s="43"/>
      <c r="AB66" s="43"/>
      <c r="AC66" s="43"/>
      <c r="AD66" s="43"/>
    </row>
    <row r="67" spans="1:30" ht="31.5" customHeight="1" thickBot="1">
      <c r="A67" s="875"/>
      <c r="B67" s="570">
        <f>B46</f>
        <v>20</v>
      </c>
      <c r="C67" s="570">
        <f>B47</f>
        <v>100</v>
      </c>
      <c r="D67" s="424">
        <f>B48</f>
        <v>1000</v>
      </c>
      <c r="K67" s="43"/>
      <c r="L67" s="43"/>
      <c r="M67" s="43">
        <f t="shared" si="1"/>
        <v>46</v>
      </c>
      <c r="N67" s="43">
        <f t="shared" si="2"/>
        <v>1</v>
      </c>
      <c r="O67" s="43">
        <f t="shared" si="3"/>
        <v>0</v>
      </c>
      <c r="P67" s="113" t="e">
        <f t="shared" si="11"/>
        <v>#DIV/0!</v>
      </c>
      <c r="Q67" s="113" t="e">
        <f t="shared" si="12"/>
        <v>#DIV/0!</v>
      </c>
      <c r="R67" s="113" t="e">
        <f t="shared" si="13"/>
        <v>#DIV/0!</v>
      </c>
      <c r="S67" s="113" t="e">
        <f t="shared" si="14"/>
        <v>#DIV/0!</v>
      </c>
      <c r="T67" s="43">
        <f t="shared" si="0"/>
        <v>0</v>
      </c>
      <c r="U67" s="43"/>
      <c r="V67" s="525" t="e">
        <f>P67*('upper bound Kenaga'!$F$36/100)</f>
        <v>#DIV/0!</v>
      </c>
      <c r="W67" s="43"/>
      <c r="X67" s="525" t="e">
        <f>P67*('upper bound Kenaga'!$F$96/100)</f>
        <v>#DIV/0!</v>
      </c>
      <c r="Y67" s="43"/>
      <c r="Z67" s="43"/>
      <c r="AA67" s="43"/>
      <c r="AB67" s="43"/>
      <c r="AC67" s="43"/>
      <c r="AD67" s="43"/>
    </row>
    <row r="68" spans="1:30" ht="12.75" customHeight="1" thickTop="1">
      <c r="A68" s="403" t="s">
        <v>33</v>
      </c>
      <c r="B68" s="690" t="e">
        <f>B53/$C$46</f>
        <v>#DIV/0!</v>
      </c>
      <c r="C68" s="690" t="e">
        <f>C53/$C$47</f>
        <v>#DIV/0!</v>
      </c>
      <c r="D68" s="691" t="e">
        <f>D53/$C$48</f>
        <v>#DIV/0!</v>
      </c>
      <c r="E68" s="27"/>
      <c r="K68" s="43"/>
      <c r="L68" s="43"/>
      <c r="M68" s="43">
        <f t="shared" si="1"/>
        <v>47</v>
      </c>
      <c r="N68" s="43">
        <f t="shared" si="2"/>
        <v>1</v>
      </c>
      <c r="O68" s="43">
        <f t="shared" si="3"/>
        <v>0</v>
      </c>
      <c r="P68" s="113" t="e">
        <f t="shared" si="11"/>
        <v>#DIV/0!</v>
      </c>
      <c r="Q68" s="113" t="e">
        <f t="shared" si="12"/>
        <v>#DIV/0!</v>
      </c>
      <c r="R68" s="113" t="e">
        <f t="shared" si="13"/>
        <v>#DIV/0!</v>
      </c>
      <c r="S68" s="113" t="e">
        <f t="shared" si="14"/>
        <v>#DIV/0!</v>
      </c>
      <c r="T68" s="43">
        <f t="shared" si="0"/>
        <v>0</v>
      </c>
      <c r="U68" s="43"/>
      <c r="V68" s="525" t="e">
        <f>P68*('upper bound Kenaga'!$F$36/100)</f>
        <v>#DIV/0!</v>
      </c>
      <c r="W68" s="43"/>
      <c r="X68" s="525" t="e">
        <f>P68*('upper bound Kenaga'!$F$96/100)</f>
        <v>#DIV/0!</v>
      </c>
      <c r="Y68" s="43"/>
      <c r="Z68" s="43"/>
      <c r="AA68" s="43"/>
      <c r="AB68" s="43"/>
      <c r="AC68" s="43"/>
      <c r="AD68" s="43"/>
    </row>
    <row r="69" spans="1:30" ht="13.5" customHeight="1">
      <c r="A69" s="404" t="s">
        <v>28</v>
      </c>
      <c r="B69" s="690" t="e">
        <f>B54/$C$46</f>
        <v>#DIV/0!</v>
      </c>
      <c r="C69" s="690" t="e">
        <f>C54/$C$47</f>
        <v>#DIV/0!</v>
      </c>
      <c r="D69" s="691" t="e">
        <f>D54/$C$48</f>
        <v>#DIV/0!</v>
      </c>
      <c r="E69" s="98"/>
      <c r="K69" s="43"/>
      <c r="L69" s="43"/>
      <c r="M69" s="43">
        <f t="shared" si="1"/>
        <v>48</v>
      </c>
      <c r="N69" s="43">
        <f t="shared" si="2"/>
        <v>1</v>
      </c>
      <c r="O69" s="43">
        <f t="shared" si="3"/>
        <v>0</v>
      </c>
      <c r="P69" s="113" t="e">
        <f t="shared" si="11"/>
        <v>#DIV/0!</v>
      </c>
      <c r="Q69" s="113" t="e">
        <f t="shared" si="12"/>
        <v>#DIV/0!</v>
      </c>
      <c r="R69" s="113" t="e">
        <f t="shared" si="13"/>
        <v>#DIV/0!</v>
      </c>
      <c r="S69" s="113" t="e">
        <f t="shared" si="14"/>
        <v>#DIV/0!</v>
      </c>
      <c r="T69" s="43">
        <f t="shared" si="0"/>
        <v>0</v>
      </c>
      <c r="U69" s="43"/>
      <c r="V69" s="525" t="e">
        <f>P69*('upper bound Kenaga'!$F$36/100)</f>
        <v>#DIV/0!</v>
      </c>
      <c r="W69" s="43"/>
      <c r="X69" s="525" t="e">
        <f>P69*('upper bound Kenaga'!$F$96/100)</f>
        <v>#DIV/0!</v>
      </c>
      <c r="Y69" s="43"/>
      <c r="Z69" s="43"/>
      <c r="AA69" s="43"/>
      <c r="AB69" s="43"/>
      <c r="AC69" s="43"/>
      <c r="AD69" s="43"/>
    </row>
    <row r="70" spans="1:30" ht="12.75">
      <c r="A70" s="404" t="s">
        <v>41</v>
      </c>
      <c r="B70" s="690" t="e">
        <f>B55/$C$46</f>
        <v>#DIV/0!</v>
      </c>
      <c r="C70" s="690" t="e">
        <f>C55/$C$47</f>
        <v>#DIV/0!</v>
      </c>
      <c r="D70" s="691" t="e">
        <f>D55/$C$48</f>
        <v>#DIV/0!</v>
      </c>
      <c r="E70" s="26"/>
      <c r="K70" s="43"/>
      <c r="L70" s="43"/>
      <c r="M70" s="43">
        <f t="shared" si="1"/>
        <v>49</v>
      </c>
      <c r="N70" s="43">
        <f t="shared" si="2"/>
        <v>1</v>
      </c>
      <c r="O70" s="43">
        <f t="shared" si="3"/>
        <v>0</v>
      </c>
      <c r="P70" s="113" t="e">
        <f t="shared" si="11"/>
        <v>#DIV/0!</v>
      </c>
      <c r="Q70" s="113" t="e">
        <f t="shared" si="12"/>
        <v>#DIV/0!</v>
      </c>
      <c r="R70" s="113" t="e">
        <f t="shared" si="13"/>
        <v>#DIV/0!</v>
      </c>
      <c r="S70" s="113" t="e">
        <f t="shared" si="14"/>
        <v>#DIV/0!</v>
      </c>
      <c r="T70" s="43">
        <f t="shared" si="0"/>
        <v>0</v>
      </c>
      <c r="U70" s="43"/>
      <c r="V70" s="525" t="e">
        <f>P70*('upper bound Kenaga'!$F$36/100)</f>
        <v>#DIV/0!</v>
      </c>
      <c r="W70" s="43"/>
      <c r="X70" s="525" t="e">
        <f>P70*('upper bound Kenaga'!$F$96/100)</f>
        <v>#DIV/0!</v>
      </c>
      <c r="Y70" s="43"/>
      <c r="Z70" s="43"/>
      <c r="AA70" s="43"/>
      <c r="AB70" s="43"/>
      <c r="AC70" s="43"/>
      <c r="AD70" s="43"/>
    </row>
    <row r="71" spans="1:30" ht="13.5" thickBot="1">
      <c r="A71" s="405" t="s">
        <v>194</v>
      </c>
      <c r="B71" s="692" t="e">
        <f>B56/$C$46</f>
        <v>#DIV/0!</v>
      </c>
      <c r="C71" s="692" t="e">
        <f>C56/$C$47</f>
        <v>#DIV/0!</v>
      </c>
      <c r="D71" s="693" t="e">
        <f>D56/$C$48</f>
        <v>#DIV/0!</v>
      </c>
      <c r="E71" s="13"/>
      <c r="K71" s="43"/>
      <c r="L71" s="43"/>
      <c r="M71" s="43">
        <f t="shared" si="1"/>
        <v>50</v>
      </c>
      <c r="N71" s="43">
        <f t="shared" si="2"/>
        <v>1</v>
      </c>
      <c r="O71" s="43">
        <f t="shared" si="3"/>
        <v>0</v>
      </c>
      <c r="P71" s="113" t="e">
        <f t="shared" si="11"/>
        <v>#DIV/0!</v>
      </c>
      <c r="Q71" s="113" t="e">
        <f t="shared" si="12"/>
        <v>#DIV/0!</v>
      </c>
      <c r="R71" s="113" t="e">
        <f t="shared" si="13"/>
        <v>#DIV/0!</v>
      </c>
      <c r="S71" s="113" t="e">
        <f t="shared" si="14"/>
        <v>#DIV/0!</v>
      </c>
      <c r="T71" s="43">
        <f t="shared" si="0"/>
        <v>0</v>
      </c>
      <c r="U71" s="43"/>
      <c r="V71" s="525" t="e">
        <f>P71*('upper bound Kenaga'!$F$36/100)</f>
        <v>#DIV/0!</v>
      </c>
      <c r="W71" s="43"/>
      <c r="X71" s="525" t="e">
        <f>P71*('upper bound Kenaga'!$F$96/100)</f>
        <v>#DIV/0!</v>
      </c>
      <c r="Y71" s="43"/>
      <c r="Z71" s="43"/>
      <c r="AA71" s="43"/>
      <c r="AB71" s="43"/>
      <c r="AC71" s="43"/>
      <c r="AD71" s="43"/>
    </row>
    <row r="72" spans="1:30" ht="13.5" thickBot="1">
      <c r="A72" s="475" t="s">
        <v>34</v>
      </c>
      <c r="B72" s="694" t="e">
        <f>$E$56/$C$46</f>
        <v>#DIV/0!</v>
      </c>
      <c r="C72" s="694" t="e">
        <f>$F$56/$C$47</f>
        <v>#DIV/0!</v>
      </c>
      <c r="D72" s="695" t="e">
        <f>$G$56/$C$48</f>
        <v>#DIV/0!</v>
      </c>
      <c r="E72" s="661"/>
      <c r="F72" s="13"/>
      <c r="G72" s="661"/>
      <c r="H72" s="8"/>
      <c r="K72" s="43"/>
      <c r="L72" s="43"/>
      <c r="M72" s="43">
        <f t="shared" si="1"/>
        <v>51</v>
      </c>
      <c r="N72" s="43">
        <f t="shared" si="2"/>
        <v>1</v>
      </c>
      <c r="O72" s="43">
        <f t="shared" si="3"/>
        <v>0</v>
      </c>
      <c r="P72" s="113" t="e">
        <f t="shared" si="11"/>
        <v>#DIV/0!</v>
      </c>
      <c r="Q72" s="113" t="e">
        <f t="shared" si="12"/>
        <v>#DIV/0!</v>
      </c>
      <c r="R72" s="113" t="e">
        <f t="shared" si="13"/>
        <v>#DIV/0!</v>
      </c>
      <c r="S72" s="113" t="e">
        <f t="shared" si="14"/>
        <v>#DIV/0!</v>
      </c>
      <c r="T72" s="43">
        <f t="shared" si="0"/>
        <v>0</v>
      </c>
      <c r="U72" s="43"/>
      <c r="V72" s="525" t="e">
        <f>P72*('upper bound Kenaga'!$F$36/100)</f>
        <v>#DIV/0!</v>
      </c>
      <c r="W72" s="43"/>
      <c r="X72" s="525" t="e">
        <f>P72*('upper bound Kenaga'!$F$96/100)</f>
        <v>#DIV/0!</v>
      </c>
      <c r="Y72" s="43"/>
      <c r="Z72" s="43"/>
      <c r="AA72" s="43"/>
      <c r="AB72" s="43"/>
      <c r="AC72" s="43"/>
      <c r="AD72" s="43"/>
    </row>
    <row r="73" spans="1:30" ht="12.75" customHeight="1" thickBot="1">
      <c r="A73" s="43"/>
      <c r="E73" s="13"/>
      <c r="K73" s="43"/>
      <c r="L73" s="43"/>
      <c r="M73" s="43">
        <f t="shared" si="1"/>
        <v>52</v>
      </c>
      <c r="N73" s="43">
        <f>IF($B$9&gt;N71,IF(O71=($B$8-1),(N71+1),(N71)),(N71))</f>
        <v>1</v>
      </c>
      <c r="O73" s="43">
        <f t="shared" si="3"/>
        <v>0</v>
      </c>
      <c r="P73" s="113" t="e">
        <f t="shared" si="11"/>
        <v>#DIV/0!</v>
      </c>
      <c r="Q73" s="113" t="e">
        <f t="shared" si="12"/>
        <v>#DIV/0!</v>
      </c>
      <c r="R73" s="113" t="e">
        <f t="shared" si="13"/>
        <v>#DIV/0!</v>
      </c>
      <c r="S73" s="113" t="e">
        <f t="shared" si="14"/>
        <v>#DIV/0!</v>
      </c>
      <c r="T73" s="43">
        <f t="shared" si="0"/>
        <v>0</v>
      </c>
      <c r="U73" s="43"/>
      <c r="V73" s="525" t="e">
        <f>P73*('upper bound Kenaga'!$F$36/100)</f>
        <v>#DIV/0!</v>
      </c>
      <c r="W73" s="43"/>
      <c r="X73" s="525" t="e">
        <f>P73*('upper bound Kenaga'!$F$96/100)</f>
        <v>#DIV/0!</v>
      </c>
      <c r="Y73" s="43"/>
      <c r="Z73" s="43"/>
      <c r="AA73" s="43"/>
      <c r="AB73" s="43"/>
      <c r="AC73" s="43"/>
      <c r="AD73" s="43"/>
    </row>
    <row r="74" spans="1:30" ht="12.75">
      <c r="A74" s="874" t="s">
        <v>348</v>
      </c>
      <c r="B74" s="887" t="s">
        <v>180</v>
      </c>
      <c r="C74" s="888"/>
      <c r="E74" s="13"/>
      <c r="K74" s="43"/>
      <c r="L74" s="43"/>
      <c r="M74" s="43">
        <f t="shared" si="1"/>
        <v>53</v>
      </c>
      <c r="N74" s="43">
        <f t="shared" si="2"/>
        <v>1</v>
      </c>
      <c r="O74" s="43">
        <f t="shared" si="3"/>
        <v>0</v>
      </c>
      <c r="P74" s="113" t="e">
        <f t="shared" si="11"/>
        <v>#DIV/0!</v>
      </c>
      <c r="Q74" s="113" t="e">
        <f t="shared" si="12"/>
        <v>#DIV/0!</v>
      </c>
      <c r="R74" s="113" t="e">
        <f t="shared" si="13"/>
        <v>#DIV/0!</v>
      </c>
      <c r="S74" s="113" t="e">
        <f t="shared" si="14"/>
        <v>#DIV/0!</v>
      </c>
      <c r="T74" s="43">
        <f t="shared" si="0"/>
        <v>0</v>
      </c>
      <c r="U74" s="43"/>
      <c r="V74" s="525" t="e">
        <f>P74*('upper bound Kenaga'!$F$36/100)</f>
        <v>#DIV/0!</v>
      </c>
      <c r="W74" s="43"/>
      <c r="X74" s="525" t="e">
        <f>P74*('upper bound Kenaga'!$F$96/100)</f>
        <v>#DIV/0!</v>
      </c>
      <c r="Y74" s="43"/>
      <c r="Z74" s="43"/>
      <c r="AA74" s="43"/>
      <c r="AB74" s="43"/>
      <c r="AC74" s="43"/>
      <c r="AD74" s="43"/>
    </row>
    <row r="75" spans="1:30" ht="12.75" customHeight="1">
      <c r="A75" s="891"/>
      <c r="B75" s="889"/>
      <c r="C75" s="890"/>
      <c r="E75" s="13"/>
      <c r="K75" s="43"/>
      <c r="L75" s="43"/>
      <c r="M75" s="43">
        <f t="shared" si="1"/>
        <v>54</v>
      </c>
      <c r="N75" s="43">
        <f t="shared" si="2"/>
        <v>1</v>
      </c>
      <c r="O75" s="43">
        <f t="shared" si="3"/>
        <v>0</v>
      </c>
      <c r="P75" s="113" t="e">
        <f t="shared" si="11"/>
        <v>#DIV/0!</v>
      </c>
      <c r="Q75" s="113" t="e">
        <f t="shared" si="12"/>
        <v>#DIV/0!</v>
      </c>
      <c r="R75" s="113" t="e">
        <f t="shared" si="13"/>
        <v>#DIV/0!</v>
      </c>
      <c r="S75" s="113" t="e">
        <f t="shared" si="14"/>
        <v>#DIV/0!</v>
      </c>
      <c r="T75" s="43">
        <f t="shared" si="0"/>
        <v>0</v>
      </c>
      <c r="U75" s="43"/>
      <c r="V75" s="525" t="e">
        <f>P75*('upper bound Kenaga'!$F$36/100)</f>
        <v>#DIV/0!</v>
      </c>
      <c r="W75" s="43"/>
      <c r="X75" s="525" t="e">
        <f>P75*('upper bound Kenaga'!$F$96/100)</f>
        <v>#DIV/0!</v>
      </c>
      <c r="Y75" s="43"/>
      <c r="Z75" s="43"/>
      <c r="AA75" s="43"/>
      <c r="AB75" s="43"/>
      <c r="AC75" s="43"/>
      <c r="AD75" s="43"/>
    </row>
    <row r="76" spans="1:30" ht="25.5" customHeight="1" thickBot="1">
      <c r="A76" s="875"/>
      <c r="B76" s="425" t="s">
        <v>48</v>
      </c>
      <c r="C76" s="426" t="s">
        <v>49</v>
      </c>
      <c r="K76" s="43"/>
      <c r="L76" s="43"/>
      <c r="M76" s="43">
        <f t="shared" si="1"/>
        <v>55</v>
      </c>
      <c r="N76" s="43">
        <f t="shared" si="2"/>
        <v>1</v>
      </c>
      <c r="O76" s="43">
        <f t="shared" si="3"/>
        <v>0</v>
      </c>
      <c r="P76" s="113" t="e">
        <f t="shared" si="11"/>
        <v>#DIV/0!</v>
      </c>
      <c r="Q76" s="113" t="e">
        <f t="shared" si="12"/>
        <v>#DIV/0!</v>
      </c>
      <c r="R76" s="113" t="e">
        <f t="shared" si="13"/>
        <v>#DIV/0!</v>
      </c>
      <c r="S76" s="113" t="e">
        <f t="shared" si="14"/>
        <v>#DIV/0!</v>
      </c>
      <c r="T76" s="43">
        <f t="shared" si="0"/>
        <v>0</v>
      </c>
      <c r="U76" s="43"/>
      <c r="V76" s="525" t="e">
        <f>P76*('upper bound Kenaga'!$F$36/100)</f>
        <v>#DIV/0!</v>
      </c>
      <c r="W76" s="43"/>
      <c r="X76" s="525" t="e">
        <f>P76*('upper bound Kenaga'!$F$96/100)</f>
        <v>#DIV/0!</v>
      </c>
      <c r="Y76" s="43"/>
      <c r="Z76" s="43"/>
      <c r="AA76" s="43"/>
      <c r="AB76" s="43"/>
      <c r="AC76" s="43"/>
      <c r="AD76" s="43"/>
    </row>
    <row r="77" spans="1:30" ht="13.5" thickTop="1">
      <c r="A77" s="406" t="s">
        <v>18</v>
      </c>
      <c r="B77" s="686" t="e">
        <f>B27/D16</f>
        <v>#DIV/0!</v>
      </c>
      <c r="C77" s="687" t="e">
        <f>B27/D18</f>
        <v>#DIV/0!</v>
      </c>
      <c r="K77" s="43"/>
      <c r="L77" s="43"/>
      <c r="M77" s="43">
        <f t="shared" si="1"/>
        <v>56</v>
      </c>
      <c r="N77" s="43">
        <f t="shared" si="2"/>
        <v>1</v>
      </c>
      <c r="O77" s="43">
        <f t="shared" si="3"/>
        <v>0</v>
      </c>
      <c r="P77" s="113" t="e">
        <f t="shared" si="11"/>
        <v>#DIV/0!</v>
      </c>
      <c r="Q77" s="113" t="e">
        <f t="shared" si="12"/>
        <v>#DIV/0!</v>
      </c>
      <c r="R77" s="113" t="e">
        <f t="shared" si="13"/>
        <v>#DIV/0!</v>
      </c>
      <c r="S77" s="113" t="e">
        <f t="shared" si="14"/>
        <v>#DIV/0!</v>
      </c>
      <c r="T77" s="43">
        <f t="shared" si="0"/>
        <v>0</v>
      </c>
      <c r="U77" s="43"/>
      <c r="V77" s="525" t="e">
        <f>P77*('upper bound Kenaga'!$F$36/100)</f>
        <v>#DIV/0!</v>
      </c>
      <c r="W77" s="43"/>
      <c r="X77" s="525" t="e">
        <f>P77*('upper bound Kenaga'!$F$96/100)</f>
        <v>#DIV/0!</v>
      </c>
      <c r="Y77" s="43"/>
      <c r="Z77" s="43"/>
      <c r="AA77" s="43"/>
      <c r="AB77" s="43"/>
      <c r="AC77" s="43"/>
      <c r="AD77" s="43"/>
    </row>
    <row r="78" spans="1:30" ht="12.75">
      <c r="A78" s="406" t="s">
        <v>21</v>
      </c>
      <c r="B78" s="686" t="e">
        <f>B28/D16</f>
        <v>#DIV/0!</v>
      </c>
      <c r="C78" s="687" t="e">
        <f>B28/D18</f>
        <v>#DIV/0!</v>
      </c>
      <c r="K78" s="43"/>
      <c r="L78" s="43"/>
      <c r="M78" s="43">
        <f t="shared" si="1"/>
        <v>57</v>
      </c>
      <c r="N78" s="43">
        <f t="shared" si="2"/>
        <v>1</v>
      </c>
      <c r="O78" s="43">
        <f t="shared" si="3"/>
        <v>0</v>
      </c>
      <c r="P78" s="113" t="e">
        <f t="shared" si="11"/>
        <v>#DIV/0!</v>
      </c>
      <c r="Q78" s="113" t="e">
        <f t="shared" si="12"/>
        <v>#DIV/0!</v>
      </c>
      <c r="R78" s="113" t="e">
        <f t="shared" si="13"/>
        <v>#DIV/0!</v>
      </c>
      <c r="S78" s="113" t="e">
        <f t="shared" si="14"/>
        <v>#DIV/0!</v>
      </c>
      <c r="T78" s="43">
        <f t="shared" si="0"/>
        <v>0</v>
      </c>
      <c r="U78" s="43"/>
      <c r="V78" s="525" t="e">
        <f>P78*('upper bound Kenaga'!$F$36/100)</f>
        <v>#DIV/0!</v>
      </c>
      <c r="W78" s="43"/>
      <c r="X78" s="525" t="e">
        <f>P78*('upper bound Kenaga'!$F$96/100)</f>
        <v>#DIV/0!</v>
      </c>
      <c r="Y78" s="43"/>
      <c r="Z78" s="43"/>
      <c r="AA78" s="43"/>
      <c r="AB78" s="43"/>
      <c r="AC78" s="43"/>
      <c r="AD78" s="43"/>
    </row>
    <row r="79" spans="1:30" ht="12.75">
      <c r="A79" s="406" t="s">
        <v>37</v>
      </c>
      <c r="B79" s="686" t="e">
        <f>B29/D16</f>
        <v>#DIV/0!</v>
      </c>
      <c r="C79" s="687" t="e">
        <f>B29/D18</f>
        <v>#DIV/0!</v>
      </c>
      <c r="D79" s="26"/>
      <c r="I79" s="16"/>
      <c r="K79" s="43"/>
      <c r="L79" s="43"/>
      <c r="M79" s="43">
        <f t="shared" si="1"/>
        <v>58</v>
      </c>
      <c r="N79" s="43">
        <f t="shared" si="2"/>
        <v>1</v>
      </c>
      <c r="O79" s="43">
        <f t="shared" si="3"/>
        <v>0</v>
      </c>
      <c r="P79" s="113" t="e">
        <f t="shared" si="11"/>
        <v>#DIV/0!</v>
      </c>
      <c r="Q79" s="113" t="e">
        <f t="shared" si="12"/>
        <v>#DIV/0!</v>
      </c>
      <c r="R79" s="113" t="e">
        <f t="shared" si="13"/>
        <v>#DIV/0!</v>
      </c>
      <c r="S79" s="113" t="e">
        <f t="shared" si="14"/>
        <v>#DIV/0!</v>
      </c>
      <c r="T79" s="43">
        <f t="shared" si="0"/>
        <v>0</v>
      </c>
      <c r="U79" s="43"/>
      <c r="V79" s="525" t="e">
        <f>P79*('upper bound Kenaga'!$F$36/100)</f>
        <v>#DIV/0!</v>
      </c>
      <c r="W79" s="43"/>
      <c r="X79" s="525" t="e">
        <f>P79*('upper bound Kenaga'!$F$96/100)</f>
        <v>#DIV/0!</v>
      </c>
      <c r="Y79" s="43"/>
      <c r="Z79" s="43"/>
      <c r="AA79" s="43"/>
      <c r="AB79" s="43"/>
      <c r="AC79" s="43"/>
      <c r="AD79" s="43"/>
    </row>
    <row r="80" spans="1:30" ht="13.5" thickBot="1">
      <c r="A80" s="407" t="s">
        <v>194</v>
      </c>
      <c r="B80" s="688" t="e">
        <f>B30/D16</f>
        <v>#DIV/0!</v>
      </c>
      <c r="C80" s="689" t="e">
        <f>B30/D18</f>
        <v>#DIV/0!</v>
      </c>
      <c r="D80" s="98"/>
      <c r="I80" s="16"/>
      <c r="K80" s="43"/>
      <c r="L80" s="43"/>
      <c r="M80" s="43">
        <f t="shared" si="1"/>
        <v>59</v>
      </c>
      <c r="N80" s="43">
        <f t="shared" si="2"/>
        <v>1</v>
      </c>
      <c r="O80" s="43">
        <f t="shared" si="3"/>
        <v>0</v>
      </c>
      <c r="P80" s="113" t="e">
        <f t="shared" si="11"/>
        <v>#DIV/0!</v>
      </c>
      <c r="Q80" s="113" t="e">
        <f t="shared" si="12"/>
        <v>#DIV/0!</v>
      </c>
      <c r="R80" s="113" t="e">
        <f t="shared" si="13"/>
        <v>#DIV/0!</v>
      </c>
      <c r="S80" s="113" t="e">
        <f t="shared" si="14"/>
        <v>#DIV/0!</v>
      </c>
      <c r="T80" s="43">
        <f t="shared" si="0"/>
        <v>0</v>
      </c>
      <c r="U80" s="43"/>
      <c r="V80" s="525" t="e">
        <f>P80*('upper bound Kenaga'!$F$36/100)</f>
        <v>#DIV/0!</v>
      </c>
      <c r="W80" s="43"/>
      <c r="X80" s="525" t="e">
        <f>P80*('upper bound Kenaga'!$F$96/100)</f>
        <v>#DIV/0!</v>
      </c>
      <c r="Y80" s="43"/>
      <c r="Z80" s="43"/>
      <c r="AA80" s="43"/>
      <c r="AB80" s="43"/>
      <c r="AC80" s="43"/>
      <c r="AD80" s="43"/>
    </row>
    <row r="81" spans="4:30" ht="12.75">
      <c r="D81" s="26"/>
      <c r="I81" s="16"/>
      <c r="K81" s="43"/>
      <c r="L81" s="43"/>
      <c r="M81" s="43">
        <f t="shared" si="1"/>
        <v>60</v>
      </c>
      <c r="N81" s="43">
        <f t="shared" si="2"/>
        <v>1</v>
      </c>
      <c r="O81" s="43">
        <f t="shared" si="3"/>
        <v>0</v>
      </c>
      <c r="P81" s="113" t="e">
        <f t="shared" si="11"/>
        <v>#DIV/0!</v>
      </c>
      <c r="Q81" s="113" t="e">
        <f t="shared" si="12"/>
        <v>#DIV/0!</v>
      </c>
      <c r="R81" s="113" t="e">
        <f t="shared" si="13"/>
        <v>#DIV/0!</v>
      </c>
      <c r="S81" s="113" t="e">
        <f t="shared" si="14"/>
        <v>#DIV/0!</v>
      </c>
      <c r="T81" s="43">
        <f t="shared" si="0"/>
        <v>0</v>
      </c>
      <c r="U81" s="43"/>
      <c r="V81" s="525" t="e">
        <f>P81*('upper bound Kenaga'!$F$36/100)</f>
        <v>#DIV/0!</v>
      </c>
      <c r="W81" s="43"/>
      <c r="X81" s="525" t="e">
        <f>P81*('upper bound Kenaga'!$F$96/100)</f>
        <v>#DIV/0!</v>
      </c>
      <c r="Y81" s="43"/>
      <c r="Z81" s="43"/>
      <c r="AA81" s="43"/>
      <c r="AB81" s="43"/>
      <c r="AC81" s="43"/>
      <c r="AD81" s="43"/>
    </row>
    <row r="82" spans="1:30" ht="12.75">
      <c r="A82" s="200" t="s">
        <v>188</v>
      </c>
      <c r="D82" s="13"/>
      <c r="I82" s="16"/>
      <c r="K82" s="43"/>
      <c r="L82" s="43"/>
      <c r="M82" s="43">
        <f t="shared" si="1"/>
        <v>61</v>
      </c>
      <c r="N82" s="43">
        <f t="shared" si="2"/>
        <v>1</v>
      </c>
      <c r="O82" s="43">
        <f t="shared" si="3"/>
        <v>0</v>
      </c>
      <c r="P82" s="113" t="e">
        <f t="shared" si="11"/>
        <v>#DIV/0!</v>
      </c>
      <c r="Q82" s="113" t="e">
        <f t="shared" si="12"/>
        <v>#DIV/0!</v>
      </c>
      <c r="R82" s="113" t="e">
        <f t="shared" si="13"/>
        <v>#DIV/0!</v>
      </c>
      <c r="S82" s="113" t="e">
        <f t="shared" si="14"/>
        <v>#DIV/0!</v>
      </c>
      <c r="T82" s="43">
        <f t="shared" si="0"/>
        <v>0</v>
      </c>
      <c r="U82" s="43"/>
      <c r="V82" s="525" t="e">
        <f>P82*('upper bound Kenaga'!$F$36/100)</f>
        <v>#DIV/0!</v>
      </c>
      <c r="W82" s="43"/>
      <c r="X82" s="525" t="e">
        <f>P82*('upper bound Kenaga'!$F$96/100)</f>
        <v>#DIV/0!</v>
      </c>
      <c r="Y82" s="43"/>
      <c r="Z82" s="43"/>
      <c r="AA82" s="43"/>
      <c r="AB82" s="43"/>
      <c r="AC82" s="43"/>
      <c r="AD82" s="43"/>
    </row>
    <row r="83" spans="1:30" ht="12.75">
      <c r="A83" s="200" t="s">
        <v>187</v>
      </c>
      <c r="D83" s="13"/>
      <c r="I83" s="16"/>
      <c r="K83" s="43"/>
      <c r="L83" s="43"/>
      <c r="M83" s="43">
        <f t="shared" si="1"/>
        <v>62</v>
      </c>
      <c r="N83" s="43">
        <f t="shared" si="2"/>
        <v>1</v>
      </c>
      <c r="O83" s="43">
        <f t="shared" si="3"/>
        <v>0</v>
      </c>
      <c r="P83" s="113" t="e">
        <f t="shared" si="11"/>
        <v>#DIV/0!</v>
      </c>
      <c r="Q83" s="113" t="e">
        <f t="shared" si="12"/>
        <v>#DIV/0!</v>
      </c>
      <c r="R83" s="113" t="e">
        <f t="shared" si="13"/>
        <v>#DIV/0!</v>
      </c>
      <c r="S83" s="113" t="e">
        <f t="shared" si="14"/>
        <v>#DIV/0!</v>
      </c>
      <c r="T83" s="43">
        <f t="shared" si="0"/>
        <v>0</v>
      </c>
      <c r="U83" s="43"/>
      <c r="V83" s="525" t="e">
        <f>P83*('upper bound Kenaga'!$F$36/100)</f>
        <v>#DIV/0!</v>
      </c>
      <c r="W83" s="43"/>
      <c r="X83" s="525" t="e">
        <f>P83*('upper bound Kenaga'!$F$96/100)</f>
        <v>#DIV/0!</v>
      </c>
      <c r="Y83" s="43"/>
      <c r="Z83" s="43"/>
      <c r="AA83" s="43"/>
      <c r="AB83" s="43"/>
      <c r="AC83" s="43"/>
      <c r="AD83" s="43"/>
    </row>
    <row r="84" spans="1:30" ht="12.75">
      <c r="A84" s="200" t="s">
        <v>186</v>
      </c>
      <c r="D84" s="13"/>
      <c r="I84" s="16"/>
      <c r="K84" s="43"/>
      <c r="L84" s="43"/>
      <c r="M84" s="43">
        <f t="shared" si="1"/>
        <v>63</v>
      </c>
      <c r="N84" s="43">
        <f t="shared" si="2"/>
        <v>1</v>
      </c>
      <c r="O84" s="43">
        <f t="shared" si="3"/>
        <v>0</v>
      </c>
      <c r="P84" s="113" t="e">
        <f t="shared" si="11"/>
        <v>#DIV/0!</v>
      </c>
      <c r="Q84" s="113" t="e">
        <f t="shared" si="12"/>
        <v>#DIV/0!</v>
      </c>
      <c r="R84" s="113" t="e">
        <f t="shared" si="13"/>
        <v>#DIV/0!</v>
      </c>
      <c r="S84" s="113" t="e">
        <f t="shared" si="14"/>
        <v>#DIV/0!</v>
      </c>
      <c r="T84" s="43">
        <f t="shared" si="0"/>
        <v>0</v>
      </c>
      <c r="U84" s="43"/>
      <c r="V84" s="525" t="e">
        <f>P84*('upper bound Kenaga'!$F$36/100)</f>
        <v>#DIV/0!</v>
      </c>
      <c r="W84" s="43"/>
      <c r="X84" s="525" t="e">
        <f>P84*('upper bound Kenaga'!$F$96/100)</f>
        <v>#DIV/0!</v>
      </c>
      <c r="Y84" s="43"/>
      <c r="Z84" s="43"/>
      <c r="AA84" s="43"/>
      <c r="AB84" s="43"/>
      <c r="AC84" s="43"/>
      <c r="AD84" s="43"/>
    </row>
    <row r="85" spans="4:30" ht="12.75">
      <c r="D85" s="13"/>
      <c r="I85" s="16"/>
      <c r="K85" s="43"/>
      <c r="L85" s="43"/>
      <c r="M85" s="43">
        <f t="shared" si="1"/>
        <v>64</v>
      </c>
      <c r="N85" s="43">
        <f t="shared" si="2"/>
        <v>1</v>
      </c>
      <c r="O85" s="43">
        <f t="shared" si="3"/>
        <v>0</v>
      </c>
      <c r="P85" s="113" t="e">
        <f t="shared" si="11"/>
        <v>#DIV/0!</v>
      </c>
      <c r="Q85" s="113" t="e">
        <f t="shared" si="12"/>
        <v>#DIV/0!</v>
      </c>
      <c r="R85" s="113" t="e">
        <f t="shared" si="13"/>
        <v>#DIV/0!</v>
      </c>
      <c r="S85" s="113" t="e">
        <f t="shared" si="14"/>
        <v>#DIV/0!</v>
      </c>
      <c r="T85" s="43">
        <f t="shared" si="0"/>
        <v>0</v>
      </c>
      <c r="U85" s="43"/>
      <c r="V85" s="525" t="e">
        <f>P85*('upper bound Kenaga'!$F$36/100)</f>
        <v>#DIV/0!</v>
      </c>
      <c r="W85" s="43"/>
      <c r="X85" s="525" t="e">
        <f>P85*('upper bound Kenaga'!$F$96/100)</f>
        <v>#DIV/0!</v>
      </c>
      <c r="Y85" s="43"/>
      <c r="Z85" s="43"/>
      <c r="AA85" s="43"/>
      <c r="AB85" s="43"/>
      <c r="AC85" s="43"/>
      <c r="AD85" s="43"/>
    </row>
    <row r="86" spans="9:30" ht="12.75">
      <c r="I86" s="16"/>
      <c r="K86" s="43"/>
      <c r="L86" s="43"/>
      <c r="M86" s="43">
        <f t="shared" si="1"/>
        <v>65</v>
      </c>
      <c r="N86" s="43">
        <f t="shared" si="2"/>
        <v>1</v>
      </c>
      <c r="O86" s="43">
        <f t="shared" si="3"/>
        <v>0</v>
      </c>
      <c r="P86" s="113" t="e">
        <f t="shared" si="11"/>
        <v>#DIV/0!</v>
      </c>
      <c r="Q86" s="113" t="e">
        <f t="shared" si="12"/>
        <v>#DIV/0!</v>
      </c>
      <c r="R86" s="113" t="e">
        <f t="shared" si="13"/>
        <v>#DIV/0!</v>
      </c>
      <c r="S86" s="113" t="e">
        <f t="shared" si="14"/>
        <v>#DIV/0!</v>
      </c>
      <c r="T86" s="43">
        <f t="shared" si="0"/>
        <v>0</v>
      </c>
      <c r="U86" s="43"/>
      <c r="V86" s="525" t="e">
        <f>P86*('upper bound Kenaga'!$F$36/100)</f>
        <v>#DIV/0!</v>
      </c>
      <c r="W86" s="43"/>
      <c r="X86" s="525" t="e">
        <f>P86*('upper bound Kenaga'!$F$96/100)</f>
        <v>#DIV/0!</v>
      </c>
      <c r="Y86" s="43"/>
      <c r="Z86" s="43"/>
      <c r="AA86" s="43"/>
      <c r="AB86" s="43"/>
      <c r="AC86" s="43"/>
      <c r="AD86" s="43"/>
    </row>
    <row r="87" spans="9:30" ht="12.75">
      <c r="I87" s="16"/>
      <c r="K87" s="43"/>
      <c r="L87" s="43"/>
      <c r="M87" s="43">
        <f t="shared" si="1"/>
        <v>66</v>
      </c>
      <c r="N87" s="43">
        <f t="shared" si="2"/>
        <v>1</v>
      </c>
      <c r="O87" s="43">
        <f t="shared" si="3"/>
        <v>0</v>
      </c>
      <c r="P87" s="113" t="e">
        <f t="shared" si="11"/>
        <v>#DIV/0!</v>
      </c>
      <c r="Q87" s="113" t="e">
        <f t="shared" si="12"/>
        <v>#DIV/0!</v>
      </c>
      <c r="R87" s="113" t="e">
        <f t="shared" si="13"/>
        <v>#DIV/0!</v>
      </c>
      <c r="S87" s="113" t="e">
        <f t="shared" si="14"/>
        <v>#DIV/0!</v>
      </c>
      <c r="T87" s="43">
        <f t="shared" si="0"/>
        <v>0</v>
      </c>
      <c r="U87" s="43"/>
      <c r="V87" s="525" t="e">
        <f>P87*('upper bound Kenaga'!$F$36/100)</f>
        <v>#DIV/0!</v>
      </c>
      <c r="W87" s="43"/>
      <c r="X87" s="525" t="e">
        <f>P87*('upper bound Kenaga'!$F$96/100)</f>
        <v>#DIV/0!</v>
      </c>
      <c r="Y87" s="43"/>
      <c r="Z87" s="43"/>
      <c r="AA87" s="43"/>
      <c r="AB87" s="43"/>
      <c r="AC87" s="43"/>
      <c r="AD87" s="43"/>
    </row>
    <row r="88" spans="9:30" ht="12.75">
      <c r="I88" s="16"/>
      <c r="K88" s="43"/>
      <c r="L88" s="43"/>
      <c r="M88" s="43">
        <f t="shared" si="1"/>
        <v>67</v>
      </c>
      <c r="N88" s="43">
        <f t="shared" si="2"/>
        <v>1</v>
      </c>
      <c r="O88" s="43">
        <f t="shared" si="3"/>
        <v>0</v>
      </c>
      <c r="P88" s="113" t="e">
        <f t="shared" si="11"/>
        <v>#DIV/0!</v>
      </c>
      <c r="Q88" s="113" t="e">
        <f t="shared" si="12"/>
        <v>#DIV/0!</v>
      </c>
      <c r="R88" s="113" t="e">
        <f t="shared" si="13"/>
        <v>#DIV/0!</v>
      </c>
      <c r="S88" s="113" t="e">
        <f t="shared" si="14"/>
        <v>#DIV/0!</v>
      </c>
      <c r="T88" s="43">
        <f t="shared" si="0"/>
        <v>0</v>
      </c>
      <c r="U88" s="43"/>
      <c r="V88" s="525" t="e">
        <f>P88*('upper bound Kenaga'!$F$36/100)</f>
        <v>#DIV/0!</v>
      </c>
      <c r="W88" s="43"/>
      <c r="X88" s="525" t="e">
        <f>P88*('upper bound Kenaga'!$F$96/100)</f>
        <v>#DIV/0!</v>
      </c>
      <c r="Y88" s="43"/>
      <c r="Z88" s="43"/>
      <c r="AA88" s="43"/>
      <c r="AB88" s="43"/>
      <c r="AC88" s="43"/>
      <c r="AD88" s="43"/>
    </row>
    <row r="89" spans="9:30" ht="12.75">
      <c r="I89" s="16"/>
      <c r="K89" s="43"/>
      <c r="L89" s="43"/>
      <c r="M89" s="43">
        <f t="shared" si="1"/>
        <v>68</v>
      </c>
      <c r="N89" s="43">
        <f t="shared" si="2"/>
        <v>1</v>
      </c>
      <c r="O89" s="43">
        <f t="shared" si="3"/>
        <v>0</v>
      </c>
      <c r="P89" s="113" t="e">
        <f t="shared" si="11"/>
        <v>#DIV/0!</v>
      </c>
      <c r="Q89" s="113" t="e">
        <f t="shared" si="12"/>
        <v>#DIV/0!</v>
      </c>
      <c r="R89" s="113" t="e">
        <f t="shared" si="13"/>
        <v>#DIV/0!</v>
      </c>
      <c r="S89" s="113" t="e">
        <f t="shared" si="14"/>
        <v>#DIV/0!</v>
      </c>
      <c r="T89" s="43">
        <f t="shared" si="0"/>
        <v>0</v>
      </c>
      <c r="U89" s="43"/>
      <c r="V89" s="525" t="e">
        <f>P89*('upper bound Kenaga'!$F$36/100)</f>
        <v>#DIV/0!</v>
      </c>
      <c r="W89" s="43"/>
      <c r="X89" s="525" t="e">
        <f>P89*('upper bound Kenaga'!$F$96/100)</f>
        <v>#DIV/0!</v>
      </c>
      <c r="Y89" s="43"/>
      <c r="Z89" s="43"/>
      <c r="AA89" s="43"/>
      <c r="AB89" s="43"/>
      <c r="AC89" s="43"/>
      <c r="AD89" s="43"/>
    </row>
    <row r="90" spans="9:30" ht="12.75">
      <c r="I90" s="16"/>
      <c r="K90" s="43"/>
      <c r="L90" s="43"/>
      <c r="M90" s="43">
        <f t="shared" si="1"/>
        <v>69</v>
      </c>
      <c r="N90" s="43">
        <f t="shared" si="2"/>
        <v>1</v>
      </c>
      <c r="O90" s="43">
        <f t="shared" si="3"/>
        <v>0</v>
      </c>
      <c r="P90" s="113" t="e">
        <f t="shared" si="11"/>
        <v>#DIV/0!</v>
      </c>
      <c r="Q90" s="113" t="e">
        <f t="shared" si="12"/>
        <v>#DIV/0!</v>
      </c>
      <c r="R90" s="113" t="e">
        <f t="shared" si="13"/>
        <v>#DIV/0!</v>
      </c>
      <c r="S90" s="113" t="e">
        <f t="shared" si="14"/>
        <v>#DIV/0!</v>
      </c>
      <c r="T90" s="43">
        <f aca="true" t="shared" si="15" ref="T90:T153">$B$11</f>
        <v>0</v>
      </c>
      <c r="U90" s="43"/>
      <c r="V90" s="525" t="e">
        <f>P90*('upper bound Kenaga'!$F$36/100)</f>
        <v>#DIV/0!</v>
      </c>
      <c r="W90" s="43"/>
      <c r="X90" s="525" t="e">
        <f>P90*('upper bound Kenaga'!$F$96/100)</f>
        <v>#DIV/0!</v>
      </c>
      <c r="Y90" s="43"/>
      <c r="Z90" s="43"/>
      <c r="AA90" s="43"/>
      <c r="AB90" s="43"/>
      <c r="AC90" s="43"/>
      <c r="AD90" s="43"/>
    </row>
    <row r="91" spans="1:30" ht="12.75">
      <c r="A91" s="111">
        <f>B3</f>
        <v>0</v>
      </c>
      <c r="B91" s="111">
        <f>B4</f>
        <v>0</v>
      </c>
      <c r="C91" s="33"/>
      <c r="D91" s="34"/>
      <c r="E91" s="33" t="s">
        <v>119</v>
      </c>
      <c r="K91" s="43"/>
      <c r="L91" s="43"/>
      <c r="M91" s="43">
        <f aca="true" t="shared" si="16" ref="M91:M154">(M90+1)</f>
        <v>70</v>
      </c>
      <c r="N91" s="43">
        <f aca="true" t="shared" si="17" ref="N91:N154">IF($B$9&gt;N90,IF(O90=($B$8-1),(N90+1),(N90)),(N90))</f>
        <v>1</v>
      </c>
      <c r="O91" s="43">
        <f aca="true" t="shared" si="18" ref="O91:O154">IF(O90&lt;($B$8-1),(1+O90),0)</f>
        <v>0</v>
      </c>
      <c r="P91" s="113" t="e">
        <f t="shared" si="11"/>
        <v>#DIV/0!</v>
      </c>
      <c r="Q91" s="113" t="e">
        <f t="shared" si="12"/>
        <v>#DIV/0!</v>
      </c>
      <c r="R91" s="113" t="e">
        <f t="shared" si="13"/>
        <v>#DIV/0!</v>
      </c>
      <c r="S91" s="113" t="e">
        <f t="shared" si="14"/>
        <v>#DIV/0!</v>
      </c>
      <c r="T91" s="43">
        <f t="shared" si="15"/>
        <v>0</v>
      </c>
      <c r="U91" s="43"/>
      <c r="V91" s="525" t="e">
        <f>P91*('upper bound Kenaga'!$F$36/100)</f>
        <v>#DIV/0!</v>
      </c>
      <c r="W91" s="43"/>
      <c r="X91" s="525" t="e">
        <f>P91*('upper bound Kenaga'!$F$96/100)</f>
        <v>#DIV/0!</v>
      </c>
      <c r="Y91" s="43"/>
      <c r="Z91" s="43"/>
      <c r="AA91" s="43"/>
      <c r="AB91" s="43"/>
      <c r="AC91" s="43"/>
      <c r="AD91" s="43"/>
    </row>
    <row r="92" spans="1:30" ht="21" thickBot="1">
      <c r="A92" s="18" t="s">
        <v>66</v>
      </c>
      <c r="B92" s="21"/>
      <c r="C92" s="21"/>
      <c r="D92" s="22"/>
      <c r="E92" s="21"/>
      <c r="F92" s="23"/>
      <c r="G92" s="24"/>
      <c r="H92" s="23"/>
      <c r="K92" s="43"/>
      <c r="L92" s="43"/>
      <c r="M92" s="43">
        <f t="shared" si="16"/>
        <v>71</v>
      </c>
      <c r="N92" s="43">
        <f t="shared" si="17"/>
        <v>1</v>
      </c>
      <c r="O92" s="43">
        <f t="shared" si="18"/>
        <v>0</v>
      </c>
      <c r="P92" s="113" t="e">
        <f t="shared" si="11"/>
        <v>#DIV/0!</v>
      </c>
      <c r="Q92" s="113" t="e">
        <f t="shared" si="12"/>
        <v>#DIV/0!</v>
      </c>
      <c r="R92" s="113" t="e">
        <f t="shared" si="13"/>
        <v>#DIV/0!</v>
      </c>
      <c r="S92" s="113" t="e">
        <f t="shared" si="14"/>
        <v>#DIV/0!</v>
      </c>
      <c r="T92" s="43">
        <f t="shared" si="15"/>
        <v>0</v>
      </c>
      <c r="U92" s="43"/>
      <c r="V92" s="525" t="e">
        <f>P92*('upper bound Kenaga'!$F$36/100)</f>
        <v>#DIV/0!</v>
      </c>
      <c r="W92" s="43"/>
      <c r="X92" s="525" t="e">
        <f>P92*('upper bound Kenaga'!$F$96/100)</f>
        <v>#DIV/0!</v>
      </c>
      <c r="Y92" s="43"/>
      <c r="Z92" s="43"/>
      <c r="AA92" s="43"/>
      <c r="AB92" s="43"/>
      <c r="AC92" s="43"/>
      <c r="AD92" s="43"/>
    </row>
    <row r="93" spans="3:30" ht="14.25" thickBot="1" thickTop="1">
      <c r="C93" s="9"/>
      <c r="D93" s="174"/>
      <c r="E93" s="175"/>
      <c r="F93" s="15"/>
      <c r="G93" s="14"/>
      <c r="H93" s="15"/>
      <c r="K93" s="43"/>
      <c r="L93" s="43"/>
      <c r="M93" s="43">
        <f t="shared" si="16"/>
        <v>72</v>
      </c>
      <c r="N93" s="43">
        <f t="shared" si="17"/>
        <v>1</v>
      </c>
      <c r="O93" s="43">
        <f t="shared" si="18"/>
        <v>0</v>
      </c>
      <c r="P93" s="113" t="e">
        <f t="shared" si="11"/>
        <v>#DIV/0!</v>
      </c>
      <c r="Q93" s="113" t="e">
        <f t="shared" si="12"/>
        <v>#DIV/0!</v>
      </c>
      <c r="R93" s="113" t="e">
        <f t="shared" si="13"/>
        <v>#DIV/0!</v>
      </c>
      <c r="S93" s="113" t="e">
        <f t="shared" si="14"/>
        <v>#DIV/0!</v>
      </c>
      <c r="T93" s="43">
        <f t="shared" si="15"/>
        <v>0</v>
      </c>
      <c r="U93" s="43"/>
      <c r="V93" s="525" t="e">
        <f>P93*('upper bound Kenaga'!$F$36/100)</f>
        <v>#DIV/0!</v>
      </c>
      <c r="W93" s="43"/>
      <c r="X93" s="525" t="e">
        <f>P93*('upper bound Kenaga'!$F$96/100)</f>
        <v>#DIV/0!</v>
      </c>
      <c r="Y93" s="43"/>
      <c r="Z93" s="43"/>
      <c r="AA93" s="43"/>
      <c r="AB93" s="43"/>
      <c r="AC93" s="43"/>
      <c r="AD93" s="43"/>
    </row>
    <row r="94" spans="2:30" ht="12.75">
      <c r="B94" s="497" t="s">
        <v>20</v>
      </c>
      <c r="C94" s="498" t="s">
        <v>52</v>
      </c>
      <c r="D94" s="499" t="s">
        <v>272</v>
      </c>
      <c r="E94" s="499" t="s">
        <v>274</v>
      </c>
      <c r="F94" s="411" t="s">
        <v>54</v>
      </c>
      <c r="G94" s="500" t="s">
        <v>270</v>
      </c>
      <c r="K94" s="43"/>
      <c r="L94" s="43"/>
      <c r="M94" s="43">
        <f t="shared" si="16"/>
        <v>73</v>
      </c>
      <c r="N94" s="43">
        <f t="shared" si="17"/>
        <v>1</v>
      </c>
      <c r="O94" s="43">
        <f t="shared" si="18"/>
        <v>0</v>
      </c>
      <c r="P94" s="113" t="e">
        <f t="shared" si="11"/>
        <v>#DIV/0!</v>
      </c>
      <c r="Q94" s="113" t="e">
        <f t="shared" si="12"/>
        <v>#DIV/0!</v>
      </c>
      <c r="R94" s="113" t="e">
        <f t="shared" si="13"/>
        <v>#DIV/0!</v>
      </c>
      <c r="S94" s="113" t="e">
        <f t="shared" si="14"/>
        <v>#DIV/0!</v>
      </c>
      <c r="T94" s="43">
        <f t="shared" si="15"/>
        <v>0</v>
      </c>
      <c r="U94" s="43"/>
      <c r="V94" s="525" t="e">
        <f>P94*('upper bound Kenaga'!$F$36/100)</f>
        <v>#DIV/0!</v>
      </c>
      <c r="W94" s="43"/>
      <c r="X94" s="525" t="e">
        <f>P94*('upper bound Kenaga'!$F$96/100)</f>
        <v>#DIV/0!</v>
      </c>
      <c r="Y94" s="43"/>
      <c r="Z94" s="43"/>
      <c r="AA94" s="43"/>
      <c r="AB94" s="43"/>
      <c r="AC94" s="43"/>
      <c r="AD94" s="43"/>
    </row>
    <row r="95" spans="2:30" ht="12.75">
      <c r="B95" s="501" t="s">
        <v>51</v>
      </c>
      <c r="C95" s="502" t="s">
        <v>53</v>
      </c>
      <c r="D95" s="503" t="s">
        <v>266</v>
      </c>
      <c r="E95" s="503" t="s">
        <v>268</v>
      </c>
      <c r="F95" s="415" t="s">
        <v>55</v>
      </c>
      <c r="G95" s="504" t="s">
        <v>271</v>
      </c>
      <c r="K95" s="43"/>
      <c r="L95" s="43"/>
      <c r="M95" s="43">
        <f t="shared" si="16"/>
        <v>74</v>
      </c>
      <c r="N95" s="43">
        <f t="shared" si="17"/>
        <v>1</v>
      </c>
      <c r="O95" s="43">
        <f t="shared" si="18"/>
        <v>0</v>
      </c>
      <c r="P95" s="113" t="e">
        <f t="shared" si="11"/>
        <v>#DIV/0!</v>
      </c>
      <c r="Q95" s="113" t="e">
        <f t="shared" si="12"/>
        <v>#DIV/0!</v>
      </c>
      <c r="R95" s="113" t="e">
        <f t="shared" si="13"/>
        <v>#DIV/0!</v>
      </c>
      <c r="S95" s="113" t="e">
        <f t="shared" si="14"/>
        <v>#DIV/0!</v>
      </c>
      <c r="T95" s="43">
        <f t="shared" si="15"/>
        <v>0</v>
      </c>
      <c r="U95" s="43"/>
      <c r="V95" s="525" t="e">
        <f>P95*('upper bound Kenaga'!$F$36/100)</f>
        <v>#DIV/0!</v>
      </c>
      <c r="W95" s="43"/>
      <c r="X95" s="525" t="e">
        <f>P95*('upper bound Kenaga'!$F$96/100)</f>
        <v>#DIV/0!</v>
      </c>
      <c r="Y95" s="43"/>
      <c r="Z95" s="43"/>
      <c r="AA95" s="43"/>
      <c r="AB95" s="43"/>
      <c r="AC95" s="43"/>
      <c r="AD95" s="43"/>
    </row>
    <row r="96" spans="2:30" ht="12.75" customHeight="1">
      <c r="B96" s="433"/>
      <c r="C96" s="434">
        <f>INPUTS!C16</f>
        <v>15</v>
      </c>
      <c r="D96" s="435">
        <f aca="true" t="shared" si="19" ref="D96:D101">(0.621*C96^0.564)</f>
        <v>2.8602702585762825</v>
      </c>
      <c r="E96" s="436">
        <f>D96/0.2</f>
        <v>14.301351292881412</v>
      </c>
      <c r="F96" s="437">
        <f aca="true" t="shared" si="20" ref="F96:F101">(E96/C96)*100</f>
        <v>95.34234195254274</v>
      </c>
      <c r="G96" s="438">
        <f aca="true" t="shared" si="21" ref="G96:G101">E96/1000</f>
        <v>0.014301351292881412</v>
      </c>
      <c r="K96" s="43"/>
      <c r="L96" s="43"/>
      <c r="M96" s="43">
        <f t="shared" si="16"/>
        <v>75</v>
      </c>
      <c r="N96" s="43">
        <f t="shared" si="17"/>
        <v>1</v>
      </c>
      <c r="O96" s="43">
        <f t="shared" si="18"/>
        <v>0</v>
      </c>
      <c r="P96" s="113" t="e">
        <f t="shared" si="11"/>
        <v>#DIV/0!</v>
      </c>
      <c r="Q96" s="113" t="e">
        <f t="shared" si="12"/>
        <v>#DIV/0!</v>
      </c>
      <c r="R96" s="113" t="e">
        <f t="shared" si="13"/>
        <v>#DIV/0!</v>
      </c>
      <c r="S96" s="113" t="e">
        <f t="shared" si="14"/>
        <v>#DIV/0!</v>
      </c>
      <c r="T96" s="43">
        <f t="shared" si="15"/>
        <v>0</v>
      </c>
      <c r="U96" s="43"/>
      <c r="V96" s="525" t="e">
        <f>P96*('upper bound Kenaga'!$F$36/100)</f>
        <v>#DIV/0!</v>
      </c>
      <c r="W96" s="43"/>
      <c r="X96" s="525" t="e">
        <f>P96*('upper bound Kenaga'!$F$96/100)</f>
        <v>#DIV/0!</v>
      </c>
      <c r="Y96" s="43"/>
      <c r="Z96" s="43"/>
      <c r="AA96" s="43"/>
      <c r="AB96" s="43"/>
      <c r="AC96" s="43"/>
      <c r="AD96" s="43"/>
    </row>
    <row r="97" spans="2:30" ht="12.75">
      <c r="B97" s="433" t="s">
        <v>42</v>
      </c>
      <c r="C97" s="434">
        <f>INPUTS!C17</f>
        <v>35</v>
      </c>
      <c r="D97" s="435">
        <f t="shared" si="19"/>
        <v>4.612601938597475</v>
      </c>
      <c r="E97" s="436">
        <f>D97/0.2</f>
        <v>23.063009692987375</v>
      </c>
      <c r="F97" s="437">
        <f t="shared" si="20"/>
        <v>65.89431340853535</v>
      </c>
      <c r="G97" s="438">
        <f t="shared" si="21"/>
        <v>0.023063009692987375</v>
      </c>
      <c r="K97" s="43"/>
      <c r="L97" s="43"/>
      <c r="M97" s="43">
        <f t="shared" si="16"/>
        <v>76</v>
      </c>
      <c r="N97" s="43">
        <f t="shared" si="17"/>
        <v>1</v>
      </c>
      <c r="O97" s="43">
        <f t="shared" si="18"/>
        <v>0</v>
      </c>
      <c r="P97" s="113" t="e">
        <f t="shared" si="11"/>
        <v>#DIV/0!</v>
      </c>
      <c r="Q97" s="113" t="e">
        <f t="shared" si="12"/>
        <v>#DIV/0!</v>
      </c>
      <c r="R97" s="113" t="e">
        <f t="shared" si="13"/>
        <v>#DIV/0!</v>
      </c>
      <c r="S97" s="113" t="e">
        <f t="shared" si="14"/>
        <v>#DIV/0!</v>
      </c>
      <c r="T97" s="43">
        <f t="shared" si="15"/>
        <v>0</v>
      </c>
      <c r="U97" s="43"/>
      <c r="V97" s="525" t="e">
        <f>P97*('upper bound Kenaga'!$F$36/100)</f>
        <v>#DIV/0!</v>
      </c>
      <c r="W97" s="43"/>
      <c r="X97" s="525" t="e">
        <f>P97*('upper bound Kenaga'!$F$96/100)</f>
        <v>#DIV/0!</v>
      </c>
      <c r="Y97" s="43"/>
      <c r="Z97" s="43"/>
      <c r="AA97" s="43"/>
      <c r="AB97" s="43"/>
      <c r="AC97" s="43"/>
      <c r="AD97" s="43"/>
    </row>
    <row r="98" spans="2:30" ht="12.75">
      <c r="B98" s="439" t="s">
        <v>43</v>
      </c>
      <c r="C98" s="432">
        <f>INPUTS!C18</f>
        <v>1000</v>
      </c>
      <c r="D98" s="440">
        <f t="shared" si="19"/>
        <v>30.555655165818088</v>
      </c>
      <c r="E98" s="441">
        <f>D98/0.2</f>
        <v>152.77827582909043</v>
      </c>
      <c r="F98" s="442">
        <f t="shared" si="20"/>
        <v>15.277827582909042</v>
      </c>
      <c r="G98" s="443">
        <f t="shared" si="21"/>
        <v>0.15277827582909043</v>
      </c>
      <c r="K98" s="43"/>
      <c r="L98" s="43"/>
      <c r="M98" s="43">
        <f t="shared" si="16"/>
        <v>77</v>
      </c>
      <c r="N98" s="43">
        <f t="shared" si="17"/>
        <v>1</v>
      </c>
      <c r="O98" s="43">
        <f t="shared" si="18"/>
        <v>0</v>
      </c>
      <c r="P98" s="113" t="e">
        <f t="shared" si="11"/>
        <v>#DIV/0!</v>
      </c>
      <c r="Q98" s="113" t="e">
        <f t="shared" si="12"/>
        <v>#DIV/0!</v>
      </c>
      <c r="R98" s="113" t="e">
        <f t="shared" si="13"/>
        <v>#DIV/0!</v>
      </c>
      <c r="S98" s="113" t="e">
        <f t="shared" si="14"/>
        <v>#DIV/0!</v>
      </c>
      <c r="T98" s="43">
        <f t="shared" si="15"/>
        <v>0</v>
      </c>
      <c r="U98" s="43"/>
      <c r="V98" s="525" t="e">
        <f>P98*('upper bound Kenaga'!$F$36/100)</f>
        <v>#DIV/0!</v>
      </c>
      <c r="W98" s="43"/>
      <c r="X98" s="525" t="e">
        <f>P98*('upper bound Kenaga'!$F$96/100)</f>
        <v>#DIV/0!</v>
      </c>
      <c r="Y98" s="43"/>
      <c r="Z98" s="43"/>
      <c r="AA98" s="43"/>
      <c r="AB98" s="43"/>
      <c r="AC98" s="43"/>
      <c r="AD98" s="43"/>
    </row>
    <row r="99" spans="2:30" ht="12.75">
      <c r="B99" s="433"/>
      <c r="C99" s="434">
        <f>INPUTS!C16</f>
        <v>15</v>
      </c>
      <c r="D99" s="435">
        <f t="shared" si="19"/>
        <v>2.8602702585762825</v>
      </c>
      <c r="E99" s="436">
        <f>D99/0.9</f>
        <v>3.178078065084758</v>
      </c>
      <c r="F99" s="437">
        <f t="shared" si="20"/>
        <v>21.187187100565055</v>
      </c>
      <c r="G99" s="438">
        <f t="shared" si="21"/>
        <v>0.0031780780650847583</v>
      </c>
      <c r="K99" s="43"/>
      <c r="L99" s="43"/>
      <c r="M99" s="43">
        <f t="shared" si="16"/>
        <v>78</v>
      </c>
      <c r="N99" s="43">
        <f t="shared" si="17"/>
        <v>1</v>
      </c>
      <c r="O99" s="43">
        <f t="shared" si="18"/>
        <v>0</v>
      </c>
      <c r="P99" s="113" t="e">
        <f t="shared" si="11"/>
        <v>#DIV/0!</v>
      </c>
      <c r="Q99" s="113" t="e">
        <f t="shared" si="12"/>
        <v>#DIV/0!</v>
      </c>
      <c r="R99" s="113" t="e">
        <f t="shared" si="13"/>
        <v>#DIV/0!</v>
      </c>
      <c r="S99" s="113" t="e">
        <f t="shared" si="14"/>
        <v>#DIV/0!</v>
      </c>
      <c r="T99" s="43">
        <f t="shared" si="15"/>
        <v>0</v>
      </c>
      <c r="U99" s="43"/>
      <c r="V99" s="525" t="e">
        <f>P99*('upper bound Kenaga'!$F$36/100)</f>
        <v>#DIV/0!</v>
      </c>
      <c r="W99" s="43"/>
      <c r="X99" s="525" t="e">
        <f>P99*('upper bound Kenaga'!$F$96/100)</f>
        <v>#DIV/0!</v>
      </c>
      <c r="Y99" s="43"/>
      <c r="Z99" s="43"/>
      <c r="AA99" s="43"/>
      <c r="AB99" s="43"/>
      <c r="AC99" s="43"/>
      <c r="AD99" s="43"/>
    </row>
    <row r="100" spans="2:30" ht="12.75">
      <c r="B100" s="433" t="s">
        <v>75</v>
      </c>
      <c r="C100" s="434">
        <f>INPUTS!C17</f>
        <v>35</v>
      </c>
      <c r="D100" s="435">
        <f t="shared" si="19"/>
        <v>4.612601938597475</v>
      </c>
      <c r="E100" s="436">
        <f>D100/0.9</f>
        <v>5.125113265108306</v>
      </c>
      <c r="F100" s="437">
        <f t="shared" si="20"/>
        <v>14.643180757452301</v>
      </c>
      <c r="G100" s="438">
        <f t="shared" si="21"/>
        <v>0.005125113265108306</v>
      </c>
      <c r="K100" s="43"/>
      <c r="L100" s="43"/>
      <c r="M100" s="43">
        <f t="shared" si="16"/>
        <v>79</v>
      </c>
      <c r="N100" s="43">
        <f t="shared" si="17"/>
        <v>1</v>
      </c>
      <c r="O100" s="43">
        <f t="shared" si="18"/>
        <v>0</v>
      </c>
      <c r="P100" s="113" t="e">
        <f t="shared" si="11"/>
        <v>#DIV/0!</v>
      </c>
      <c r="Q100" s="113" t="e">
        <f t="shared" si="12"/>
        <v>#DIV/0!</v>
      </c>
      <c r="R100" s="113" t="e">
        <f t="shared" si="13"/>
        <v>#DIV/0!</v>
      </c>
      <c r="S100" s="113" t="e">
        <f t="shared" si="14"/>
        <v>#DIV/0!</v>
      </c>
      <c r="T100" s="43">
        <f t="shared" si="15"/>
        <v>0</v>
      </c>
      <c r="U100" s="43"/>
      <c r="V100" s="525" t="e">
        <f>P100*('upper bound Kenaga'!$F$36/100)</f>
        <v>#DIV/0!</v>
      </c>
      <c r="W100" s="43"/>
      <c r="X100" s="525" t="e">
        <f>P100*('upper bound Kenaga'!$F$96/100)</f>
        <v>#DIV/0!</v>
      </c>
      <c r="Y100" s="43"/>
      <c r="Z100" s="43"/>
      <c r="AA100" s="43"/>
      <c r="AB100" s="43"/>
      <c r="AC100" s="43"/>
      <c r="AD100" s="43"/>
    </row>
    <row r="101" spans="2:30" ht="13.5" thickBot="1">
      <c r="B101" s="444"/>
      <c r="C101" s="445">
        <f>INPUTS!C18</f>
        <v>1000</v>
      </c>
      <c r="D101" s="446">
        <f t="shared" si="19"/>
        <v>30.555655165818088</v>
      </c>
      <c r="E101" s="447">
        <f>D101/0.9</f>
        <v>33.950727962020096</v>
      </c>
      <c r="F101" s="448">
        <f t="shared" si="20"/>
        <v>3.3950727962020095</v>
      </c>
      <c r="G101" s="449">
        <f t="shared" si="21"/>
        <v>0.033950727962020096</v>
      </c>
      <c r="K101" s="43"/>
      <c r="L101" s="43"/>
      <c r="M101" s="43">
        <f t="shared" si="16"/>
        <v>80</v>
      </c>
      <c r="N101" s="43">
        <f t="shared" si="17"/>
        <v>1</v>
      </c>
      <c r="O101" s="43">
        <f t="shared" si="18"/>
        <v>0</v>
      </c>
      <c r="P101" s="113" t="e">
        <f t="shared" si="11"/>
        <v>#DIV/0!</v>
      </c>
      <c r="Q101" s="113" t="e">
        <f t="shared" si="12"/>
        <v>#DIV/0!</v>
      </c>
      <c r="R101" s="113" t="e">
        <f t="shared" si="13"/>
        <v>#DIV/0!</v>
      </c>
      <c r="S101" s="113" t="e">
        <f t="shared" si="14"/>
        <v>#DIV/0!</v>
      </c>
      <c r="T101" s="43">
        <f t="shared" si="15"/>
        <v>0</v>
      </c>
      <c r="U101" s="43"/>
      <c r="V101" s="525" t="e">
        <f>P101*('upper bound Kenaga'!$F$36/100)</f>
        <v>#DIV/0!</v>
      </c>
      <c r="W101" s="43"/>
      <c r="X101" s="525" t="e">
        <f>P101*('upper bound Kenaga'!$F$96/100)</f>
        <v>#DIV/0!</v>
      </c>
      <c r="Y101" s="43"/>
      <c r="Z101" s="43"/>
      <c r="AA101" s="43"/>
      <c r="AB101" s="43"/>
      <c r="AC101" s="43"/>
      <c r="AD101" s="43"/>
    </row>
    <row r="102" spans="1:30" ht="13.5" thickBot="1">
      <c r="A102" s="8"/>
      <c r="B102" s="196"/>
      <c r="C102" s="196"/>
      <c r="D102" s="450"/>
      <c r="E102" s="196"/>
      <c r="F102" s="196"/>
      <c r="G102" s="196"/>
      <c r="K102" s="43"/>
      <c r="L102" s="43"/>
      <c r="M102" s="43">
        <f t="shared" si="16"/>
        <v>81</v>
      </c>
      <c r="N102" s="43">
        <f t="shared" si="17"/>
        <v>1</v>
      </c>
      <c r="O102" s="43">
        <f t="shared" si="18"/>
        <v>0</v>
      </c>
      <c r="P102" s="113" t="e">
        <f t="shared" si="11"/>
        <v>#DIV/0!</v>
      </c>
      <c r="Q102" s="113" t="e">
        <f t="shared" si="12"/>
        <v>#DIV/0!</v>
      </c>
      <c r="R102" s="113" t="e">
        <f t="shared" si="13"/>
        <v>#DIV/0!</v>
      </c>
      <c r="S102" s="113" t="e">
        <f t="shared" si="14"/>
        <v>#DIV/0!</v>
      </c>
      <c r="T102" s="43">
        <f t="shared" si="15"/>
        <v>0</v>
      </c>
      <c r="U102" s="43"/>
      <c r="V102" s="525" t="e">
        <f>P102*('upper bound Kenaga'!$F$36/100)</f>
        <v>#DIV/0!</v>
      </c>
      <c r="W102" s="43"/>
      <c r="X102" s="525" t="e">
        <f>P102*('upper bound Kenaga'!$F$96/100)</f>
        <v>#DIV/0!</v>
      </c>
      <c r="Y102" s="43"/>
      <c r="Z102" s="43"/>
      <c r="AA102" s="43"/>
      <c r="AB102" s="43"/>
      <c r="AC102" s="43"/>
      <c r="AD102" s="43"/>
    </row>
    <row r="103" spans="2:30" ht="12.75">
      <c r="B103" s="497" t="s">
        <v>20</v>
      </c>
      <c r="C103" s="505" t="s">
        <v>52</v>
      </c>
      <c r="D103" s="506" t="s">
        <v>195</v>
      </c>
      <c r="E103" s="507" t="s">
        <v>195</v>
      </c>
      <c r="F103" s="451"/>
      <c r="G103" s="196"/>
      <c r="K103" s="43"/>
      <c r="L103" s="43"/>
      <c r="M103" s="43">
        <f t="shared" si="16"/>
        <v>82</v>
      </c>
      <c r="N103" s="43">
        <f t="shared" si="17"/>
        <v>1</v>
      </c>
      <c r="O103" s="43">
        <f t="shared" si="18"/>
        <v>0</v>
      </c>
      <c r="P103" s="113" t="e">
        <f t="shared" si="11"/>
        <v>#DIV/0!</v>
      </c>
      <c r="Q103" s="113" t="e">
        <f t="shared" si="12"/>
        <v>#DIV/0!</v>
      </c>
      <c r="R103" s="113" t="e">
        <f t="shared" si="13"/>
        <v>#DIV/0!</v>
      </c>
      <c r="S103" s="113" t="e">
        <f t="shared" si="14"/>
        <v>#DIV/0!</v>
      </c>
      <c r="T103" s="43">
        <f t="shared" si="15"/>
        <v>0</v>
      </c>
      <c r="U103" s="43"/>
      <c r="V103" s="525" t="e">
        <f>P103*('upper bound Kenaga'!$F$36/100)</f>
        <v>#DIV/0!</v>
      </c>
      <c r="W103" s="43"/>
      <c r="X103" s="525" t="e">
        <f>P103*('upper bound Kenaga'!$F$96/100)</f>
        <v>#DIV/0!</v>
      </c>
      <c r="Y103" s="43"/>
      <c r="Z103" s="43"/>
      <c r="AA103" s="43"/>
      <c r="AB103" s="43"/>
      <c r="AC103" s="43"/>
      <c r="AD103" s="43"/>
    </row>
    <row r="104" spans="2:30" ht="12.75">
      <c r="B104" s="501" t="s">
        <v>51</v>
      </c>
      <c r="C104" s="508" t="s">
        <v>53</v>
      </c>
      <c r="D104" s="419" t="s">
        <v>196</v>
      </c>
      <c r="E104" s="509" t="s">
        <v>102</v>
      </c>
      <c r="F104" s="451"/>
      <c r="G104" s="196"/>
      <c r="K104" s="43"/>
      <c r="L104" s="43"/>
      <c r="M104" s="43">
        <f t="shared" si="16"/>
        <v>83</v>
      </c>
      <c r="N104" s="43">
        <f t="shared" si="17"/>
        <v>1</v>
      </c>
      <c r="O104" s="43">
        <f t="shared" si="18"/>
        <v>0</v>
      </c>
      <c r="P104" s="113" t="e">
        <f t="shared" si="11"/>
        <v>#DIV/0!</v>
      </c>
      <c r="Q104" s="113" t="e">
        <f t="shared" si="12"/>
        <v>#DIV/0!</v>
      </c>
      <c r="R104" s="113" t="e">
        <f t="shared" si="13"/>
        <v>#DIV/0!</v>
      </c>
      <c r="S104" s="113" t="e">
        <f t="shared" si="14"/>
        <v>#DIV/0!</v>
      </c>
      <c r="T104" s="43">
        <f t="shared" si="15"/>
        <v>0</v>
      </c>
      <c r="U104" s="43"/>
      <c r="V104" s="525" t="e">
        <f>P104*('upper bound Kenaga'!$F$36/100)</f>
        <v>#DIV/0!</v>
      </c>
      <c r="W104" s="43"/>
      <c r="X104" s="525" t="e">
        <f>P104*('upper bound Kenaga'!$F$96/100)</f>
        <v>#DIV/0!</v>
      </c>
      <c r="Y104" s="43"/>
      <c r="Z104" s="43"/>
      <c r="AA104" s="43"/>
      <c r="AB104" s="43"/>
      <c r="AC104" s="43"/>
      <c r="AD104" s="43"/>
    </row>
    <row r="105" spans="2:30" ht="12.75">
      <c r="B105" s="433"/>
      <c r="C105" s="453">
        <f aca="true" t="shared" si="22" ref="C105:C110">C96</f>
        <v>15</v>
      </c>
      <c r="D105" s="454">
        <f>($D$20*((INPUTS!$D$31/C105)^0.25))</f>
        <v>0</v>
      </c>
      <c r="E105" s="455">
        <f>($D$22*((INPUTS!$E$31/C105)^0.25))</f>
        <v>0</v>
      </c>
      <c r="F105" s="456"/>
      <c r="G105" s="196"/>
      <c r="K105" s="43"/>
      <c r="L105" s="43"/>
      <c r="M105" s="43">
        <f t="shared" si="16"/>
        <v>84</v>
      </c>
      <c r="N105" s="43">
        <f t="shared" si="17"/>
        <v>1</v>
      </c>
      <c r="O105" s="43">
        <f t="shared" si="18"/>
        <v>0</v>
      </c>
      <c r="P105" s="113" t="e">
        <f t="shared" si="11"/>
        <v>#DIV/0!</v>
      </c>
      <c r="Q105" s="113" t="e">
        <f t="shared" si="12"/>
        <v>#DIV/0!</v>
      </c>
      <c r="R105" s="113" t="e">
        <f t="shared" si="13"/>
        <v>#DIV/0!</v>
      </c>
      <c r="S105" s="113" t="e">
        <f t="shared" si="14"/>
        <v>#DIV/0!</v>
      </c>
      <c r="T105" s="43">
        <f t="shared" si="15"/>
        <v>0</v>
      </c>
      <c r="U105" s="43"/>
      <c r="V105" s="525" t="e">
        <f>P105*('upper bound Kenaga'!$F$36/100)</f>
        <v>#DIV/0!</v>
      </c>
      <c r="W105" s="43"/>
      <c r="X105" s="525" t="e">
        <f>P105*('upper bound Kenaga'!$F$96/100)</f>
        <v>#DIV/0!</v>
      </c>
      <c r="Y105" s="43"/>
      <c r="Z105" s="43"/>
      <c r="AA105" s="43"/>
      <c r="AB105" s="43"/>
      <c r="AC105" s="43"/>
      <c r="AD105" s="43"/>
    </row>
    <row r="106" spans="2:30" ht="12.75">
      <c r="B106" s="433" t="s">
        <v>42</v>
      </c>
      <c r="C106" s="453">
        <f t="shared" si="22"/>
        <v>35</v>
      </c>
      <c r="D106" s="427">
        <f>($D$20*((INPUTS!D31/C106)^0.25))</f>
        <v>0</v>
      </c>
      <c r="E106" s="457">
        <f>($D$22*((INPUTS!$E$31/C106)^0.25))</f>
        <v>0</v>
      </c>
      <c r="F106" s="456"/>
      <c r="G106" s="196"/>
      <c r="K106" s="43"/>
      <c r="L106" s="43"/>
      <c r="M106" s="43">
        <f t="shared" si="16"/>
        <v>85</v>
      </c>
      <c r="N106" s="43">
        <f t="shared" si="17"/>
        <v>1</v>
      </c>
      <c r="O106" s="43">
        <f t="shared" si="18"/>
        <v>0</v>
      </c>
      <c r="P106" s="113" t="e">
        <f aca="true" t="shared" si="23" ref="P106:P169">IF((N106&gt;N105),(EXP(-$Q$16)*(P105)+$Q$11),((EXP(-$Q$16)*(P105))))</f>
        <v>#DIV/0!</v>
      </c>
      <c r="Q106" s="113" t="e">
        <f aca="true" t="shared" si="24" ref="Q106:Q169">IF((N106&gt;N105),(EXP(-$Q$16)*(Q105)+$Q$12),((EXP(-$Q$16)*(Q105))))</f>
        <v>#DIV/0!</v>
      </c>
      <c r="R106" s="113" t="e">
        <f aca="true" t="shared" si="25" ref="R106:R169">IF((N106&gt;N105),(EXP(-$Q$16)*(R105)+$Q$13),((EXP(-$Q$16)*(R105))))</f>
        <v>#DIV/0!</v>
      </c>
      <c r="S106" s="113" t="e">
        <f aca="true" t="shared" si="26" ref="S106:S169">IF((N106&gt;N105),(EXP(-$Q$16)*(S105)+$Q$14),((EXP(-$Q$16)*(S105))))</f>
        <v>#DIV/0!</v>
      </c>
      <c r="T106" s="43">
        <f t="shared" si="15"/>
        <v>0</v>
      </c>
      <c r="U106" s="43"/>
      <c r="V106" s="525" t="e">
        <f>P106*('upper bound Kenaga'!$F$36/100)</f>
        <v>#DIV/0!</v>
      </c>
      <c r="W106" s="43"/>
      <c r="X106" s="525" t="e">
        <f>P106*('upper bound Kenaga'!$F$96/100)</f>
        <v>#DIV/0!</v>
      </c>
      <c r="Y106" s="43"/>
      <c r="Z106" s="43"/>
      <c r="AA106" s="43"/>
      <c r="AB106" s="43"/>
      <c r="AC106" s="43"/>
      <c r="AD106" s="43"/>
    </row>
    <row r="107" spans="2:30" ht="12.75">
      <c r="B107" s="439" t="s">
        <v>43</v>
      </c>
      <c r="C107" s="452">
        <f t="shared" si="22"/>
        <v>1000</v>
      </c>
      <c r="D107" s="458">
        <f>($D$20*((INPUTS!D31/C107)^0.25))</f>
        <v>0</v>
      </c>
      <c r="E107" s="459">
        <f>($D$22*((INPUTS!$E$31/C107)^0.25))</f>
        <v>0</v>
      </c>
      <c r="F107" s="456"/>
      <c r="G107" s="196"/>
      <c r="K107" s="43"/>
      <c r="L107" s="43"/>
      <c r="M107" s="43">
        <f t="shared" si="16"/>
        <v>86</v>
      </c>
      <c r="N107" s="43">
        <f t="shared" si="17"/>
        <v>1</v>
      </c>
      <c r="O107" s="43">
        <f t="shared" si="18"/>
        <v>0</v>
      </c>
      <c r="P107" s="113" t="e">
        <f t="shared" si="23"/>
        <v>#DIV/0!</v>
      </c>
      <c r="Q107" s="113" t="e">
        <f t="shared" si="24"/>
        <v>#DIV/0!</v>
      </c>
      <c r="R107" s="113" t="e">
        <f t="shared" si="25"/>
        <v>#DIV/0!</v>
      </c>
      <c r="S107" s="113" t="e">
        <f t="shared" si="26"/>
        <v>#DIV/0!</v>
      </c>
      <c r="T107" s="43">
        <f t="shared" si="15"/>
        <v>0</v>
      </c>
      <c r="U107" s="43"/>
      <c r="V107" s="525" t="e">
        <f>P107*('upper bound Kenaga'!$F$36/100)</f>
        <v>#DIV/0!</v>
      </c>
      <c r="W107" s="43"/>
      <c r="X107" s="525" t="e">
        <f>P107*('upper bound Kenaga'!$F$96/100)</f>
        <v>#DIV/0!</v>
      </c>
      <c r="Y107" s="43"/>
      <c r="Z107" s="43"/>
      <c r="AA107" s="43"/>
      <c r="AB107" s="43"/>
      <c r="AC107" s="43"/>
      <c r="AD107" s="43"/>
    </row>
    <row r="108" spans="2:30" ht="12.75">
      <c r="B108" s="433"/>
      <c r="C108" s="453">
        <f t="shared" si="22"/>
        <v>15</v>
      </c>
      <c r="D108" s="427">
        <f>($D$20*((INPUTS!D31/C108)^0.25))</f>
        <v>0</v>
      </c>
      <c r="E108" s="457">
        <f>($D$22*((INPUTS!$E$31/C108)^0.25))</f>
        <v>0</v>
      </c>
      <c r="F108" s="456"/>
      <c r="G108" s="196"/>
      <c r="H108" s="11"/>
      <c r="K108" s="43"/>
      <c r="L108" s="43"/>
      <c r="M108" s="43">
        <f t="shared" si="16"/>
        <v>87</v>
      </c>
      <c r="N108" s="43">
        <f t="shared" si="17"/>
        <v>1</v>
      </c>
      <c r="O108" s="43">
        <f t="shared" si="18"/>
        <v>0</v>
      </c>
      <c r="P108" s="113" t="e">
        <f t="shared" si="23"/>
        <v>#DIV/0!</v>
      </c>
      <c r="Q108" s="113" t="e">
        <f t="shared" si="24"/>
        <v>#DIV/0!</v>
      </c>
      <c r="R108" s="113" t="e">
        <f t="shared" si="25"/>
        <v>#DIV/0!</v>
      </c>
      <c r="S108" s="113" t="e">
        <f t="shared" si="26"/>
        <v>#DIV/0!</v>
      </c>
      <c r="T108" s="43">
        <f t="shared" si="15"/>
        <v>0</v>
      </c>
      <c r="U108" s="43"/>
      <c r="V108" s="525" t="e">
        <f>P108*('upper bound Kenaga'!$F$36/100)</f>
        <v>#DIV/0!</v>
      </c>
      <c r="W108" s="43"/>
      <c r="X108" s="525" t="e">
        <f>P108*('upper bound Kenaga'!$F$96/100)</f>
        <v>#DIV/0!</v>
      </c>
      <c r="Y108" s="43"/>
      <c r="Z108" s="43"/>
      <c r="AA108" s="43"/>
      <c r="AB108" s="43"/>
      <c r="AC108" s="43"/>
      <c r="AD108" s="43"/>
    </row>
    <row r="109" spans="2:30" ht="12.75">
      <c r="B109" s="433" t="s">
        <v>75</v>
      </c>
      <c r="C109" s="453">
        <f t="shared" si="22"/>
        <v>35</v>
      </c>
      <c r="D109" s="427">
        <f>($D$20*((INPUTS!D31/C109)^0.25))</f>
        <v>0</v>
      </c>
      <c r="E109" s="457">
        <f>($D$22*((INPUTS!$E$31/C109)^0.25))</f>
        <v>0</v>
      </c>
      <c r="F109" s="456"/>
      <c r="G109" s="196"/>
      <c r="H109" s="11"/>
      <c r="K109" s="43"/>
      <c r="L109" s="43"/>
      <c r="M109" s="43">
        <f t="shared" si="16"/>
        <v>88</v>
      </c>
      <c r="N109" s="43">
        <f t="shared" si="17"/>
        <v>1</v>
      </c>
      <c r="O109" s="43">
        <f t="shared" si="18"/>
        <v>0</v>
      </c>
      <c r="P109" s="113" t="e">
        <f t="shared" si="23"/>
        <v>#DIV/0!</v>
      </c>
      <c r="Q109" s="113" t="e">
        <f t="shared" si="24"/>
        <v>#DIV/0!</v>
      </c>
      <c r="R109" s="113" t="e">
        <f t="shared" si="25"/>
        <v>#DIV/0!</v>
      </c>
      <c r="S109" s="113" t="e">
        <f t="shared" si="26"/>
        <v>#DIV/0!</v>
      </c>
      <c r="T109" s="43">
        <f t="shared" si="15"/>
        <v>0</v>
      </c>
      <c r="U109" s="43"/>
      <c r="V109" s="525" t="e">
        <f>P109*('upper bound Kenaga'!$F$36/100)</f>
        <v>#DIV/0!</v>
      </c>
      <c r="W109" s="43"/>
      <c r="X109" s="525" t="e">
        <f>P109*('upper bound Kenaga'!$F$96/100)</f>
        <v>#DIV/0!</v>
      </c>
      <c r="Y109" s="43"/>
      <c r="Z109" s="43"/>
      <c r="AA109" s="43"/>
      <c r="AB109" s="43"/>
      <c r="AC109" s="43"/>
      <c r="AD109" s="43"/>
    </row>
    <row r="110" spans="2:30" ht="13.5" thickBot="1">
      <c r="B110" s="444"/>
      <c r="C110" s="460">
        <f t="shared" si="22"/>
        <v>1000</v>
      </c>
      <c r="D110" s="428">
        <f>($D$20*((INPUTS!D31/C110)^0.25))</f>
        <v>0</v>
      </c>
      <c r="E110" s="461">
        <f>($D$22*((INPUTS!$E$31/C110)^0.25))</f>
        <v>0</v>
      </c>
      <c r="F110" s="456"/>
      <c r="G110" s="196"/>
      <c r="H110" s="11"/>
      <c r="K110" s="43"/>
      <c r="L110" s="43"/>
      <c r="M110" s="43">
        <f t="shared" si="16"/>
        <v>89</v>
      </c>
      <c r="N110" s="43">
        <f t="shared" si="17"/>
        <v>1</v>
      </c>
      <c r="O110" s="43">
        <f t="shared" si="18"/>
        <v>0</v>
      </c>
      <c r="P110" s="113" t="e">
        <f t="shared" si="23"/>
        <v>#DIV/0!</v>
      </c>
      <c r="Q110" s="113" t="e">
        <f t="shared" si="24"/>
        <v>#DIV/0!</v>
      </c>
      <c r="R110" s="113" t="e">
        <f t="shared" si="25"/>
        <v>#DIV/0!</v>
      </c>
      <c r="S110" s="113" t="e">
        <f t="shared" si="26"/>
        <v>#DIV/0!</v>
      </c>
      <c r="T110" s="43">
        <f t="shared" si="15"/>
        <v>0</v>
      </c>
      <c r="U110" s="43"/>
      <c r="V110" s="525" t="e">
        <f>P110*('upper bound Kenaga'!$F$36/100)</f>
        <v>#DIV/0!</v>
      </c>
      <c r="W110" s="43"/>
      <c r="X110" s="525" t="e">
        <f>P110*('upper bound Kenaga'!$F$96/100)</f>
        <v>#DIV/0!</v>
      </c>
      <c r="Y110" s="43"/>
      <c r="Z110" s="43"/>
      <c r="AA110" s="43"/>
      <c r="AB110" s="43"/>
      <c r="AC110" s="43"/>
      <c r="AD110" s="43"/>
    </row>
    <row r="111" spans="2:30" ht="12.75" customHeight="1" thickBot="1">
      <c r="B111" s="43"/>
      <c r="C111" s="43"/>
      <c r="D111" s="182"/>
      <c r="E111" s="43"/>
      <c r="F111" s="43"/>
      <c r="G111" s="43"/>
      <c r="H111" s="12"/>
      <c r="K111" s="43"/>
      <c r="L111" s="43"/>
      <c r="M111" s="43">
        <f t="shared" si="16"/>
        <v>90</v>
      </c>
      <c r="N111" s="43">
        <f t="shared" si="17"/>
        <v>1</v>
      </c>
      <c r="O111" s="43">
        <f t="shared" si="18"/>
        <v>0</v>
      </c>
      <c r="P111" s="113" t="e">
        <f t="shared" si="23"/>
        <v>#DIV/0!</v>
      </c>
      <c r="Q111" s="113" t="e">
        <f t="shared" si="24"/>
        <v>#DIV/0!</v>
      </c>
      <c r="R111" s="113" t="e">
        <f t="shared" si="25"/>
        <v>#DIV/0!</v>
      </c>
      <c r="S111" s="113" t="e">
        <f t="shared" si="26"/>
        <v>#DIV/0!</v>
      </c>
      <c r="T111" s="43">
        <f t="shared" si="15"/>
        <v>0</v>
      </c>
      <c r="U111" s="43"/>
      <c r="V111" s="525" t="e">
        <f>P111*('upper bound Kenaga'!$F$36/100)</f>
        <v>#DIV/0!</v>
      </c>
      <c r="W111" s="43"/>
      <c r="X111" s="525" t="e">
        <f>P111*('upper bound Kenaga'!$F$96/100)</f>
        <v>#DIV/0!</v>
      </c>
      <c r="Y111" s="43"/>
      <c r="Z111" s="43"/>
      <c r="AA111" s="43"/>
      <c r="AB111" s="43"/>
      <c r="AC111" s="43"/>
      <c r="AD111" s="43"/>
    </row>
    <row r="112" spans="1:30" ht="12.75">
      <c r="A112" s="882" t="s">
        <v>352</v>
      </c>
      <c r="B112" s="879" t="s">
        <v>56</v>
      </c>
      <c r="C112" s="880"/>
      <c r="D112" s="880"/>
      <c r="E112" s="880"/>
      <c r="F112" s="880"/>
      <c r="G112" s="881"/>
      <c r="H112" s="12"/>
      <c r="K112" s="43"/>
      <c r="L112" s="43"/>
      <c r="M112" s="43">
        <f t="shared" si="16"/>
        <v>91</v>
      </c>
      <c r="N112" s="43">
        <f t="shared" si="17"/>
        <v>1</v>
      </c>
      <c r="O112" s="43">
        <f t="shared" si="18"/>
        <v>0</v>
      </c>
      <c r="P112" s="113" t="e">
        <f t="shared" si="23"/>
        <v>#DIV/0!</v>
      </c>
      <c r="Q112" s="113" t="e">
        <f t="shared" si="24"/>
        <v>#DIV/0!</v>
      </c>
      <c r="R112" s="113" t="e">
        <f t="shared" si="25"/>
        <v>#DIV/0!</v>
      </c>
      <c r="S112" s="113" t="e">
        <f t="shared" si="26"/>
        <v>#DIV/0!</v>
      </c>
      <c r="T112" s="43">
        <f t="shared" si="15"/>
        <v>0</v>
      </c>
      <c r="U112" s="43"/>
      <c r="V112" s="525" t="e">
        <f>P112*('upper bound Kenaga'!$F$36/100)</f>
        <v>#DIV/0!</v>
      </c>
      <c r="W112" s="43"/>
      <c r="X112" s="525" t="e">
        <f>P112*('upper bound Kenaga'!$F$96/100)</f>
        <v>#DIV/0!</v>
      </c>
      <c r="Y112" s="43"/>
      <c r="Z112" s="43"/>
      <c r="AA112" s="43"/>
      <c r="AB112" s="43"/>
      <c r="AC112" s="43"/>
      <c r="AD112" s="43"/>
    </row>
    <row r="113" spans="1:30" ht="12.75">
      <c r="A113" s="883"/>
      <c r="B113" s="885" t="s">
        <v>451</v>
      </c>
      <c r="C113" s="877"/>
      <c r="D113" s="886"/>
      <c r="E113" s="876" t="s">
        <v>452</v>
      </c>
      <c r="F113" s="877"/>
      <c r="G113" s="878"/>
      <c r="H113" s="12"/>
      <c r="K113" s="43"/>
      <c r="L113" s="43"/>
      <c r="M113" s="43">
        <f t="shared" si="16"/>
        <v>92</v>
      </c>
      <c r="N113" s="43">
        <f t="shared" si="17"/>
        <v>1</v>
      </c>
      <c r="O113" s="43">
        <f t="shared" si="18"/>
        <v>0</v>
      </c>
      <c r="P113" s="113" t="e">
        <f t="shared" si="23"/>
        <v>#DIV/0!</v>
      </c>
      <c r="Q113" s="113" t="e">
        <f t="shared" si="24"/>
        <v>#DIV/0!</v>
      </c>
      <c r="R113" s="113" t="e">
        <f t="shared" si="25"/>
        <v>#DIV/0!</v>
      </c>
      <c r="S113" s="113" t="e">
        <f t="shared" si="26"/>
        <v>#DIV/0!</v>
      </c>
      <c r="T113" s="43">
        <f t="shared" si="15"/>
        <v>0</v>
      </c>
      <c r="U113" s="43"/>
      <c r="V113" s="525" t="e">
        <f>P113*('upper bound Kenaga'!$F$36/100)</f>
        <v>#DIV/0!</v>
      </c>
      <c r="W113" s="43"/>
      <c r="X113" s="525" t="e">
        <f>P113*('upper bound Kenaga'!$F$96/100)</f>
        <v>#DIV/0!</v>
      </c>
      <c r="Y113" s="43"/>
      <c r="Z113" s="43"/>
      <c r="AA113" s="43"/>
      <c r="AB113" s="43"/>
      <c r="AC113" s="43"/>
      <c r="AD113" s="43"/>
    </row>
    <row r="114" spans="1:30" ht="22.5" customHeight="1" thickBot="1">
      <c r="A114" s="884"/>
      <c r="B114" s="696">
        <f>C96</f>
        <v>15</v>
      </c>
      <c r="C114" s="697">
        <f>C97</f>
        <v>35</v>
      </c>
      <c r="D114" s="697">
        <f>C98</f>
        <v>1000</v>
      </c>
      <c r="E114" s="696">
        <f>B114</f>
        <v>15</v>
      </c>
      <c r="F114" s="697">
        <f>C114</f>
        <v>35</v>
      </c>
      <c r="G114" s="698">
        <f>D114</f>
        <v>1000</v>
      </c>
      <c r="H114" s="12"/>
      <c r="K114" s="43"/>
      <c r="L114" s="43"/>
      <c r="M114" s="43">
        <f t="shared" si="16"/>
        <v>93</v>
      </c>
      <c r="N114" s="43">
        <f t="shared" si="17"/>
        <v>1</v>
      </c>
      <c r="O114" s="43">
        <f t="shared" si="18"/>
        <v>0</v>
      </c>
      <c r="P114" s="113" t="e">
        <f t="shared" si="23"/>
        <v>#DIV/0!</v>
      </c>
      <c r="Q114" s="113" t="e">
        <f t="shared" si="24"/>
        <v>#DIV/0!</v>
      </c>
      <c r="R114" s="113" t="e">
        <f t="shared" si="25"/>
        <v>#DIV/0!</v>
      </c>
      <c r="S114" s="113" t="e">
        <f t="shared" si="26"/>
        <v>#DIV/0!</v>
      </c>
      <c r="T114" s="43">
        <f t="shared" si="15"/>
        <v>0</v>
      </c>
      <c r="U114" s="43"/>
      <c r="V114" s="525" t="e">
        <f>P114*('upper bound Kenaga'!$F$36/100)</f>
        <v>#DIV/0!</v>
      </c>
      <c r="W114" s="43"/>
      <c r="X114" s="525" t="e">
        <f>P114*('upper bound Kenaga'!$F$96/100)</f>
        <v>#DIV/0!</v>
      </c>
      <c r="Y114" s="43"/>
      <c r="Z114" s="43"/>
      <c r="AA114" s="43"/>
      <c r="AB114" s="43"/>
      <c r="AC114" s="43"/>
      <c r="AD114" s="43"/>
    </row>
    <row r="115" spans="1:30" ht="13.5" thickTop="1">
      <c r="A115" s="387" t="s">
        <v>18</v>
      </c>
      <c r="B115" s="427" t="e">
        <f>B27*(G$96/(C$96/1000))</f>
        <v>#DIV/0!</v>
      </c>
      <c r="C115" s="427" t="e">
        <f>B27*($G$97/(C$97/1000))</f>
        <v>#DIV/0!</v>
      </c>
      <c r="D115" s="427" t="e">
        <f>B27*(G$98/(C$98/1000))</f>
        <v>#DIV/0!</v>
      </c>
      <c r="E115" s="462"/>
      <c r="F115" s="462"/>
      <c r="G115" s="463"/>
      <c r="H115" s="13"/>
      <c r="K115" s="43"/>
      <c r="L115" s="43"/>
      <c r="M115" s="43">
        <f t="shared" si="16"/>
        <v>94</v>
      </c>
      <c r="N115" s="43">
        <f t="shared" si="17"/>
        <v>1</v>
      </c>
      <c r="O115" s="43">
        <f t="shared" si="18"/>
        <v>0</v>
      </c>
      <c r="P115" s="113" t="e">
        <f t="shared" si="23"/>
        <v>#DIV/0!</v>
      </c>
      <c r="Q115" s="113" t="e">
        <f t="shared" si="24"/>
        <v>#DIV/0!</v>
      </c>
      <c r="R115" s="113" t="e">
        <f t="shared" si="25"/>
        <v>#DIV/0!</v>
      </c>
      <c r="S115" s="113" t="e">
        <f t="shared" si="26"/>
        <v>#DIV/0!</v>
      </c>
      <c r="T115" s="43">
        <f t="shared" si="15"/>
        <v>0</v>
      </c>
      <c r="U115" s="43"/>
      <c r="V115" s="525" t="e">
        <f>P115*('upper bound Kenaga'!$F$36/100)</f>
        <v>#DIV/0!</v>
      </c>
      <c r="W115" s="43"/>
      <c r="X115" s="525" t="e">
        <f>P115*('upper bound Kenaga'!$F$96/100)</f>
        <v>#DIV/0!</v>
      </c>
      <c r="Y115" s="43"/>
      <c r="Z115" s="43"/>
      <c r="AA115" s="43"/>
      <c r="AB115" s="43"/>
      <c r="AC115" s="43"/>
      <c r="AD115" s="43"/>
    </row>
    <row r="116" spans="1:30" ht="12.75">
      <c r="A116" s="387" t="s">
        <v>21</v>
      </c>
      <c r="B116" s="427" t="e">
        <f>B28*(G$96/(C$96/1000))</f>
        <v>#DIV/0!</v>
      </c>
      <c r="C116" s="427" t="e">
        <f>B28*($G$97/(C$97/1000))</f>
        <v>#DIV/0!</v>
      </c>
      <c r="D116" s="427" t="e">
        <f>B28*(G$98/(C$98/1000))</f>
        <v>#DIV/0!</v>
      </c>
      <c r="E116" s="464"/>
      <c r="F116" s="464"/>
      <c r="G116" s="463"/>
      <c r="K116" s="43"/>
      <c r="L116" s="43"/>
      <c r="M116" s="43">
        <f t="shared" si="16"/>
        <v>95</v>
      </c>
      <c r="N116" s="43">
        <f t="shared" si="17"/>
        <v>1</v>
      </c>
      <c r="O116" s="43">
        <f t="shared" si="18"/>
        <v>0</v>
      </c>
      <c r="P116" s="113" t="e">
        <f t="shared" si="23"/>
        <v>#DIV/0!</v>
      </c>
      <c r="Q116" s="113" t="e">
        <f t="shared" si="24"/>
        <v>#DIV/0!</v>
      </c>
      <c r="R116" s="113" t="e">
        <f t="shared" si="25"/>
        <v>#DIV/0!</v>
      </c>
      <c r="S116" s="113" t="e">
        <f t="shared" si="26"/>
        <v>#DIV/0!</v>
      </c>
      <c r="T116" s="43">
        <f t="shared" si="15"/>
        <v>0</v>
      </c>
      <c r="U116" s="43"/>
      <c r="V116" s="525" t="e">
        <f>P116*('upper bound Kenaga'!$F$36/100)</f>
        <v>#DIV/0!</v>
      </c>
      <c r="W116" s="43"/>
      <c r="X116" s="525" t="e">
        <f>P116*('upper bound Kenaga'!$F$96/100)</f>
        <v>#DIV/0!</v>
      </c>
      <c r="Y116" s="43"/>
      <c r="Z116" s="43"/>
      <c r="AA116" s="43"/>
      <c r="AB116" s="43"/>
      <c r="AC116" s="43"/>
      <c r="AD116" s="43"/>
    </row>
    <row r="117" spans="1:30" ht="12.75">
      <c r="A117" s="387" t="s">
        <v>37</v>
      </c>
      <c r="B117" s="427" t="e">
        <f>B29*(G$96/(C$96/1000))</f>
        <v>#DIV/0!</v>
      </c>
      <c r="C117" s="427" t="e">
        <f>B29*($G$97/(C$97/1000))</f>
        <v>#DIV/0!</v>
      </c>
      <c r="D117" s="427" t="e">
        <f>B29*(G$98/(C$98/1000))</f>
        <v>#DIV/0!</v>
      </c>
      <c r="E117" s="464"/>
      <c r="F117" s="464"/>
      <c r="G117" s="463"/>
      <c r="K117" s="43"/>
      <c r="L117" s="43"/>
      <c r="M117" s="43">
        <f t="shared" si="16"/>
        <v>96</v>
      </c>
      <c r="N117" s="43">
        <f t="shared" si="17"/>
        <v>1</v>
      </c>
      <c r="O117" s="43">
        <f t="shared" si="18"/>
        <v>0</v>
      </c>
      <c r="P117" s="113" t="e">
        <f t="shared" si="23"/>
        <v>#DIV/0!</v>
      </c>
      <c r="Q117" s="113" t="e">
        <f t="shared" si="24"/>
        <v>#DIV/0!</v>
      </c>
      <c r="R117" s="113" t="e">
        <f t="shared" si="25"/>
        <v>#DIV/0!</v>
      </c>
      <c r="S117" s="113" t="e">
        <f t="shared" si="26"/>
        <v>#DIV/0!</v>
      </c>
      <c r="T117" s="43">
        <f t="shared" si="15"/>
        <v>0</v>
      </c>
      <c r="U117" s="43"/>
      <c r="V117" s="525" t="e">
        <f>P117*('upper bound Kenaga'!$F$36/100)</f>
        <v>#DIV/0!</v>
      </c>
      <c r="W117" s="43"/>
      <c r="X117" s="525" t="e">
        <f>P117*('upper bound Kenaga'!$F$96/100)</f>
        <v>#DIV/0!</v>
      </c>
      <c r="Y117" s="43"/>
      <c r="Z117" s="43"/>
      <c r="AA117" s="43"/>
      <c r="AB117" s="43"/>
      <c r="AC117" s="43"/>
      <c r="AD117" s="43"/>
    </row>
    <row r="118" spans="1:30" ht="13.5" thickBot="1">
      <c r="A118" s="389" t="s">
        <v>194</v>
      </c>
      <c r="B118" s="428" t="e">
        <f>B30*(G$96/(C$96/1000))</f>
        <v>#DIV/0!</v>
      </c>
      <c r="C118" s="428" t="e">
        <f>B30*($G$97/(C$97/1000))</f>
        <v>#DIV/0!</v>
      </c>
      <c r="D118" s="428" t="e">
        <f>B30*(G$98/(C$98/1000))</f>
        <v>#DIV/0!</v>
      </c>
      <c r="E118" s="428" t="e">
        <f>B30*(G99/(C99/1000))</f>
        <v>#DIV/0!</v>
      </c>
      <c r="F118" s="428" t="e">
        <f>B30*(G100/(C100/1000))</f>
        <v>#DIV/0!</v>
      </c>
      <c r="G118" s="386" t="e">
        <f>B30*(G101/(C101/1000))</f>
        <v>#DIV/0!</v>
      </c>
      <c r="K118" s="43"/>
      <c r="L118" s="43"/>
      <c r="M118" s="43">
        <f t="shared" si="16"/>
        <v>97</v>
      </c>
      <c r="N118" s="43">
        <f t="shared" si="17"/>
        <v>1</v>
      </c>
      <c r="O118" s="43">
        <f t="shared" si="18"/>
        <v>0</v>
      </c>
      <c r="P118" s="113" t="e">
        <f t="shared" si="23"/>
        <v>#DIV/0!</v>
      </c>
      <c r="Q118" s="113" t="e">
        <f t="shared" si="24"/>
        <v>#DIV/0!</v>
      </c>
      <c r="R118" s="113" t="e">
        <f t="shared" si="25"/>
        <v>#DIV/0!</v>
      </c>
      <c r="S118" s="113" t="e">
        <f t="shared" si="26"/>
        <v>#DIV/0!</v>
      </c>
      <c r="T118" s="43">
        <f t="shared" si="15"/>
        <v>0</v>
      </c>
      <c r="U118" s="43"/>
      <c r="V118" s="525" t="e">
        <f>P118*('upper bound Kenaga'!$F$36/100)</f>
        <v>#DIV/0!</v>
      </c>
      <c r="W118" s="43"/>
      <c r="X118" s="525" t="e">
        <f>P118*('upper bound Kenaga'!$F$96/100)</f>
        <v>#DIV/0!</v>
      </c>
      <c r="Y118" s="43"/>
      <c r="Z118" s="43"/>
      <c r="AA118" s="43"/>
      <c r="AB118" s="43"/>
      <c r="AC118" s="43"/>
      <c r="AD118" s="43"/>
    </row>
    <row r="119" spans="1:30" ht="12.75">
      <c r="A119" s="196"/>
      <c r="B119" s="196"/>
      <c r="C119" s="196"/>
      <c r="D119" s="450"/>
      <c r="E119" s="196"/>
      <c r="F119" s="196"/>
      <c r="G119" s="196"/>
      <c r="H119"/>
      <c r="K119" s="43"/>
      <c r="L119" s="43"/>
      <c r="M119" s="43">
        <f t="shared" si="16"/>
        <v>98</v>
      </c>
      <c r="N119" s="43">
        <f t="shared" si="17"/>
        <v>1</v>
      </c>
      <c r="O119" s="43">
        <f t="shared" si="18"/>
        <v>0</v>
      </c>
      <c r="P119" s="113" t="e">
        <f t="shared" si="23"/>
        <v>#DIV/0!</v>
      </c>
      <c r="Q119" s="113" t="e">
        <f t="shared" si="24"/>
        <v>#DIV/0!</v>
      </c>
      <c r="R119" s="113" t="e">
        <f t="shared" si="25"/>
        <v>#DIV/0!</v>
      </c>
      <c r="S119" s="113" t="e">
        <f t="shared" si="26"/>
        <v>#DIV/0!</v>
      </c>
      <c r="T119" s="43">
        <f t="shared" si="15"/>
        <v>0</v>
      </c>
      <c r="U119" s="43"/>
      <c r="V119" s="525" t="e">
        <f>P119*('upper bound Kenaga'!$F$36/100)</f>
        <v>#DIV/0!</v>
      </c>
      <c r="W119" s="43"/>
      <c r="X119" s="525" t="e">
        <f>P119*('upper bound Kenaga'!$F$96/100)</f>
        <v>#DIV/0!</v>
      </c>
      <c r="Y119" s="43"/>
      <c r="Z119" s="43"/>
      <c r="AA119" s="43"/>
      <c r="AB119" s="43"/>
      <c r="AC119" s="43"/>
      <c r="AD119" s="43"/>
    </row>
    <row r="120" spans="1:30" ht="12.75" customHeight="1" hidden="1">
      <c r="A120" s="894"/>
      <c r="B120" s="892"/>
      <c r="C120" s="893"/>
      <c r="D120" s="893"/>
      <c r="E120" s="893"/>
      <c r="F120" s="893"/>
      <c r="G120" s="893"/>
      <c r="H120"/>
      <c r="K120" s="43"/>
      <c r="L120" s="43"/>
      <c r="M120" s="43">
        <f t="shared" si="16"/>
        <v>99</v>
      </c>
      <c r="N120" s="43">
        <f t="shared" si="17"/>
        <v>1</v>
      </c>
      <c r="O120" s="43">
        <f t="shared" si="18"/>
        <v>0</v>
      </c>
      <c r="P120" s="113" t="e">
        <f t="shared" si="23"/>
        <v>#DIV/0!</v>
      </c>
      <c r="Q120" s="113" t="e">
        <f t="shared" si="24"/>
        <v>#DIV/0!</v>
      </c>
      <c r="R120" s="113" t="e">
        <f t="shared" si="25"/>
        <v>#DIV/0!</v>
      </c>
      <c r="S120" s="113" t="e">
        <f t="shared" si="26"/>
        <v>#DIV/0!</v>
      </c>
      <c r="T120" s="43">
        <f t="shared" si="15"/>
        <v>0</v>
      </c>
      <c r="U120" s="43"/>
      <c r="V120" s="525" t="e">
        <f>P120*('upper bound Kenaga'!$F$36/100)</f>
        <v>#DIV/0!</v>
      </c>
      <c r="W120" s="43"/>
      <c r="X120" s="525" t="e">
        <f>P120*('upper bound Kenaga'!$F$96/100)</f>
        <v>#DIV/0!</v>
      </c>
      <c r="Y120" s="43"/>
      <c r="Z120" s="43"/>
      <c r="AA120" s="43"/>
      <c r="AB120" s="43"/>
      <c r="AC120" s="43"/>
      <c r="AD120" s="43"/>
    </row>
    <row r="121" spans="1:30" ht="12.75" hidden="1">
      <c r="A121" s="895"/>
      <c r="B121" s="892"/>
      <c r="C121" s="893"/>
      <c r="D121" s="893"/>
      <c r="E121" s="892"/>
      <c r="F121" s="893"/>
      <c r="G121" s="893"/>
      <c r="K121" s="43"/>
      <c r="L121" s="43"/>
      <c r="M121" s="43">
        <f t="shared" si="16"/>
        <v>100</v>
      </c>
      <c r="N121" s="43">
        <f t="shared" si="17"/>
        <v>1</v>
      </c>
      <c r="O121" s="43">
        <f t="shared" si="18"/>
        <v>0</v>
      </c>
      <c r="P121" s="113" t="e">
        <f t="shared" si="23"/>
        <v>#DIV/0!</v>
      </c>
      <c r="Q121" s="113" t="e">
        <f t="shared" si="24"/>
        <v>#DIV/0!</v>
      </c>
      <c r="R121" s="113" t="e">
        <f t="shared" si="25"/>
        <v>#DIV/0!</v>
      </c>
      <c r="S121" s="113" t="e">
        <f t="shared" si="26"/>
        <v>#DIV/0!</v>
      </c>
      <c r="T121" s="43">
        <f t="shared" si="15"/>
        <v>0</v>
      </c>
      <c r="U121" s="43"/>
      <c r="V121" s="525" t="e">
        <f>P121*('upper bound Kenaga'!$F$36/100)</f>
        <v>#DIV/0!</v>
      </c>
      <c r="W121" s="43"/>
      <c r="X121" s="525" t="e">
        <f>P121*('upper bound Kenaga'!$F$96/100)</f>
        <v>#DIV/0!</v>
      </c>
      <c r="Y121" s="43"/>
      <c r="Z121" s="43"/>
      <c r="AA121" s="43"/>
      <c r="AB121" s="43"/>
      <c r="AC121" s="43"/>
      <c r="AD121" s="43"/>
    </row>
    <row r="122" spans="1:30" ht="12.75" hidden="1">
      <c r="A122" s="895"/>
      <c r="B122" s="699"/>
      <c r="C122" s="453"/>
      <c r="D122" s="453"/>
      <c r="E122" s="699"/>
      <c r="F122" s="453"/>
      <c r="G122" s="453"/>
      <c r="K122" s="43"/>
      <c r="L122" s="43"/>
      <c r="M122" s="43">
        <f t="shared" si="16"/>
        <v>101</v>
      </c>
      <c r="N122" s="43">
        <f t="shared" si="17"/>
        <v>1</v>
      </c>
      <c r="O122" s="43">
        <f t="shared" si="18"/>
        <v>0</v>
      </c>
      <c r="P122" s="113" t="e">
        <f t="shared" si="23"/>
        <v>#DIV/0!</v>
      </c>
      <c r="Q122" s="113" t="e">
        <f t="shared" si="24"/>
        <v>#DIV/0!</v>
      </c>
      <c r="R122" s="113" t="e">
        <f t="shared" si="25"/>
        <v>#DIV/0!</v>
      </c>
      <c r="S122" s="113" t="e">
        <f t="shared" si="26"/>
        <v>#DIV/0!</v>
      </c>
      <c r="T122" s="43">
        <f t="shared" si="15"/>
        <v>0</v>
      </c>
      <c r="U122" s="43"/>
      <c r="V122" s="525" t="e">
        <f>P122*('upper bound Kenaga'!$F$36/100)</f>
        <v>#DIV/0!</v>
      </c>
      <c r="W122" s="43"/>
      <c r="X122" s="525" t="e">
        <f>P122*('upper bound Kenaga'!$F$96/100)</f>
        <v>#DIV/0!</v>
      </c>
      <c r="Y122" s="43"/>
      <c r="Z122" s="43"/>
      <c r="AA122" s="43"/>
      <c r="AB122" s="43"/>
      <c r="AC122" s="43"/>
      <c r="AD122" s="43"/>
    </row>
    <row r="123" spans="1:30" ht="12.75" hidden="1">
      <c r="A123" s="465"/>
      <c r="B123" s="466"/>
      <c r="C123" s="466"/>
      <c r="D123" s="466"/>
      <c r="E123" s="467"/>
      <c r="F123" s="467"/>
      <c r="G123" s="467"/>
      <c r="K123" s="43"/>
      <c r="L123" s="43"/>
      <c r="M123" s="43">
        <f t="shared" si="16"/>
        <v>102</v>
      </c>
      <c r="N123" s="43">
        <f t="shared" si="17"/>
        <v>1</v>
      </c>
      <c r="O123" s="43">
        <f t="shared" si="18"/>
        <v>0</v>
      </c>
      <c r="P123" s="113" t="e">
        <f t="shared" si="23"/>
        <v>#DIV/0!</v>
      </c>
      <c r="Q123" s="113" t="e">
        <f t="shared" si="24"/>
        <v>#DIV/0!</v>
      </c>
      <c r="R123" s="113" t="e">
        <f t="shared" si="25"/>
        <v>#DIV/0!</v>
      </c>
      <c r="S123" s="113" t="e">
        <f t="shared" si="26"/>
        <v>#DIV/0!</v>
      </c>
      <c r="T123" s="43">
        <f t="shared" si="15"/>
        <v>0</v>
      </c>
      <c r="U123" s="43"/>
      <c r="V123" s="525" t="e">
        <f>P123*('upper bound Kenaga'!$F$36/100)</f>
        <v>#DIV/0!</v>
      </c>
      <c r="W123" s="43"/>
      <c r="X123" s="525" t="e">
        <f>P123*('upper bound Kenaga'!$F$96/100)</f>
        <v>#DIV/0!</v>
      </c>
      <c r="Y123" s="43"/>
      <c r="Z123" s="43"/>
      <c r="AA123" s="43"/>
      <c r="AB123" s="43"/>
      <c r="AC123" s="43"/>
      <c r="AD123" s="43"/>
    </row>
    <row r="124" spans="1:30" ht="12.75" hidden="1">
      <c r="A124" s="465"/>
      <c r="B124" s="466"/>
      <c r="C124" s="466"/>
      <c r="D124" s="466"/>
      <c r="E124" s="467"/>
      <c r="F124" s="467"/>
      <c r="G124" s="467"/>
      <c r="K124" s="43"/>
      <c r="L124" s="43"/>
      <c r="M124" s="43">
        <f t="shared" si="16"/>
        <v>103</v>
      </c>
      <c r="N124" s="43">
        <f t="shared" si="17"/>
        <v>1</v>
      </c>
      <c r="O124" s="43">
        <f t="shared" si="18"/>
        <v>0</v>
      </c>
      <c r="P124" s="113" t="e">
        <f t="shared" si="23"/>
        <v>#DIV/0!</v>
      </c>
      <c r="Q124" s="113" t="e">
        <f t="shared" si="24"/>
        <v>#DIV/0!</v>
      </c>
      <c r="R124" s="113" t="e">
        <f t="shared" si="25"/>
        <v>#DIV/0!</v>
      </c>
      <c r="S124" s="113" t="e">
        <f t="shared" si="26"/>
        <v>#DIV/0!</v>
      </c>
      <c r="T124" s="43">
        <f t="shared" si="15"/>
        <v>0</v>
      </c>
      <c r="U124" s="43"/>
      <c r="V124" s="525" t="e">
        <f>P124*('upper bound Kenaga'!$F$36/100)</f>
        <v>#DIV/0!</v>
      </c>
      <c r="W124" s="43"/>
      <c r="X124" s="525" t="e">
        <f>P124*('upper bound Kenaga'!$F$96/100)</f>
        <v>#DIV/0!</v>
      </c>
      <c r="Y124" s="43"/>
      <c r="Z124" s="43"/>
      <c r="AA124" s="43"/>
      <c r="AB124" s="43"/>
      <c r="AC124" s="43"/>
      <c r="AD124" s="43"/>
    </row>
    <row r="125" spans="1:30" ht="12.75" hidden="1">
      <c r="A125" s="465"/>
      <c r="B125" s="466"/>
      <c r="C125" s="466"/>
      <c r="D125" s="466"/>
      <c r="E125" s="467"/>
      <c r="F125" s="467"/>
      <c r="G125" s="467"/>
      <c r="K125" s="43"/>
      <c r="L125" s="43"/>
      <c r="M125" s="43">
        <f t="shared" si="16"/>
        <v>104</v>
      </c>
      <c r="N125" s="43">
        <f t="shared" si="17"/>
        <v>1</v>
      </c>
      <c r="O125" s="43">
        <f t="shared" si="18"/>
        <v>0</v>
      </c>
      <c r="P125" s="113" t="e">
        <f t="shared" si="23"/>
        <v>#DIV/0!</v>
      </c>
      <c r="Q125" s="113" t="e">
        <f t="shared" si="24"/>
        <v>#DIV/0!</v>
      </c>
      <c r="R125" s="113" t="e">
        <f t="shared" si="25"/>
        <v>#DIV/0!</v>
      </c>
      <c r="S125" s="113" t="e">
        <f t="shared" si="26"/>
        <v>#DIV/0!</v>
      </c>
      <c r="T125" s="43">
        <f t="shared" si="15"/>
        <v>0</v>
      </c>
      <c r="U125" s="43"/>
      <c r="V125" s="525" t="e">
        <f>P125*('upper bound Kenaga'!$F$36/100)</f>
        <v>#DIV/0!</v>
      </c>
      <c r="W125" s="43"/>
      <c r="X125" s="525" t="e">
        <f>P125*('upper bound Kenaga'!$F$96/100)</f>
        <v>#DIV/0!</v>
      </c>
      <c r="Y125" s="43"/>
      <c r="Z125" s="43"/>
      <c r="AA125" s="43"/>
      <c r="AB125" s="43"/>
      <c r="AC125" s="43"/>
      <c r="AD125" s="43"/>
    </row>
    <row r="126" spans="1:30" ht="12.75" hidden="1">
      <c r="A126" s="465"/>
      <c r="B126" s="466"/>
      <c r="C126" s="466"/>
      <c r="D126" s="466"/>
      <c r="E126" s="466"/>
      <c r="F126" s="466"/>
      <c r="G126" s="466"/>
      <c r="K126" s="43"/>
      <c r="L126" s="43"/>
      <c r="M126" s="43">
        <f t="shared" si="16"/>
        <v>105</v>
      </c>
      <c r="N126" s="43">
        <f t="shared" si="17"/>
        <v>1</v>
      </c>
      <c r="O126" s="43">
        <f t="shared" si="18"/>
        <v>0</v>
      </c>
      <c r="P126" s="113" t="e">
        <f t="shared" si="23"/>
        <v>#DIV/0!</v>
      </c>
      <c r="Q126" s="113" t="e">
        <f t="shared" si="24"/>
        <v>#DIV/0!</v>
      </c>
      <c r="R126" s="113" t="e">
        <f t="shared" si="25"/>
        <v>#DIV/0!</v>
      </c>
      <c r="S126" s="113" t="e">
        <f t="shared" si="26"/>
        <v>#DIV/0!</v>
      </c>
      <c r="T126" s="43">
        <f t="shared" si="15"/>
        <v>0</v>
      </c>
      <c r="U126" s="43"/>
      <c r="V126" s="525" t="e">
        <f>P126*('upper bound Kenaga'!$F$36/100)</f>
        <v>#DIV/0!</v>
      </c>
      <c r="W126" s="43"/>
      <c r="X126" s="525" t="e">
        <f>P126*('upper bound Kenaga'!$F$96/100)</f>
        <v>#DIV/0!</v>
      </c>
      <c r="Y126" s="43"/>
      <c r="Z126" s="43"/>
      <c r="AA126" s="43"/>
      <c r="AB126" s="43"/>
      <c r="AC126" s="43"/>
      <c r="AD126" s="43"/>
    </row>
    <row r="127" spans="1:30" ht="13.5" thickBot="1">
      <c r="A127" s="196"/>
      <c r="B127" s="196"/>
      <c r="C127" s="196"/>
      <c r="D127" s="450"/>
      <c r="E127" s="196"/>
      <c r="F127" s="196"/>
      <c r="G127" s="196"/>
      <c r="K127" s="43"/>
      <c r="L127" s="43"/>
      <c r="M127" s="43">
        <f t="shared" si="16"/>
        <v>106</v>
      </c>
      <c r="N127" s="43">
        <f t="shared" si="17"/>
        <v>1</v>
      </c>
      <c r="O127" s="43">
        <f t="shared" si="18"/>
        <v>0</v>
      </c>
      <c r="P127" s="113" t="e">
        <f t="shared" si="23"/>
        <v>#DIV/0!</v>
      </c>
      <c r="Q127" s="113" t="e">
        <f t="shared" si="24"/>
        <v>#DIV/0!</v>
      </c>
      <c r="R127" s="113" t="e">
        <f t="shared" si="25"/>
        <v>#DIV/0!</v>
      </c>
      <c r="S127" s="113" t="e">
        <f t="shared" si="26"/>
        <v>#DIV/0!</v>
      </c>
      <c r="T127" s="43">
        <f t="shared" si="15"/>
        <v>0</v>
      </c>
      <c r="U127" s="43"/>
      <c r="V127" s="525" t="e">
        <f>P127*('upper bound Kenaga'!$F$36/100)</f>
        <v>#DIV/0!</v>
      </c>
      <c r="W127" s="43"/>
      <c r="X127" s="525" t="e">
        <f>P127*('upper bound Kenaga'!$F$96/100)</f>
        <v>#DIV/0!</v>
      </c>
      <c r="Y127" s="43"/>
      <c r="Z127" s="43"/>
      <c r="AA127" s="43"/>
      <c r="AB127" s="43"/>
      <c r="AC127" s="43"/>
      <c r="AD127" s="43"/>
    </row>
    <row r="128" spans="1:30" ht="12.75">
      <c r="A128" s="899" t="s">
        <v>350</v>
      </c>
      <c r="B128" s="896" t="s">
        <v>467</v>
      </c>
      <c r="C128" s="897"/>
      <c r="D128" s="896" t="s">
        <v>469</v>
      </c>
      <c r="E128" s="897"/>
      <c r="F128" s="896" t="s">
        <v>470</v>
      </c>
      <c r="G128" s="898"/>
      <c r="K128" s="43"/>
      <c r="L128" s="43"/>
      <c r="M128" s="43">
        <f t="shared" si="16"/>
        <v>107</v>
      </c>
      <c r="N128" s="43">
        <f t="shared" si="17"/>
        <v>1</v>
      </c>
      <c r="O128" s="43">
        <f t="shared" si="18"/>
        <v>0</v>
      </c>
      <c r="P128" s="113" t="e">
        <f t="shared" si="23"/>
        <v>#DIV/0!</v>
      </c>
      <c r="Q128" s="113" t="e">
        <f t="shared" si="24"/>
        <v>#DIV/0!</v>
      </c>
      <c r="R128" s="113" t="e">
        <f t="shared" si="25"/>
        <v>#DIV/0!</v>
      </c>
      <c r="S128" s="113" t="e">
        <f t="shared" si="26"/>
        <v>#DIV/0!</v>
      </c>
      <c r="T128" s="43">
        <f t="shared" si="15"/>
        <v>0</v>
      </c>
      <c r="U128" s="43"/>
      <c r="V128" s="525" t="e">
        <f>P128*('upper bound Kenaga'!$F$36/100)</f>
        <v>#DIV/0!</v>
      </c>
      <c r="W128" s="43"/>
      <c r="X128" s="525" t="e">
        <f>P128*('upper bound Kenaga'!$F$96/100)</f>
        <v>#DIV/0!</v>
      </c>
      <c r="Y128" s="43"/>
      <c r="Z128" s="43"/>
      <c r="AA128" s="43"/>
      <c r="AB128" s="43"/>
      <c r="AC128" s="43"/>
      <c r="AD128" s="43"/>
    </row>
    <row r="129" spans="1:30" ht="12.75">
      <c r="A129" s="900"/>
      <c r="B129" s="700">
        <f>C96</f>
        <v>15</v>
      </c>
      <c r="C129" s="701" t="s">
        <v>468</v>
      </c>
      <c r="D129" s="700">
        <f>C97</f>
        <v>35</v>
      </c>
      <c r="E129" s="701" t="s">
        <v>468</v>
      </c>
      <c r="F129" s="702">
        <f>C98</f>
        <v>1000</v>
      </c>
      <c r="G129" s="703" t="s">
        <v>468</v>
      </c>
      <c r="K129" s="43"/>
      <c r="L129" s="43"/>
      <c r="M129" s="43">
        <f t="shared" si="16"/>
        <v>108</v>
      </c>
      <c r="N129" s="43">
        <f t="shared" si="17"/>
        <v>1</v>
      </c>
      <c r="O129" s="43">
        <f t="shared" si="18"/>
        <v>0</v>
      </c>
      <c r="P129" s="113" t="e">
        <f t="shared" si="23"/>
        <v>#DIV/0!</v>
      </c>
      <c r="Q129" s="113" t="e">
        <f t="shared" si="24"/>
        <v>#DIV/0!</v>
      </c>
      <c r="R129" s="113" t="e">
        <f t="shared" si="25"/>
        <v>#DIV/0!</v>
      </c>
      <c r="S129" s="113" t="e">
        <f t="shared" si="26"/>
        <v>#DIV/0!</v>
      </c>
      <c r="T129" s="43">
        <f t="shared" si="15"/>
        <v>0</v>
      </c>
      <c r="U129" s="43"/>
      <c r="V129" s="525" t="e">
        <f>P129*('upper bound Kenaga'!$F$36/100)</f>
        <v>#DIV/0!</v>
      </c>
      <c r="W129" s="43"/>
      <c r="X129" s="525" t="e">
        <f>P129*('upper bound Kenaga'!$F$96/100)</f>
        <v>#DIV/0!</v>
      </c>
      <c r="Y129" s="43"/>
      <c r="Z129" s="43"/>
      <c r="AA129" s="43"/>
      <c r="AB129" s="43"/>
      <c r="AC129" s="43"/>
      <c r="AD129" s="43"/>
    </row>
    <row r="130" spans="1:30" ht="13.5" thickBot="1">
      <c r="A130" s="901"/>
      <c r="B130" s="704" t="s">
        <v>48</v>
      </c>
      <c r="C130" s="705" t="s">
        <v>49</v>
      </c>
      <c r="D130" s="704" t="s">
        <v>50</v>
      </c>
      <c r="E130" s="705" t="s">
        <v>49</v>
      </c>
      <c r="F130" s="704" t="s">
        <v>50</v>
      </c>
      <c r="G130" s="706" t="s">
        <v>49</v>
      </c>
      <c r="K130" s="43"/>
      <c r="L130" s="43"/>
      <c r="M130" s="43">
        <f t="shared" si="16"/>
        <v>109</v>
      </c>
      <c r="N130" s="43">
        <f t="shared" si="17"/>
        <v>1</v>
      </c>
      <c r="O130" s="43">
        <f t="shared" si="18"/>
        <v>0</v>
      </c>
      <c r="P130" s="113" t="e">
        <f t="shared" si="23"/>
        <v>#DIV/0!</v>
      </c>
      <c r="Q130" s="113" t="e">
        <f t="shared" si="24"/>
        <v>#DIV/0!</v>
      </c>
      <c r="R130" s="113" t="e">
        <f t="shared" si="25"/>
        <v>#DIV/0!</v>
      </c>
      <c r="S130" s="113" t="e">
        <f t="shared" si="26"/>
        <v>#DIV/0!</v>
      </c>
      <c r="T130" s="43">
        <f t="shared" si="15"/>
        <v>0</v>
      </c>
      <c r="U130" s="43"/>
      <c r="V130" s="525" t="e">
        <f>P130*('upper bound Kenaga'!$F$36/100)</f>
        <v>#DIV/0!</v>
      </c>
      <c r="W130" s="43"/>
      <c r="X130" s="525" t="e">
        <f>P130*('upper bound Kenaga'!$F$96/100)</f>
        <v>#DIV/0!</v>
      </c>
      <c r="Y130" s="43"/>
      <c r="Z130" s="43"/>
      <c r="AA130" s="43"/>
      <c r="AB130" s="43"/>
      <c r="AC130" s="43"/>
      <c r="AD130" s="43"/>
    </row>
    <row r="131" spans="1:30" ht="13.5" thickTop="1">
      <c r="A131" s="468" t="s">
        <v>18</v>
      </c>
      <c r="B131" s="707" t="e">
        <f>$B$115/$D$105</f>
        <v>#DIV/0!</v>
      </c>
      <c r="C131" s="708" t="e">
        <f>B115/$E$105</f>
        <v>#DIV/0!</v>
      </c>
      <c r="D131" s="707" t="e">
        <f>C115/$D$106</f>
        <v>#DIV/0!</v>
      </c>
      <c r="E131" s="708" t="e">
        <f>C115/E106</f>
        <v>#DIV/0!</v>
      </c>
      <c r="F131" s="707" t="e">
        <f>D115/$D$107</f>
        <v>#DIV/0!</v>
      </c>
      <c r="G131" s="709" t="e">
        <f>D115/E107</f>
        <v>#DIV/0!</v>
      </c>
      <c r="K131" s="43"/>
      <c r="L131" s="43"/>
      <c r="M131" s="43">
        <f t="shared" si="16"/>
        <v>110</v>
      </c>
      <c r="N131" s="43">
        <f t="shared" si="17"/>
        <v>1</v>
      </c>
      <c r="O131" s="43">
        <f t="shared" si="18"/>
        <v>0</v>
      </c>
      <c r="P131" s="113" t="e">
        <f t="shared" si="23"/>
        <v>#DIV/0!</v>
      </c>
      <c r="Q131" s="113" t="e">
        <f t="shared" si="24"/>
        <v>#DIV/0!</v>
      </c>
      <c r="R131" s="113" t="e">
        <f t="shared" si="25"/>
        <v>#DIV/0!</v>
      </c>
      <c r="S131" s="113" t="e">
        <f t="shared" si="26"/>
        <v>#DIV/0!</v>
      </c>
      <c r="T131" s="43">
        <f t="shared" si="15"/>
        <v>0</v>
      </c>
      <c r="U131" s="43"/>
      <c r="V131" s="525" t="e">
        <f>P131*('upper bound Kenaga'!$F$36/100)</f>
        <v>#DIV/0!</v>
      </c>
      <c r="W131" s="43"/>
      <c r="X131" s="525" t="e">
        <f>P131*('upper bound Kenaga'!$F$96/100)</f>
        <v>#DIV/0!</v>
      </c>
      <c r="Y131" s="43"/>
      <c r="Z131" s="43"/>
      <c r="AA131" s="43"/>
      <c r="AB131" s="43"/>
      <c r="AC131" s="43"/>
      <c r="AD131" s="43"/>
    </row>
    <row r="132" spans="1:30" ht="12.75">
      <c r="A132" s="471" t="s">
        <v>28</v>
      </c>
      <c r="B132" s="707" t="e">
        <f>$B$116/$D$105</f>
        <v>#DIV/0!</v>
      </c>
      <c r="C132" s="427" t="e">
        <f>B116/E105</f>
        <v>#DIV/0!</v>
      </c>
      <c r="D132" s="707" t="e">
        <f>C116/$D$106</f>
        <v>#DIV/0!</v>
      </c>
      <c r="E132" s="427" t="e">
        <f>C116/E106</f>
        <v>#DIV/0!</v>
      </c>
      <c r="F132" s="707" t="e">
        <f>D116/$D$107</f>
        <v>#DIV/0!</v>
      </c>
      <c r="G132" s="385" t="e">
        <f>D116/E107</f>
        <v>#DIV/0!</v>
      </c>
      <c r="K132" s="43"/>
      <c r="L132" s="43"/>
      <c r="M132" s="43">
        <f t="shared" si="16"/>
        <v>111</v>
      </c>
      <c r="N132" s="43">
        <f t="shared" si="17"/>
        <v>1</v>
      </c>
      <c r="O132" s="43">
        <f t="shared" si="18"/>
        <v>0</v>
      </c>
      <c r="P132" s="113" t="e">
        <f t="shared" si="23"/>
        <v>#DIV/0!</v>
      </c>
      <c r="Q132" s="113" t="e">
        <f t="shared" si="24"/>
        <v>#DIV/0!</v>
      </c>
      <c r="R132" s="113" t="e">
        <f t="shared" si="25"/>
        <v>#DIV/0!</v>
      </c>
      <c r="S132" s="113" t="e">
        <f t="shared" si="26"/>
        <v>#DIV/0!</v>
      </c>
      <c r="T132" s="43">
        <f t="shared" si="15"/>
        <v>0</v>
      </c>
      <c r="U132" s="43"/>
      <c r="V132" s="525" t="e">
        <f>P132*('upper bound Kenaga'!$F$36/100)</f>
        <v>#DIV/0!</v>
      </c>
      <c r="W132" s="43"/>
      <c r="X132" s="525" t="e">
        <f>P132*('upper bound Kenaga'!$F$96/100)</f>
        <v>#DIV/0!</v>
      </c>
      <c r="Y132" s="43"/>
      <c r="Z132" s="43"/>
      <c r="AA132" s="43"/>
      <c r="AB132" s="43"/>
      <c r="AC132" s="43"/>
      <c r="AD132" s="43"/>
    </row>
    <row r="133" spans="1:30" ht="12.75">
      <c r="A133" s="471" t="s">
        <v>41</v>
      </c>
      <c r="B133" s="707" t="e">
        <f>$B$117/$D$105</f>
        <v>#DIV/0!</v>
      </c>
      <c r="C133" s="427" t="e">
        <f>B117/E105</f>
        <v>#DIV/0!</v>
      </c>
      <c r="D133" s="707" t="e">
        <f>C117/$D$106</f>
        <v>#DIV/0!</v>
      </c>
      <c r="E133" s="427" t="e">
        <f>C117/E106</f>
        <v>#DIV/0!</v>
      </c>
      <c r="F133" s="707" t="e">
        <f>D117/$D$107</f>
        <v>#DIV/0!</v>
      </c>
      <c r="G133" s="385" t="e">
        <f>D117/E107</f>
        <v>#DIV/0!</v>
      </c>
      <c r="K133" s="43"/>
      <c r="L133" s="43"/>
      <c r="M133" s="43">
        <f t="shared" si="16"/>
        <v>112</v>
      </c>
      <c r="N133" s="43">
        <f t="shared" si="17"/>
        <v>1</v>
      </c>
      <c r="O133" s="43">
        <f t="shared" si="18"/>
        <v>0</v>
      </c>
      <c r="P133" s="113" t="e">
        <f t="shared" si="23"/>
        <v>#DIV/0!</v>
      </c>
      <c r="Q133" s="113" t="e">
        <f t="shared" si="24"/>
        <v>#DIV/0!</v>
      </c>
      <c r="R133" s="113" t="e">
        <f t="shared" si="25"/>
        <v>#DIV/0!</v>
      </c>
      <c r="S133" s="113" t="e">
        <f t="shared" si="26"/>
        <v>#DIV/0!</v>
      </c>
      <c r="T133" s="43">
        <f t="shared" si="15"/>
        <v>0</v>
      </c>
      <c r="U133" s="43"/>
      <c r="V133" s="525" t="e">
        <f>P133*('upper bound Kenaga'!$F$36/100)</f>
        <v>#DIV/0!</v>
      </c>
      <c r="W133" s="43"/>
      <c r="X133" s="525" t="e">
        <f>P133*('upper bound Kenaga'!$F$96/100)</f>
        <v>#DIV/0!</v>
      </c>
      <c r="Y133" s="43"/>
      <c r="Z133" s="43"/>
      <c r="AA133" s="43"/>
      <c r="AB133" s="43"/>
      <c r="AC133" s="43"/>
      <c r="AD133" s="43"/>
    </row>
    <row r="134" spans="1:30" ht="12.75">
      <c r="A134" s="474" t="s">
        <v>36</v>
      </c>
      <c r="B134" s="707" t="e">
        <f>$B$118/$D$105</f>
        <v>#DIV/0!</v>
      </c>
      <c r="C134" s="427" t="e">
        <f>B118/E105</f>
        <v>#DIV/0!</v>
      </c>
      <c r="D134" s="707" t="e">
        <f>C118/$D$106</f>
        <v>#DIV/0!</v>
      </c>
      <c r="E134" s="427" t="e">
        <f>C118/E106</f>
        <v>#DIV/0!</v>
      </c>
      <c r="F134" s="707" t="e">
        <f>D118/$D$107</f>
        <v>#DIV/0!</v>
      </c>
      <c r="G134" s="385" t="e">
        <f>D118/E107</f>
        <v>#DIV/0!</v>
      </c>
      <c r="K134" s="43"/>
      <c r="L134" s="43"/>
      <c r="M134" s="43">
        <f t="shared" si="16"/>
        <v>113</v>
      </c>
      <c r="N134" s="43">
        <f t="shared" si="17"/>
        <v>1</v>
      </c>
      <c r="O134" s="43">
        <f t="shared" si="18"/>
        <v>0</v>
      </c>
      <c r="P134" s="113" t="e">
        <f t="shared" si="23"/>
        <v>#DIV/0!</v>
      </c>
      <c r="Q134" s="113" t="e">
        <f t="shared" si="24"/>
        <v>#DIV/0!</v>
      </c>
      <c r="R134" s="113" t="e">
        <f t="shared" si="25"/>
        <v>#DIV/0!</v>
      </c>
      <c r="S134" s="113" t="e">
        <f t="shared" si="26"/>
        <v>#DIV/0!</v>
      </c>
      <c r="T134" s="43">
        <f t="shared" si="15"/>
        <v>0</v>
      </c>
      <c r="U134" s="43"/>
      <c r="V134" s="525" t="e">
        <f>P134*('upper bound Kenaga'!$F$36/100)</f>
        <v>#DIV/0!</v>
      </c>
      <c r="W134" s="43"/>
      <c r="X134" s="525" t="e">
        <f>P134*('upper bound Kenaga'!$F$96/100)</f>
        <v>#DIV/0!</v>
      </c>
      <c r="Y134" s="43"/>
      <c r="Z134" s="43"/>
      <c r="AA134" s="43"/>
      <c r="AB134" s="43"/>
      <c r="AC134" s="43"/>
      <c r="AD134" s="43"/>
    </row>
    <row r="135" spans="1:30" ht="13.5" thickBot="1">
      <c r="A135" s="475" t="s">
        <v>34</v>
      </c>
      <c r="B135" s="694" t="e">
        <f>$E$118/$D$108</f>
        <v>#DIV/0!</v>
      </c>
      <c r="C135" s="428" t="e">
        <f>E118/E108</f>
        <v>#DIV/0!</v>
      </c>
      <c r="D135" s="694" t="e">
        <f>F118/$D$109</f>
        <v>#DIV/0!</v>
      </c>
      <c r="E135" s="428" t="e">
        <f>F118/E109</f>
        <v>#DIV/0!</v>
      </c>
      <c r="F135" s="710" t="e">
        <f>G118/$D$110</f>
        <v>#DIV/0!</v>
      </c>
      <c r="G135" s="551" t="e">
        <f>G118/E110</f>
        <v>#DIV/0!</v>
      </c>
      <c r="K135" s="43"/>
      <c r="L135" s="43"/>
      <c r="M135" s="43">
        <f t="shared" si="16"/>
        <v>114</v>
      </c>
      <c r="N135" s="43">
        <f t="shared" si="17"/>
        <v>1</v>
      </c>
      <c r="O135" s="43">
        <f t="shared" si="18"/>
        <v>0</v>
      </c>
      <c r="P135" s="113" t="e">
        <f t="shared" si="23"/>
        <v>#DIV/0!</v>
      </c>
      <c r="Q135" s="113" t="e">
        <f t="shared" si="24"/>
        <v>#DIV/0!</v>
      </c>
      <c r="R135" s="113" t="e">
        <f t="shared" si="25"/>
        <v>#DIV/0!</v>
      </c>
      <c r="S135" s="113" t="e">
        <f t="shared" si="26"/>
        <v>#DIV/0!</v>
      </c>
      <c r="T135" s="43">
        <f t="shared" si="15"/>
        <v>0</v>
      </c>
      <c r="U135" s="43"/>
      <c r="V135" s="525" t="e">
        <f>P135*('upper bound Kenaga'!$F$36/100)</f>
        <v>#DIV/0!</v>
      </c>
      <c r="W135" s="43"/>
      <c r="X135" s="525" t="e">
        <f>P135*('upper bound Kenaga'!$F$96/100)</f>
        <v>#DIV/0!</v>
      </c>
      <c r="Y135" s="43"/>
      <c r="Z135" s="43"/>
      <c r="AA135" s="43"/>
      <c r="AB135" s="43"/>
      <c r="AC135" s="43"/>
      <c r="AD135" s="43"/>
    </row>
    <row r="136" spans="1:30" ht="13.5" thickBot="1">
      <c r="A136" s="196"/>
      <c r="B136" s="196"/>
      <c r="C136" s="196"/>
      <c r="D136" s="450"/>
      <c r="E136" s="196"/>
      <c r="F136" s="196"/>
      <c r="G136" s="196"/>
      <c r="K136" s="43"/>
      <c r="L136" s="43"/>
      <c r="M136" s="43">
        <f t="shared" si="16"/>
        <v>115</v>
      </c>
      <c r="N136" s="43">
        <f t="shared" si="17"/>
        <v>1</v>
      </c>
      <c r="O136" s="43">
        <f t="shared" si="18"/>
        <v>0</v>
      </c>
      <c r="P136" s="113" t="e">
        <f t="shared" si="23"/>
        <v>#DIV/0!</v>
      </c>
      <c r="Q136" s="113" t="e">
        <f t="shared" si="24"/>
        <v>#DIV/0!</v>
      </c>
      <c r="R136" s="113" t="e">
        <f t="shared" si="25"/>
        <v>#DIV/0!</v>
      </c>
      <c r="S136" s="113" t="e">
        <f t="shared" si="26"/>
        <v>#DIV/0!</v>
      </c>
      <c r="T136" s="43">
        <f t="shared" si="15"/>
        <v>0</v>
      </c>
      <c r="U136" s="43"/>
      <c r="V136" s="525" t="e">
        <f>P136*('upper bound Kenaga'!$F$36/100)</f>
        <v>#DIV/0!</v>
      </c>
      <c r="W136" s="43"/>
      <c r="X136" s="525" t="e">
        <f>P136*('upper bound Kenaga'!$F$96/100)</f>
        <v>#DIV/0!</v>
      </c>
      <c r="Y136" s="43"/>
      <c r="Z136" s="43"/>
      <c r="AA136" s="43"/>
      <c r="AB136" s="43"/>
      <c r="AC136" s="43"/>
      <c r="AD136" s="43"/>
    </row>
    <row r="137" spans="1:30" ht="12.75">
      <c r="A137" s="899" t="s">
        <v>348</v>
      </c>
      <c r="B137" s="896" t="s">
        <v>201</v>
      </c>
      <c r="C137" s="898"/>
      <c r="D137" s="892"/>
      <c r="E137" s="893"/>
      <c r="F137" s="892"/>
      <c r="G137" s="893"/>
      <c r="K137" s="43"/>
      <c r="L137" s="43"/>
      <c r="M137" s="43">
        <f t="shared" si="16"/>
        <v>116</v>
      </c>
      <c r="N137" s="43">
        <f t="shared" si="17"/>
        <v>1</v>
      </c>
      <c r="O137" s="43">
        <f t="shared" si="18"/>
        <v>0</v>
      </c>
      <c r="P137" s="113" t="e">
        <f t="shared" si="23"/>
        <v>#DIV/0!</v>
      </c>
      <c r="Q137" s="113" t="e">
        <f t="shared" si="24"/>
        <v>#DIV/0!</v>
      </c>
      <c r="R137" s="113" t="e">
        <f t="shared" si="25"/>
        <v>#DIV/0!</v>
      </c>
      <c r="S137" s="113" t="e">
        <f t="shared" si="26"/>
        <v>#DIV/0!</v>
      </c>
      <c r="T137" s="43">
        <f t="shared" si="15"/>
        <v>0</v>
      </c>
      <c r="U137" s="43"/>
      <c r="V137" s="525" t="e">
        <f>P137*('upper bound Kenaga'!$F$36/100)</f>
        <v>#DIV/0!</v>
      </c>
      <c r="W137" s="43"/>
      <c r="X137" s="525" t="e">
        <f>P137*('upper bound Kenaga'!$F$96/100)</f>
        <v>#DIV/0!</v>
      </c>
      <c r="Y137" s="43"/>
      <c r="Z137" s="43"/>
      <c r="AA137" s="43"/>
      <c r="AB137" s="43"/>
      <c r="AC137" s="43"/>
      <c r="AD137" s="43"/>
    </row>
    <row r="138" spans="1:30" ht="12.75">
      <c r="A138" s="902"/>
      <c r="B138" s="711"/>
      <c r="C138" s="504"/>
      <c r="D138" s="453"/>
      <c r="E138" s="453"/>
      <c r="F138" s="712"/>
      <c r="G138" s="712"/>
      <c r="K138" s="43"/>
      <c r="L138" s="43"/>
      <c r="M138" s="43">
        <f t="shared" si="16"/>
        <v>117</v>
      </c>
      <c r="N138" s="43">
        <f t="shared" si="17"/>
        <v>1</v>
      </c>
      <c r="O138" s="43">
        <f t="shared" si="18"/>
        <v>0</v>
      </c>
      <c r="P138" s="113" t="e">
        <f t="shared" si="23"/>
        <v>#DIV/0!</v>
      </c>
      <c r="Q138" s="113" t="e">
        <f t="shared" si="24"/>
        <v>#DIV/0!</v>
      </c>
      <c r="R138" s="113" t="e">
        <f t="shared" si="25"/>
        <v>#DIV/0!</v>
      </c>
      <c r="S138" s="113" t="e">
        <f t="shared" si="26"/>
        <v>#DIV/0!</v>
      </c>
      <c r="T138" s="43">
        <f t="shared" si="15"/>
        <v>0</v>
      </c>
      <c r="U138" s="43"/>
      <c r="V138" s="525" t="e">
        <f>P138*('upper bound Kenaga'!$F$36/100)</f>
        <v>#DIV/0!</v>
      </c>
      <c r="W138" s="43"/>
      <c r="X138" s="525" t="e">
        <f>P138*('upper bound Kenaga'!$F$96/100)</f>
        <v>#DIV/0!</v>
      </c>
      <c r="Y138" s="43"/>
      <c r="Z138" s="43"/>
      <c r="AA138" s="43"/>
      <c r="AB138" s="43"/>
      <c r="AC138" s="43"/>
      <c r="AD138" s="43"/>
    </row>
    <row r="139" spans="1:30" ht="27.75" customHeight="1" thickBot="1">
      <c r="A139" s="903"/>
      <c r="B139" s="704" t="s">
        <v>48</v>
      </c>
      <c r="C139" s="706" t="s">
        <v>49</v>
      </c>
      <c r="D139" s="453"/>
      <c r="E139" s="453"/>
      <c r="F139" s="453"/>
      <c r="G139" s="453"/>
      <c r="K139" s="43"/>
      <c r="L139" s="43"/>
      <c r="M139" s="43">
        <f t="shared" si="16"/>
        <v>118</v>
      </c>
      <c r="N139" s="43">
        <f t="shared" si="17"/>
        <v>1</v>
      </c>
      <c r="O139" s="43">
        <f t="shared" si="18"/>
        <v>0</v>
      </c>
      <c r="P139" s="113" t="e">
        <f t="shared" si="23"/>
        <v>#DIV/0!</v>
      </c>
      <c r="Q139" s="113" t="e">
        <f t="shared" si="24"/>
        <v>#DIV/0!</v>
      </c>
      <c r="R139" s="113" t="e">
        <f t="shared" si="25"/>
        <v>#DIV/0!</v>
      </c>
      <c r="S139" s="113" t="e">
        <f t="shared" si="26"/>
        <v>#DIV/0!</v>
      </c>
      <c r="T139" s="43">
        <f t="shared" si="15"/>
        <v>0</v>
      </c>
      <c r="U139" s="43"/>
      <c r="V139" s="525" t="e">
        <f>P139*('upper bound Kenaga'!$F$36/100)</f>
        <v>#DIV/0!</v>
      </c>
      <c r="W139" s="43"/>
      <c r="X139" s="525" t="e">
        <f>P139*('upper bound Kenaga'!$F$96/100)</f>
        <v>#DIV/0!</v>
      </c>
      <c r="Y139" s="43"/>
      <c r="Z139" s="43"/>
      <c r="AA139" s="43"/>
      <c r="AB139" s="43"/>
      <c r="AC139" s="43"/>
      <c r="AD139" s="43"/>
    </row>
    <row r="140" spans="1:30" ht="13.5" thickTop="1">
      <c r="A140" s="468" t="s">
        <v>18</v>
      </c>
      <c r="B140" s="707" t="e">
        <f>B27/$D$21</f>
        <v>#DIV/0!</v>
      </c>
      <c r="C140" s="687" t="e">
        <f>B27/$D$23</f>
        <v>#DIV/0!</v>
      </c>
      <c r="D140" s="713"/>
      <c r="E140" s="713"/>
      <c r="F140" s="713"/>
      <c r="G140" s="713"/>
      <c r="K140" s="43"/>
      <c r="L140" s="43"/>
      <c r="M140" s="43">
        <f t="shared" si="16"/>
        <v>119</v>
      </c>
      <c r="N140" s="43">
        <f t="shared" si="17"/>
        <v>1</v>
      </c>
      <c r="O140" s="43">
        <f t="shared" si="18"/>
        <v>0</v>
      </c>
      <c r="P140" s="113" t="e">
        <f t="shared" si="23"/>
        <v>#DIV/0!</v>
      </c>
      <c r="Q140" s="113" t="e">
        <f t="shared" si="24"/>
        <v>#DIV/0!</v>
      </c>
      <c r="R140" s="113" t="e">
        <f t="shared" si="25"/>
        <v>#DIV/0!</v>
      </c>
      <c r="S140" s="113" t="e">
        <f t="shared" si="26"/>
        <v>#DIV/0!</v>
      </c>
      <c r="T140" s="43">
        <f t="shared" si="15"/>
        <v>0</v>
      </c>
      <c r="U140" s="43"/>
      <c r="V140" s="525" t="e">
        <f>P140*('upper bound Kenaga'!$F$36/100)</f>
        <v>#DIV/0!</v>
      </c>
      <c r="W140" s="43"/>
      <c r="X140" s="525" t="e">
        <f>P140*('upper bound Kenaga'!$F$96/100)</f>
        <v>#DIV/0!</v>
      </c>
      <c r="Y140" s="43"/>
      <c r="Z140" s="43"/>
      <c r="AA140" s="43"/>
      <c r="AB140" s="43"/>
      <c r="AC140" s="43"/>
      <c r="AD140" s="43"/>
    </row>
    <row r="141" spans="1:30" ht="12.75">
      <c r="A141" s="471" t="s">
        <v>28</v>
      </c>
      <c r="B141" s="707" t="e">
        <f>B28/$D$21</f>
        <v>#DIV/0!</v>
      </c>
      <c r="C141" s="687" t="e">
        <f>B28/$D$23</f>
        <v>#DIV/0!</v>
      </c>
      <c r="D141" s="713"/>
      <c r="E141" s="713"/>
      <c r="F141" s="713"/>
      <c r="G141" s="713"/>
      <c r="K141" s="43"/>
      <c r="L141" s="43"/>
      <c r="M141" s="43">
        <f t="shared" si="16"/>
        <v>120</v>
      </c>
      <c r="N141" s="43">
        <f t="shared" si="17"/>
        <v>1</v>
      </c>
      <c r="O141" s="43">
        <f t="shared" si="18"/>
        <v>0</v>
      </c>
      <c r="P141" s="113" t="e">
        <f t="shared" si="23"/>
        <v>#DIV/0!</v>
      </c>
      <c r="Q141" s="113" t="e">
        <f t="shared" si="24"/>
        <v>#DIV/0!</v>
      </c>
      <c r="R141" s="113" t="e">
        <f t="shared" si="25"/>
        <v>#DIV/0!</v>
      </c>
      <c r="S141" s="113" t="e">
        <f t="shared" si="26"/>
        <v>#DIV/0!</v>
      </c>
      <c r="T141" s="43">
        <f t="shared" si="15"/>
        <v>0</v>
      </c>
      <c r="U141" s="43"/>
      <c r="V141" s="525" t="e">
        <f>P141*('upper bound Kenaga'!$F$36/100)</f>
        <v>#DIV/0!</v>
      </c>
      <c r="W141" s="43"/>
      <c r="X141" s="525" t="e">
        <f>P141*('upper bound Kenaga'!$F$96/100)</f>
        <v>#DIV/0!</v>
      </c>
      <c r="Y141" s="43"/>
      <c r="Z141" s="43"/>
      <c r="AA141" s="43"/>
      <c r="AB141" s="43"/>
      <c r="AC141" s="43"/>
      <c r="AD141" s="43"/>
    </row>
    <row r="142" spans="1:30" ht="12.75">
      <c r="A142" s="471" t="s">
        <v>41</v>
      </c>
      <c r="B142" s="707" t="e">
        <f>B29/$D$21</f>
        <v>#DIV/0!</v>
      </c>
      <c r="C142" s="687" t="e">
        <f>B29/$D$23</f>
        <v>#DIV/0!</v>
      </c>
      <c r="D142" s="713"/>
      <c r="E142" s="713"/>
      <c r="F142" s="713"/>
      <c r="G142" s="713"/>
      <c r="K142" s="43"/>
      <c r="L142" s="43"/>
      <c r="M142" s="43">
        <f t="shared" si="16"/>
        <v>121</v>
      </c>
      <c r="N142" s="43">
        <f t="shared" si="17"/>
        <v>1</v>
      </c>
      <c r="O142" s="43">
        <f t="shared" si="18"/>
        <v>0</v>
      </c>
      <c r="P142" s="113" t="e">
        <f t="shared" si="23"/>
        <v>#DIV/0!</v>
      </c>
      <c r="Q142" s="113" t="e">
        <f t="shared" si="24"/>
        <v>#DIV/0!</v>
      </c>
      <c r="R142" s="113" t="e">
        <f t="shared" si="25"/>
        <v>#DIV/0!</v>
      </c>
      <c r="S142" s="113" t="e">
        <f t="shared" si="26"/>
        <v>#DIV/0!</v>
      </c>
      <c r="T142" s="43">
        <f t="shared" si="15"/>
        <v>0</v>
      </c>
      <c r="U142" s="43"/>
      <c r="V142" s="525" t="e">
        <f>P142*('upper bound Kenaga'!$F$36/100)</f>
        <v>#DIV/0!</v>
      </c>
      <c r="W142" s="43"/>
      <c r="X142" s="525" t="e">
        <f>P142*('upper bound Kenaga'!$F$96/100)</f>
        <v>#DIV/0!</v>
      </c>
      <c r="Y142" s="43"/>
      <c r="Z142" s="43"/>
      <c r="AA142" s="43"/>
      <c r="AB142" s="43"/>
      <c r="AC142" s="43"/>
      <c r="AD142" s="43"/>
    </row>
    <row r="143" spans="1:30" ht="13.5" thickBot="1">
      <c r="A143" s="475" t="s">
        <v>194</v>
      </c>
      <c r="B143" s="694" t="e">
        <f>B30/$D$21</f>
        <v>#DIV/0!</v>
      </c>
      <c r="C143" s="689" t="e">
        <f>B30/$D$23</f>
        <v>#DIV/0!</v>
      </c>
      <c r="D143" s="713"/>
      <c r="E143" s="713"/>
      <c r="F143" s="713"/>
      <c r="G143" s="713"/>
      <c r="K143" s="43"/>
      <c r="L143" s="43"/>
      <c r="M143" s="43">
        <f t="shared" si="16"/>
        <v>122</v>
      </c>
      <c r="N143" s="43">
        <f t="shared" si="17"/>
        <v>1</v>
      </c>
      <c r="O143" s="43">
        <f t="shared" si="18"/>
        <v>0</v>
      </c>
      <c r="P143" s="113" t="e">
        <f t="shared" si="23"/>
        <v>#DIV/0!</v>
      </c>
      <c r="Q143" s="113" t="e">
        <f t="shared" si="24"/>
        <v>#DIV/0!</v>
      </c>
      <c r="R143" s="113" t="e">
        <f t="shared" si="25"/>
        <v>#DIV/0!</v>
      </c>
      <c r="S143" s="113" t="e">
        <f t="shared" si="26"/>
        <v>#DIV/0!</v>
      </c>
      <c r="T143" s="43">
        <f t="shared" si="15"/>
        <v>0</v>
      </c>
      <c r="U143" s="43"/>
      <c r="V143" s="525" t="e">
        <f>P143*('upper bound Kenaga'!$F$36/100)</f>
        <v>#DIV/0!</v>
      </c>
      <c r="W143" s="43"/>
      <c r="X143" s="525" t="e">
        <f>P143*('upper bound Kenaga'!$F$96/100)</f>
        <v>#DIV/0!</v>
      </c>
      <c r="Y143" s="43"/>
      <c r="Z143" s="43"/>
      <c r="AA143" s="43"/>
      <c r="AB143" s="43"/>
      <c r="AC143" s="43"/>
      <c r="AD143" s="43"/>
    </row>
    <row r="144" spans="1:30" ht="12.75">
      <c r="A144" s="186"/>
      <c r="B144" s="13"/>
      <c r="C144" s="13"/>
      <c r="D144" s="107"/>
      <c r="E144" s="107"/>
      <c r="F144" s="107"/>
      <c r="G144" s="107"/>
      <c r="K144" s="43"/>
      <c r="L144" s="43"/>
      <c r="M144" s="43">
        <f t="shared" si="16"/>
        <v>123</v>
      </c>
      <c r="N144" s="43">
        <f t="shared" si="17"/>
        <v>1</v>
      </c>
      <c r="O144" s="43">
        <f t="shared" si="18"/>
        <v>0</v>
      </c>
      <c r="P144" s="113" t="e">
        <f t="shared" si="23"/>
        <v>#DIV/0!</v>
      </c>
      <c r="Q144" s="113" t="e">
        <f t="shared" si="24"/>
        <v>#DIV/0!</v>
      </c>
      <c r="R144" s="113" t="e">
        <f t="shared" si="25"/>
        <v>#DIV/0!</v>
      </c>
      <c r="S144" s="113" t="e">
        <f t="shared" si="26"/>
        <v>#DIV/0!</v>
      </c>
      <c r="T144" s="43">
        <f t="shared" si="15"/>
        <v>0</v>
      </c>
      <c r="U144" s="43"/>
      <c r="V144" s="525" t="e">
        <f>P144*('upper bound Kenaga'!$F$36/100)</f>
        <v>#DIV/0!</v>
      </c>
      <c r="W144" s="43"/>
      <c r="X144" s="525" t="e">
        <f>P144*('upper bound Kenaga'!$F$96/100)</f>
        <v>#DIV/0!</v>
      </c>
      <c r="Y144" s="43"/>
      <c r="Z144" s="43"/>
      <c r="AA144" s="43"/>
      <c r="AB144" s="43"/>
      <c r="AC144" s="43"/>
      <c r="AD144" s="43"/>
    </row>
    <row r="145" spans="11:30" ht="12.75">
      <c r="K145" s="43"/>
      <c r="L145" s="43"/>
      <c r="M145" s="43">
        <f t="shared" si="16"/>
        <v>124</v>
      </c>
      <c r="N145" s="43">
        <f t="shared" si="17"/>
        <v>1</v>
      </c>
      <c r="O145" s="43">
        <f t="shared" si="18"/>
        <v>0</v>
      </c>
      <c r="P145" s="113" t="e">
        <f t="shared" si="23"/>
        <v>#DIV/0!</v>
      </c>
      <c r="Q145" s="113" t="e">
        <f t="shared" si="24"/>
        <v>#DIV/0!</v>
      </c>
      <c r="R145" s="113" t="e">
        <f t="shared" si="25"/>
        <v>#DIV/0!</v>
      </c>
      <c r="S145" s="113" t="e">
        <f t="shared" si="26"/>
        <v>#DIV/0!</v>
      </c>
      <c r="T145" s="43">
        <f t="shared" si="15"/>
        <v>0</v>
      </c>
      <c r="U145" s="43"/>
      <c r="V145" s="525" t="e">
        <f>P145*('upper bound Kenaga'!$F$36/100)</f>
        <v>#DIV/0!</v>
      </c>
      <c r="W145" s="43"/>
      <c r="X145" s="525" t="e">
        <f>P145*('upper bound Kenaga'!$F$96/100)</f>
        <v>#DIV/0!</v>
      </c>
      <c r="Y145" s="43"/>
      <c r="Z145" s="43"/>
      <c r="AA145" s="43"/>
      <c r="AB145" s="43"/>
      <c r="AC145" s="43"/>
      <c r="AD145" s="43"/>
    </row>
    <row r="146" spans="1:30" ht="12.75">
      <c r="A146" s="200" t="s">
        <v>188</v>
      </c>
      <c r="K146" s="43"/>
      <c r="L146" s="43"/>
      <c r="M146" s="43">
        <f t="shared" si="16"/>
        <v>125</v>
      </c>
      <c r="N146" s="43">
        <f t="shared" si="17"/>
        <v>1</v>
      </c>
      <c r="O146" s="43">
        <f t="shared" si="18"/>
        <v>0</v>
      </c>
      <c r="P146" s="113" t="e">
        <f t="shared" si="23"/>
        <v>#DIV/0!</v>
      </c>
      <c r="Q146" s="113" t="e">
        <f t="shared" si="24"/>
        <v>#DIV/0!</v>
      </c>
      <c r="R146" s="113" t="e">
        <f t="shared" si="25"/>
        <v>#DIV/0!</v>
      </c>
      <c r="S146" s="113" t="e">
        <f t="shared" si="26"/>
        <v>#DIV/0!</v>
      </c>
      <c r="T146" s="43">
        <f t="shared" si="15"/>
        <v>0</v>
      </c>
      <c r="U146" s="43"/>
      <c r="V146" s="525" t="e">
        <f>P146*('upper bound Kenaga'!$F$36/100)</f>
        <v>#DIV/0!</v>
      </c>
      <c r="W146" s="43"/>
      <c r="X146" s="525" t="e">
        <f>P146*('upper bound Kenaga'!$F$96/100)</f>
        <v>#DIV/0!</v>
      </c>
      <c r="Y146" s="43"/>
      <c r="Z146" s="43"/>
      <c r="AA146" s="43"/>
      <c r="AB146" s="43"/>
      <c r="AC146" s="43"/>
      <c r="AD146" s="43"/>
    </row>
    <row r="147" spans="1:30" ht="12.75">
      <c r="A147" s="200" t="s">
        <v>187</v>
      </c>
      <c r="K147" s="43"/>
      <c r="L147" s="43"/>
      <c r="M147" s="43">
        <f t="shared" si="16"/>
        <v>126</v>
      </c>
      <c r="N147" s="43">
        <f t="shared" si="17"/>
        <v>1</v>
      </c>
      <c r="O147" s="43">
        <f t="shared" si="18"/>
        <v>0</v>
      </c>
      <c r="P147" s="113" t="e">
        <f t="shared" si="23"/>
        <v>#DIV/0!</v>
      </c>
      <c r="Q147" s="113" t="e">
        <f t="shared" si="24"/>
        <v>#DIV/0!</v>
      </c>
      <c r="R147" s="113" t="e">
        <f t="shared" si="25"/>
        <v>#DIV/0!</v>
      </c>
      <c r="S147" s="113" t="e">
        <f t="shared" si="26"/>
        <v>#DIV/0!</v>
      </c>
      <c r="T147" s="43">
        <f t="shared" si="15"/>
        <v>0</v>
      </c>
      <c r="U147" s="43"/>
      <c r="V147" s="525" t="e">
        <f>P147*('upper bound Kenaga'!$F$36/100)</f>
        <v>#DIV/0!</v>
      </c>
      <c r="W147" s="43"/>
      <c r="X147" s="525" t="e">
        <f>P147*('upper bound Kenaga'!$F$96/100)</f>
        <v>#DIV/0!</v>
      </c>
      <c r="Y147" s="43"/>
      <c r="Z147" s="43"/>
      <c r="AA147" s="43"/>
      <c r="AB147" s="43"/>
      <c r="AC147" s="43"/>
      <c r="AD147" s="43"/>
    </row>
    <row r="148" spans="1:30" ht="12.75">
      <c r="A148" s="200" t="s">
        <v>186</v>
      </c>
      <c r="K148" s="43"/>
      <c r="L148" s="43"/>
      <c r="M148" s="43">
        <f t="shared" si="16"/>
        <v>127</v>
      </c>
      <c r="N148" s="43">
        <f t="shared" si="17"/>
        <v>1</v>
      </c>
      <c r="O148" s="43">
        <f t="shared" si="18"/>
        <v>0</v>
      </c>
      <c r="P148" s="113" t="e">
        <f t="shared" si="23"/>
        <v>#DIV/0!</v>
      </c>
      <c r="Q148" s="113" t="e">
        <f t="shared" si="24"/>
        <v>#DIV/0!</v>
      </c>
      <c r="R148" s="113" t="e">
        <f t="shared" si="25"/>
        <v>#DIV/0!</v>
      </c>
      <c r="S148" s="113" t="e">
        <f t="shared" si="26"/>
        <v>#DIV/0!</v>
      </c>
      <c r="T148" s="43">
        <f t="shared" si="15"/>
        <v>0</v>
      </c>
      <c r="U148" s="43"/>
      <c r="V148" s="525" t="e">
        <f>P148*('upper bound Kenaga'!$F$36/100)</f>
        <v>#DIV/0!</v>
      </c>
      <c r="W148" s="43"/>
      <c r="X148" s="525" t="e">
        <f>P148*('upper bound Kenaga'!$F$96/100)</f>
        <v>#DIV/0!</v>
      </c>
      <c r="Y148" s="43"/>
      <c r="Z148" s="43"/>
      <c r="AA148" s="43"/>
      <c r="AB148" s="43"/>
      <c r="AC148" s="43"/>
      <c r="AD148" s="43"/>
    </row>
    <row r="149" spans="11:30" ht="12.75">
      <c r="K149" s="43"/>
      <c r="L149" s="43"/>
      <c r="M149" s="43">
        <f t="shared" si="16"/>
        <v>128</v>
      </c>
      <c r="N149" s="43">
        <f t="shared" si="17"/>
        <v>1</v>
      </c>
      <c r="O149" s="43">
        <f t="shared" si="18"/>
        <v>0</v>
      </c>
      <c r="P149" s="113" t="e">
        <f t="shared" si="23"/>
        <v>#DIV/0!</v>
      </c>
      <c r="Q149" s="113" t="e">
        <f t="shared" si="24"/>
        <v>#DIV/0!</v>
      </c>
      <c r="R149" s="113" t="e">
        <f t="shared" si="25"/>
        <v>#DIV/0!</v>
      </c>
      <c r="S149" s="113" t="e">
        <f t="shared" si="26"/>
        <v>#DIV/0!</v>
      </c>
      <c r="T149" s="43">
        <f t="shared" si="15"/>
        <v>0</v>
      </c>
      <c r="U149" s="43"/>
      <c r="V149" s="525" t="e">
        <f>P149*('upper bound Kenaga'!$F$36/100)</f>
        <v>#DIV/0!</v>
      </c>
      <c r="W149" s="43"/>
      <c r="X149" s="525" t="e">
        <f>P149*('upper bound Kenaga'!$F$96/100)</f>
        <v>#DIV/0!</v>
      </c>
      <c r="Y149" s="43"/>
      <c r="Z149" s="43"/>
      <c r="AA149" s="43"/>
      <c r="AB149" s="43"/>
      <c r="AC149" s="43"/>
      <c r="AD149" s="43"/>
    </row>
    <row r="150" spans="11:30" ht="12.75">
      <c r="K150" s="43"/>
      <c r="L150" s="43"/>
      <c r="M150" s="43">
        <f t="shared" si="16"/>
        <v>129</v>
      </c>
      <c r="N150" s="43">
        <f t="shared" si="17"/>
        <v>1</v>
      </c>
      <c r="O150" s="43">
        <f t="shared" si="18"/>
        <v>0</v>
      </c>
      <c r="P150" s="113" t="e">
        <f t="shared" si="23"/>
        <v>#DIV/0!</v>
      </c>
      <c r="Q150" s="113" t="e">
        <f t="shared" si="24"/>
        <v>#DIV/0!</v>
      </c>
      <c r="R150" s="113" t="e">
        <f t="shared" si="25"/>
        <v>#DIV/0!</v>
      </c>
      <c r="S150" s="113" t="e">
        <f t="shared" si="26"/>
        <v>#DIV/0!</v>
      </c>
      <c r="T150" s="43">
        <f t="shared" si="15"/>
        <v>0</v>
      </c>
      <c r="U150" s="43"/>
      <c r="V150" s="525" t="e">
        <f>P150*('upper bound Kenaga'!$F$36/100)</f>
        <v>#DIV/0!</v>
      </c>
      <c r="W150" s="43"/>
      <c r="X150" s="525" t="e">
        <f>P150*('upper bound Kenaga'!$F$96/100)</f>
        <v>#DIV/0!</v>
      </c>
      <c r="Y150" s="43"/>
      <c r="Z150" s="43"/>
      <c r="AA150" s="43"/>
      <c r="AB150" s="43"/>
      <c r="AC150" s="43"/>
      <c r="AD150" s="43"/>
    </row>
    <row r="151" spans="11:30" ht="12.75">
      <c r="K151" s="43"/>
      <c r="L151" s="43"/>
      <c r="M151" s="43">
        <f t="shared" si="16"/>
        <v>130</v>
      </c>
      <c r="N151" s="43">
        <f t="shared" si="17"/>
        <v>1</v>
      </c>
      <c r="O151" s="43">
        <f t="shared" si="18"/>
        <v>0</v>
      </c>
      <c r="P151" s="113" t="e">
        <f t="shared" si="23"/>
        <v>#DIV/0!</v>
      </c>
      <c r="Q151" s="113" t="e">
        <f t="shared" si="24"/>
        <v>#DIV/0!</v>
      </c>
      <c r="R151" s="113" t="e">
        <f t="shared" si="25"/>
        <v>#DIV/0!</v>
      </c>
      <c r="S151" s="113" t="e">
        <f t="shared" si="26"/>
        <v>#DIV/0!</v>
      </c>
      <c r="T151" s="43">
        <f t="shared" si="15"/>
        <v>0</v>
      </c>
      <c r="U151" s="43"/>
      <c r="V151" s="525" t="e">
        <f>P151*('upper bound Kenaga'!$F$36/100)</f>
        <v>#DIV/0!</v>
      </c>
      <c r="W151" s="43"/>
      <c r="X151" s="525" t="e">
        <f>P151*('upper bound Kenaga'!$F$96/100)</f>
        <v>#DIV/0!</v>
      </c>
      <c r="Y151" s="43"/>
      <c r="Z151" s="43"/>
      <c r="AA151" s="43"/>
      <c r="AB151" s="43"/>
      <c r="AC151" s="43"/>
      <c r="AD151" s="43"/>
    </row>
    <row r="152" spans="11:30" ht="12.75">
      <c r="K152" s="43"/>
      <c r="L152" s="43"/>
      <c r="M152" s="43">
        <f t="shared" si="16"/>
        <v>131</v>
      </c>
      <c r="N152" s="43">
        <f t="shared" si="17"/>
        <v>1</v>
      </c>
      <c r="O152" s="43">
        <f t="shared" si="18"/>
        <v>0</v>
      </c>
      <c r="P152" s="113" t="e">
        <f t="shared" si="23"/>
        <v>#DIV/0!</v>
      </c>
      <c r="Q152" s="113" t="e">
        <f t="shared" si="24"/>
        <v>#DIV/0!</v>
      </c>
      <c r="R152" s="113" t="e">
        <f t="shared" si="25"/>
        <v>#DIV/0!</v>
      </c>
      <c r="S152" s="113" t="e">
        <f t="shared" si="26"/>
        <v>#DIV/0!</v>
      </c>
      <c r="T152" s="43">
        <f t="shared" si="15"/>
        <v>0</v>
      </c>
      <c r="U152" s="43"/>
      <c r="V152" s="525" t="e">
        <f>P152*('upper bound Kenaga'!$F$36/100)</f>
        <v>#DIV/0!</v>
      </c>
      <c r="W152" s="43"/>
      <c r="X152" s="525" t="e">
        <f>P152*('upper bound Kenaga'!$F$96/100)</f>
        <v>#DIV/0!</v>
      </c>
      <c r="Y152" s="43"/>
      <c r="Z152" s="43"/>
      <c r="AA152" s="43"/>
      <c r="AB152" s="43"/>
      <c r="AC152" s="43"/>
      <c r="AD152" s="43"/>
    </row>
    <row r="153" spans="11:30" ht="12.75">
      <c r="K153" s="43"/>
      <c r="L153" s="43"/>
      <c r="M153" s="43">
        <f t="shared" si="16"/>
        <v>132</v>
      </c>
      <c r="N153" s="43">
        <f t="shared" si="17"/>
        <v>1</v>
      </c>
      <c r="O153" s="43">
        <f t="shared" si="18"/>
        <v>0</v>
      </c>
      <c r="P153" s="113" t="e">
        <f t="shared" si="23"/>
        <v>#DIV/0!</v>
      </c>
      <c r="Q153" s="113" t="e">
        <f t="shared" si="24"/>
        <v>#DIV/0!</v>
      </c>
      <c r="R153" s="113" t="e">
        <f t="shared" si="25"/>
        <v>#DIV/0!</v>
      </c>
      <c r="S153" s="113" t="e">
        <f t="shared" si="26"/>
        <v>#DIV/0!</v>
      </c>
      <c r="T153" s="43">
        <f t="shared" si="15"/>
        <v>0</v>
      </c>
      <c r="U153" s="43"/>
      <c r="V153" s="525" t="e">
        <f>P153*('upper bound Kenaga'!$F$36/100)</f>
        <v>#DIV/0!</v>
      </c>
      <c r="W153" s="43"/>
      <c r="X153" s="525" t="e">
        <f>P153*('upper bound Kenaga'!$F$96/100)</f>
        <v>#DIV/0!</v>
      </c>
      <c r="Y153" s="43"/>
      <c r="Z153" s="43"/>
      <c r="AA153" s="43"/>
      <c r="AB153" s="43"/>
      <c r="AC153" s="43"/>
      <c r="AD153" s="43"/>
    </row>
    <row r="154" spans="11:30" ht="12.75">
      <c r="K154" s="43"/>
      <c r="L154" s="43"/>
      <c r="M154" s="43">
        <f t="shared" si="16"/>
        <v>133</v>
      </c>
      <c r="N154" s="43">
        <f t="shared" si="17"/>
        <v>1</v>
      </c>
      <c r="O154" s="43">
        <f t="shared" si="18"/>
        <v>0</v>
      </c>
      <c r="P154" s="113" t="e">
        <f t="shared" si="23"/>
        <v>#DIV/0!</v>
      </c>
      <c r="Q154" s="113" t="e">
        <f t="shared" si="24"/>
        <v>#DIV/0!</v>
      </c>
      <c r="R154" s="113" t="e">
        <f t="shared" si="25"/>
        <v>#DIV/0!</v>
      </c>
      <c r="S154" s="113" t="e">
        <f t="shared" si="26"/>
        <v>#DIV/0!</v>
      </c>
      <c r="T154" s="43">
        <f aca="true" t="shared" si="27" ref="T154:T217">$B$11</f>
        <v>0</v>
      </c>
      <c r="U154" s="43"/>
      <c r="V154" s="525" t="e">
        <f>P154*('upper bound Kenaga'!$F$36/100)</f>
        <v>#DIV/0!</v>
      </c>
      <c r="W154" s="43"/>
      <c r="X154" s="525" t="e">
        <f>P154*('upper bound Kenaga'!$F$96/100)</f>
        <v>#DIV/0!</v>
      </c>
      <c r="Y154" s="43"/>
      <c r="Z154" s="43"/>
      <c r="AA154" s="43"/>
      <c r="AB154" s="43"/>
      <c r="AC154" s="43"/>
      <c r="AD154" s="43"/>
    </row>
    <row r="155" spans="11:30" ht="12.75">
      <c r="K155" s="43"/>
      <c r="L155" s="43"/>
      <c r="M155" s="43">
        <f aca="true" t="shared" si="28" ref="M155:M218">(M154+1)</f>
        <v>134</v>
      </c>
      <c r="N155" s="43">
        <f aca="true" t="shared" si="29" ref="N155:N218">IF($B$9&gt;N154,IF(O154=($B$8-1),(N154+1),(N154)),(N154))</f>
        <v>1</v>
      </c>
      <c r="O155" s="43">
        <f aca="true" t="shared" si="30" ref="O155:O218">IF(O154&lt;($B$8-1),(1+O154),0)</f>
        <v>0</v>
      </c>
      <c r="P155" s="113" t="e">
        <f t="shared" si="23"/>
        <v>#DIV/0!</v>
      </c>
      <c r="Q155" s="113" t="e">
        <f t="shared" si="24"/>
        <v>#DIV/0!</v>
      </c>
      <c r="R155" s="113" t="e">
        <f t="shared" si="25"/>
        <v>#DIV/0!</v>
      </c>
      <c r="S155" s="113" t="e">
        <f t="shared" si="26"/>
        <v>#DIV/0!</v>
      </c>
      <c r="T155" s="43">
        <f t="shared" si="27"/>
        <v>0</v>
      </c>
      <c r="U155" s="43"/>
      <c r="V155" s="525" t="e">
        <f>P155*('upper bound Kenaga'!$F$36/100)</f>
        <v>#DIV/0!</v>
      </c>
      <c r="W155" s="43"/>
      <c r="X155" s="525" t="e">
        <f>P155*('upper bound Kenaga'!$F$96/100)</f>
        <v>#DIV/0!</v>
      </c>
      <c r="Y155" s="43"/>
      <c r="Z155" s="43"/>
      <c r="AA155" s="43"/>
      <c r="AB155" s="43"/>
      <c r="AC155" s="43"/>
      <c r="AD155" s="43"/>
    </row>
    <row r="156" spans="11:30" ht="12.75">
      <c r="K156" s="43"/>
      <c r="L156" s="43"/>
      <c r="M156" s="43">
        <f t="shared" si="28"/>
        <v>135</v>
      </c>
      <c r="N156" s="43">
        <f t="shared" si="29"/>
        <v>1</v>
      </c>
      <c r="O156" s="43">
        <f t="shared" si="30"/>
        <v>0</v>
      </c>
      <c r="P156" s="113" t="e">
        <f t="shared" si="23"/>
        <v>#DIV/0!</v>
      </c>
      <c r="Q156" s="113" t="e">
        <f t="shared" si="24"/>
        <v>#DIV/0!</v>
      </c>
      <c r="R156" s="113" t="e">
        <f t="shared" si="25"/>
        <v>#DIV/0!</v>
      </c>
      <c r="S156" s="113" t="e">
        <f t="shared" si="26"/>
        <v>#DIV/0!</v>
      </c>
      <c r="T156" s="43">
        <f t="shared" si="27"/>
        <v>0</v>
      </c>
      <c r="U156" s="43"/>
      <c r="V156" s="525" t="e">
        <f>P156*('upper bound Kenaga'!$F$36/100)</f>
        <v>#DIV/0!</v>
      </c>
      <c r="W156" s="43"/>
      <c r="X156" s="525" t="e">
        <f>P156*('upper bound Kenaga'!$F$96/100)</f>
        <v>#DIV/0!</v>
      </c>
      <c r="Y156" s="43"/>
      <c r="Z156" s="43"/>
      <c r="AA156" s="43"/>
      <c r="AB156" s="43"/>
      <c r="AC156" s="43"/>
      <c r="AD156" s="43"/>
    </row>
    <row r="157" spans="11:30" ht="12.75">
      <c r="K157" s="43"/>
      <c r="L157" s="43"/>
      <c r="M157" s="43">
        <f t="shared" si="28"/>
        <v>136</v>
      </c>
      <c r="N157" s="43">
        <f t="shared" si="29"/>
        <v>1</v>
      </c>
      <c r="O157" s="43">
        <f t="shared" si="30"/>
        <v>0</v>
      </c>
      <c r="P157" s="113" t="e">
        <f t="shared" si="23"/>
        <v>#DIV/0!</v>
      </c>
      <c r="Q157" s="113" t="e">
        <f t="shared" si="24"/>
        <v>#DIV/0!</v>
      </c>
      <c r="R157" s="113" t="e">
        <f t="shared" si="25"/>
        <v>#DIV/0!</v>
      </c>
      <c r="S157" s="113" t="e">
        <f t="shared" si="26"/>
        <v>#DIV/0!</v>
      </c>
      <c r="T157" s="43">
        <f t="shared" si="27"/>
        <v>0</v>
      </c>
      <c r="U157" s="43"/>
      <c r="V157" s="525" t="e">
        <f>P157*('upper bound Kenaga'!$F$36/100)</f>
        <v>#DIV/0!</v>
      </c>
      <c r="W157" s="43"/>
      <c r="X157" s="525" t="e">
        <f>P157*('upper bound Kenaga'!$F$96/100)</f>
        <v>#DIV/0!</v>
      </c>
      <c r="Y157" s="43"/>
      <c r="Z157" s="43"/>
      <c r="AA157" s="43"/>
      <c r="AB157" s="43"/>
      <c r="AC157" s="43"/>
      <c r="AD157" s="43"/>
    </row>
    <row r="158" spans="11:30" ht="12.75">
      <c r="K158" s="43"/>
      <c r="L158" s="43"/>
      <c r="M158" s="43">
        <f t="shared" si="28"/>
        <v>137</v>
      </c>
      <c r="N158" s="43">
        <f t="shared" si="29"/>
        <v>1</v>
      </c>
      <c r="O158" s="43">
        <f t="shared" si="30"/>
        <v>0</v>
      </c>
      <c r="P158" s="113" t="e">
        <f t="shared" si="23"/>
        <v>#DIV/0!</v>
      </c>
      <c r="Q158" s="113" t="e">
        <f t="shared" si="24"/>
        <v>#DIV/0!</v>
      </c>
      <c r="R158" s="113" t="e">
        <f t="shared" si="25"/>
        <v>#DIV/0!</v>
      </c>
      <c r="S158" s="113" t="e">
        <f t="shared" si="26"/>
        <v>#DIV/0!</v>
      </c>
      <c r="T158" s="43">
        <f t="shared" si="27"/>
        <v>0</v>
      </c>
      <c r="U158" s="43"/>
      <c r="V158" s="525" t="e">
        <f>P158*('upper bound Kenaga'!$F$36/100)</f>
        <v>#DIV/0!</v>
      </c>
      <c r="W158" s="43"/>
      <c r="X158" s="525" t="e">
        <f>P158*('upper bound Kenaga'!$F$96/100)</f>
        <v>#DIV/0!</v>
      </c>
      <c r="Y158" s="43"/>
      <c r="Z158" s="43"/>
      <c r="AA158" s="43"/>
      <c r="AB158" s="43"/>
      <c r="AC158" s="43"/>
      <c r="AD158" s="43"/>
    </row>
    <row r="159" spans="11:30" ht="12.75">
      <c r="K159" s="43"/>
      <c r="L159" s="43"/>
      <c r="M159" s="43">
        <f t="shared" si="28"/>
        <v>138</v>
      </c>
      <c r="N159" s="43">
        <f t="shared" si="29"/>
        <v>1</v>
      </c>
      <c r="O159" s="43">
        <f t="shared" si="30"/>
        <v>0</v>
      </c>
      <c r="P159" s="113" t="e">
        <f t="shared" si="23"/>
        <v>#DIV/0!</v>
      </c>
      <c r="Q159" s="113" t="e">
        <f t="shared" si="24"/>
        <v>#DIV/0!</v>
      </c>
      <c r="R159" s="113" t="e">
        <f t="shared" si="25"/>
        <v>#DIV/0!</v>
      </c>
      <c r="S159" s="113" t="e">
        <f t="shared" si="26"/>
        <v>#DIV/0!</v>
      </c>
      <c r="T159" s="43">
        <f t="shared" si="27"/>
        <v>0</v>
      </c>
      <c r="U159" s="43"/>
      <c r="V159" s="525" t="e">
        <f>P159*('upper bound Kenaga'!$F$36/100)</f>
        <v>#DIV/0!</v>
      </c>
      <c r="W159" s="43"/>
      <c r="X159" s="525" t="e">
        <f>P159*('upper bound Kenaga'!$F$96/100)</f>
        <v>#DIV/0!</v>
      </c>
      <c r="Y159" s="43"/>
      <c r="Z159" s="43"/>
      <c r="AA159" s="43"/>
      <c r="AB159" s="43"/>
      <c r="AC159" s="43"/>
      <c r="AD159" s="43"/>
    </row>
    <row r="160" spans="11:30" ht="12.75">
      <c r="K160" s="43"/>
      <c r="L160" s="43"/>
      <c r="M160" s="43">
        <f t="shared" si="28"/>
        <v>139</v>
      </c>
      <c r="N160" s="43">
        <f t="shared" si="29"/>
        <v>1</v>
      </c>
      <c r="O160" s="43">
        <f t="shared" si="30"/>
        <v>0</v>
      </c>
      <c r="P160" s="113" t="e">
        <f t="shared" si="23"/>
        <v>#DIV/0!</v>
      </c>
      <c r="Q160" s="113" t="e">
        <f t="shared" si="24"/>
        <v>#DIV/0!</v>
      </c>
      <c r="R160" s="113" t="e">
        <f t="shared" si="25"/>
        <v>#DIV/0!</v>
      </c>
      <c r="S160" s="113" t="e">
        <f t="shared" si="26"/>
        <v>#DIV/0!</v>
      </c>
      <c r="T160" s="43">
        <f t="shared" si="27"/>
        <v>0</v>
      </c>
      <c r="U160" s="43"/>
      <c r="V160" s="525" t="e">
        <f>P160*('upper bound Kenaga'!$F$36/100)</f>
        <v>#DIV/0!</v>
      </c>
      <c r="W160" s="43"/>
      <c r="X160" s="525" t="e">
        <f>P160*('upper bound Kenaga'!$F$96/100)</f>
        <v>#DIV/0!</v>
      </c>
      <c r="Y160" s="43"/>
      <c r="Z160" s="43"/>
      <c r="AA160" s="43"/>
      <c r="AB160" s="43"/>
      <c r="AC160" s="43"/>
      <c r="AD160" s="43"/>
    </row>
    <row r="161" spans="11:30" ht="12.75">
      <c r="K161" s="43"/>
      <c r="L161" s="43"/>
      <c r="M161" s="43">
        <f t="shared" si="28"/>
        <v>140</v>
      </c>
      <c r="N161" s="43">
        <f t="shared" si="29"/>
        <v>1</v>
      </c>
      <c r="O161" s="43">
        <f t="shared" si="30"/>
        <v>0</v>
      </c>
      <c r="P161" s="113" t="e">
        <f t="shared" si="23"/>
        <v>#DIV/0!</v>
      </c>
      <c r="Q161" s="113" t="e">
        <f t="shared" si="24"/>
        <v>#DIV/0!</v>
      </c>
      <c r="R161" s="113" t="e">
        <f t="shared" si="25"/>
        <v>#DIV/0!</v>
      </c>
      <c r="S161" s="113" t="e">
        <f t="shared" si="26"/>
        <v>#DIV/0!</v>
      </c>
      <c r="T161" s="43">
        <f t="shared" si="27"/>
        <v>0</v>
      </c>
      <c r="U161" s="43"/>
      <c r="V161" s="525" t="e">
        <f>P161*('upper bound Kenaga'!$F$36/100)</f>
        <v>#DIV/0!</v>
      </c>
      <c r="W161" s="43"/>
      <c r="X161" s="525" t="e">
        <f>P161*('upper bound Kenaga'!$F$96/100)</f>
        <v>#DIV/0!</v>
      </c>
      <c r="Y161" s="43"/>
      <c r="Z161" s="43"/>
      <c r="AA161" s="43"/>
      <c r="AB161" s="43"/>
      <c r="AC161" s="43"/>
      <c r="AD161" s="43"/>
    </row>
    <row r="162" spans="11:30" ht="12.75">
      <c r="K162" s="43"/>
      <c r="L162" s="43"/>
      <c r="M162" s="43">
        <f t="shared" si="28"/>
        <v>141</v>
      </c>
      <c r="N162" s="43">
        <f t="shared" si="29"/>
        <v>1</v>
      </c>
      <c r="O162" s="43">
        <f t="shared" si="30"/>
        <v>0</v>
      </c>
      <c r="P162" s="113" t="e">
        <f t="shared" si="23"/>
        <v>#DIV/0!</v>
      </c>
      <c r="Q162" s="113" t="e">
        <f t="shared" si="24"/>
        <v>#DIV/0!</v>
      </c>
      <c r="R162" s="113" t="e">
        <f t="shared" si="25"/>
        <v>#DIV/0!</v>
      </c>
      <c r="S162" s="113" t="e">
        <f t="shared" si="26"/>
        <v>#DIV/0!</v>
      </c>
      <c r="T162" s="43">
        <f t="shared" si="27"/>
        <v>0</v>
      </c>
      <c r="U162" s="43"/>
      <c r="V162" s="525" t="e">
        <f>P162*('upper bound Kenaga'!$F$36/100)</f>
        <v>#DIV/0!</v>
      </c>
      <c r="W162" s="43"/>
      <c r="X162" s="525" t="e">
        <f>P162*('upper bound Kenaga'!$F$96/100)</f>
        <v>#DIV/0!</v>
      </c>
      <c r="Y162" s="43"/>
      <c r="Z162" s="43"/>
      <c r="AA162" s="43"/>
      <c r="AB162" s="43"/>
      <c r="AC162" s="43"/>
      <c r="AD162" s="43"/>
    </row>
    <row r="163" spans="11:30" ht="12.75">
      <c r="K163" s="43"/>
      <c r="L163" s="43"/>
      <c r="M163" s="43">
        <f t="shared" si="28"/>
        <v>142</v>
      </c>
      <c r="N163" s="43">
        <f t="shared" si="29"/>
        <v>1</v>
      </c>
      <c r="O163" s="43">
        <f t="shared" si="30"/>
        <v>0</v>
      </c>
      <c r="P163" s="113" t="e">
        <f t="shared" si="23"/>
        <v>#DIV/0!</v>
      </c>
      <c r="Q163" s="113" t="e">
        <f t="shared" si="24"/>
        <v>#DIV/0!</v>
      </c>
      <c r="R163" s="113" t="e">
        <f t="shared" si="25"/>
        <v>#DIV/0!</v>
      </c>
      <c r="S163" s="113" t="e">
        <f t="shared" si="26"/>
        <v>#DIV/0!</v>
      </c>
      <c r="T163" s="43">
        <f t="shared" si="27"/>
        <v>0</v>
      </c>
      <c r="U163" s="43"/>
      <c r="V163" s="525" t="e">
        <f>P163*('upper bound Kenaga'!$F$36/100)</f>
        <v>#DIV/0!</v>
      </c>
      <c r="W163" s="43"/>
      <c r="X163" s="525" t="e">
        <f>P163*('upper bound Kenaga'!$F$96/100)</f>
        <v>#DIV/0!</v>
      </c>
      <c r="Y163" s="43"/>
      <c r="Z163" s="43"/>
      <c r="AA163" s="43"/>
      <c r="AB163" s="43"/>
      <c r="AC163" s="43"/>
      <c r="AD163" s="43"/>
    </row>
    <row r="164" spans="11:30" ht="12.75">
      <c r="K164" s="43"/>
      <c r="L164" s="43"/>
      <c r="M164" s="43">
        <f t="shared" si="28"/>
        <v>143</v>
      </c>
      <c r="N164" s="43">
        <f t="shared" si="29"/>
        <v>1</v>
      </c>
      <c r="O164" s="43">
        <f t="shared" si="30"/>
        <v>0</v>
      </c>
      <c r="P164" s="113" t="e">
        <f t="shared" si="23"/>
        <v>#DIV/0!</v>
      </c>
      <c r="Q164" s="113" t="e">
        <f t="shared" si="24"/>
        <v>#DIV/0!</v>
      </c>
      <c r="R164" s="113" t="e">
        <f t="shared" si="25"/>
        <v>#DIV/0!</v>
      </c>
      <c r="S164" s="113" t="e">
        <f t="shared" si="26"/>
        <v>#DIV/0!</v>
      </c>
      <c r="T164" s="43">
        <f t="shared" si="27"/>
        <v>0</v>
      </c>
      <c r="U164" s="43"/>
      <c r="V164" s="525" t="e">
        <f>P164*('upper bound Kenaga'!$F$36/100)</f>
        <v>#DIV/0!</v>
      </c>
      <c r="W164" s="43"/>
      <c r="X164" s="525" t="e">
        <f>P164*('upper bound Kenaga'!$F$96/100)</f>
        <v>#DIV/0!</v>
      </c>
      <c r="Y164" s="43"/>
      <c r="Z164" s="43"/>
      <c r="AA164" s="43"/>
      <c r="AB164" s="43"/>
      <c r="AC164" s="43"/>
      <c r="AD164" s="43"/>
    </row>
    <row r="165" spans="11:30" ht="12.75">
      <c r="K165" s="43"/>
      <c r="L165" s="43"/>
      <c r="M165" s="43">
        <f t="shared" si="28"/>
        <v>144</v>
      </c>
      <c r="N165" s="43">
        <f t="shared" si="29"/>
        <v>1</v>
      </c>
      <c r="O165" s="43">
        <f t="shared" si="30"/>
        <v>0</v>
      </c>
      <c r="P165" s="113" t="e">
        <f t="shared" si="23"/>
        <v>#DIV/0!</v>
      </c>
      <c r="Q165" s="113" t="e">
        <f t="shared" si="24"/>
        <v>#DIV/0!</v>
      </c>
      <c r="R165" s="113" t="e">
        <f t="shared" si="25"/>
        <v>#DIV/0!</v>
      </c>
      <c r="S165" s="113" t="e">
        <f t="shared" si="26"/>
        <v>#DIV/0!</v>
      </c>
      <c r="T165" s="43">
        <f t="shared" si="27"/>
        <v>0</v>
      </c>
      <c r="U165" s="43"/>
      <c r="V165" s="525" t="e">
        <f>P165*('upper bound Kenaga'!$F$36/100)</f>
        <v>#DIV/0!</v>
      </c>
      <c r="W165" s="43"/>
      <c r="X165" s="525" t="e">
        <f>P165*('upper bound Kenaga'!$F$96/100)</f>
        <v>#DIV/0!</v>
      </c>
      <c r="Y165" s="43"/>
      <c r="Z165" s="43"/>
      <c r="AA165" s="43"/>
      <c r="AB165" s="43"/>
      <c r="AC165" s="43"/>
      <c r="AD165" s="43"/>
    </row>
    <row r="166" spans="11:30" ht="12.75">
      <c r="K166" s="43"/>
      <c r="L166" s="43"/>
      <c r="M166" s="43">
        <f t="shared" si="28"/>
        <v>145</v>
      </c>
      <c r="N166" s="43">
        <f t="shared" si="29"/>
        <v>1</v>
      </c>
      <c r="O166" s="43">
        <f t="shared" si="30"/>
        <v>0</v>
      </c>
      <c r="P166" s="113" t="e">
        <f t="shared" si="23"/>
        <v>#DIV/0!</v>
      </c>
      <c r="Q166" s="113" t="e">
        <f t="shared" si="24"/>
        <v>#DIV/0!</v>
      </c>
      <c r="R166" s="113" t="e">
        <f t="shared" si="25"/>
        <v>#DIV/0!</v>
      </c>
      <c r="S166" s="113" t="e">
        <f t="shared" si="26"/>
        <v>#DIV/0!</v>
      </c>
      <c r="T166" s="43">
        <f t="shared" si="27"/>
        <v>0</v>
      </c>
      <c r="U166" s="43"/>
      <c r="V166" s="525" t="e">
        <f>P166*('upper bound Kenaga'!$F$36/100)</f>
        <v>#DIV/0!</v>
      </c>
      <c r="W166" s="43"/>
      <c r="X166" s="525" t="e">
        <f>P166*('upper bound Kenaga'!$F$96/100)</f>
        <v>#DIV/0!</v>
      </c>
      <c r="Y166" s="43"/>
      <c r="Z166" s="43"/>
      <c r="AA166" s="43"/>
      <c r="AB166" s="43"/>
      <c r="AC166" s="43"/>
      <c r="AD166" s="43"/>
    </row>
    <row r="167" spans="11:30" ht="12.75">
      <c r="K167" s="43"/>
      <c r="L167" s="43"/>
      <c r="M167" s="43">
        <f t="shared" si="28"/>
        <v>146</v>
      </c>
      <c r="N167" s="43">
        <f t="shared" si="29"/>
        <v>1</v>
      </c>
      <c r="O167" s="43">
        <f t="shared" si="30"/>
        <v>0</v>
      </c>
      <c r="P167" s="113" t="e">
        <f t="shared" si="23"/>
        <v>#DIV/0!</v>
      </c>
      <c r="Q167" s="113" t="e">
        <f t="shared" si="24"/>
        <v>#DIV/0!</v>
      </c>
      <c r="R167" s="113" t="e">
        <f t="shared" si="25"/>
        <v>#DIV/0!</v>
      </c>
      <c r="S167" s="113" t="e">
        <f t="shared" si="26"/>
        <v>#DIV/0!</v>
      </c>
      <c r="T167" s="43">
        <f t="shared" si="27"/>
        <v>0</v>
      </c>
      <c r="U167" s="43"/>
      <c r="V167" s="525" t="e">
        <f>P167*('upper bound Kenaga'!$F$36/100)</f>
        <v>#DIV/0!</v>
      </c>
      <c r="W167" s="43"/>
      <c r="X167" s="525" t="e">
        <f>P167*('upper bound Kenaga'!$F$96/100)</f>
        <v>#DIV/0!</v>
      </c>
      <c r="Y167" s="43"/>
      <c r="Z167" s="43"/>
      <c r="AA167" s="43"/>
      <c r="AB167" s="43"/>
      <c r="AC167" s="43"/>
      <c r="AD167" s="43"/>
    </row>
    <row r="168" spans="11:30" ht="12.75">
      <c r="K168" s="43"/>
      <c r="L168" s="43"/>
      <c r="M168" s="43">
        <f t="shared" si="28"/>
        <v>147</v>
      </c>
      <c r="N168" s="43">
        <f t="shared" si="29"/>
        <v>1</v>
      </c>
      <c r="O168" s="43">
        <f t="shared" si="30"/>
        <v>0</v>
      </c>
      <c r="P168" s="113" t="e">
        <f t="shared" si="23"/>
        <v>#DIV/0!</v>
      </c>
      <c r="Q168" s="113" t="e">
        <f t="shared" si="24"/>
        <v>#DIV/0!</v>
      </c>
      <c r="R168" s="113" t="e">
        <f t="shared" si="25"/>
        <v>#DIV/0!</v>
      </c>
      <c r="S168" s="113" t="e">
        <f t="shared" si="26"/>
        <v>#DIV/0!</v>
      </c>
      <c r="T168" s="43">
        <f t="shared" si="27"/>
        <v>0</v>
      </c>
      <c r="U168" s="43"/>
      <c r="V168" s="525" t="e">
        <f>P168*('upper bound Kenaga'!$F$36/100)</f>
        <v>#DIV/0!</v>
      </c>
      <c r="W168" s="43"/>
      <c r="X168" s="525" t="e">
        <f>P168*('upper bound Kenaga'!$F$96/100)</f>
        <v>#DIV/0!</v>
      </c>
      <c r="Y168" s="43"/>
      <c r="Z168" s="43"/>
      <c r="AA168" s="43"/>
      <c r="AB168" s="43"/>
      <c r="AC168" s="43"/>
      <c r="AD168" s="43"/>
    </row>
    <row r="169" spans="11:30" ht="12.75">
      <c r="K169" s="43"/>
      <c r="L169" s="43"/>
      <c r="M169" s="43">
        <f t="shared" si="28"/>
        <v>148</v>
      </c>
      <c r="N169" s="43">
        <f t="shared" si="29"/>
        <v>1</v>
      </c>
      <c r="O169" s="43">
        <f t="shared" si="30"/>
        <v>0</v>
      </c>
      <c r="P169" s="113" t="e">
        <f t="shared" si="23"/>
        <v>#DIV/0!</v>
      </c>
      <c r="Q169" s="113" t="e">
        <f t="shared" si="24"/>
        <v>#DIV/0!</v>
      </c>
      <c r="R169" s="113" t="e">
        <f t="shared" si="25"/>
        <v>#DIV/0!</v>
      </c>
      <c r="S169" s="113" t="e">
        <f t="shared" si="26"/>
        <v>#DIV/0!</v>
      </c>
      <c r="T169" s="43">
        <f t="shared" si="27"/>
        <v>0</v>
      </c>
      <c r="U169" s="43"/>
      <c r="V169" s="525" t="e">
        <f>P169*('upper bound Kenaga'!$F$36/100)</f>
        <v>#DIV/0!</v>
      </c>
      <c r="W169" s="43"/>
      <c r="X169" s="525" t="e">
        <f>P169*('upper bound Kenaga'!$F$96/100)</f>
        <v>#DIV/0!</v>
      </c>
      <c r="Y169" s="43"/>
      <c r="Z169" s="43"/>
      <c r="AA169" s="43"/>
      <c r="AB169" s="43"/>
      <c r="AC169" s="43"/>
      <c r="AD169" s="43"/>
    </row>
    <row r="170" spans="11:30" ht="12.75">
      <c r="K170" s="43"/>
      <c r="L170" s="43"/>
      <c r="M170" s="43">
        <f t="shared" si="28"/>
        <v>149</v>
      </c>
      <c r="N170" s="43">
        <f t="shared" si="29"/>
        <v>1</v>
      </c>
      <c r="O170" s="43">
        <f t="shared" si="30"/>
        <v>0</v>
      </c>
      <c r="P170" s="113" t="e">
        <f aca="true" t="shared" si="31" ref="P170:P233">IF((N170&gt;N169),(EXP(-$Q$16)*(P169)+$Q$11),((EXP(-$Q$16)*(P169))))</f>
        <v>#DIV/0!</v>
      </c>
      <c r="Q170" s="113" t="e">
        <f aca="true" t="shared" si="32" ref="Q170:Q233">IF((N170&gt;N169),(EXP(-$Q$16)*(Q169)+$Q$12),((EXP(-$Q$16)*(Q169))))</f>
        <v>#DIV/0!</v>
      </c>
      <c r="R170" s="113" t="e">
        <f aca="true" t="shared" si="33" ref="R170:R233">IF((N170&gt;N169),(EXP(-$Q$16)*(R169)+$Q$13),((EXP(-$Q$16)*(R169))))</f>
        <v>#DIV/0!</v>
      </c>
      <c r="S170" s="113" t="e">
        <f aca="true" t="shared" si="34" ref="S170:S233">IF((N170&gt;N169),(EXP(-$Q$16)*(S169)+$Q$14),((EXP(-$Q$16)*(S169))))</f>
        <v>#DIV/0!</v>
      </c>
      <c r="T170" s="43">
        <f t="shared" si="27"/>
        <v>0</v>
      </c>
      <c r="U170" s="43"/>
      <c r="V170" s="525" t="e">
        <f>P170*('upper bound Kenaga'!$F$36/100)</f>
        <v>#DIV/0!</v>
      </c>
      <c r="W170" s="43"/>
      <c r="X170" s="525" t="e">
        <f>P170*('upper bound Kenaga'!$F$96/100)</f>
        <v>#DIV/0!</v>
      </c>
      <c r="Y170" s="43"/>
      <c r="Z170" s="43"/>
      <c r="AA170" s="43"/>
      <c r="AB170" s="43"/>
      <c r="AC170" s="43"/>
      <c r="AD170" s="43"/>
    </row>
    <row r="171" spans="11:30" ht="12.75">
      <c r="K171" s="43"/>
      <c r="L171" s="43"/>
      <c r="M171" s="43">
        <f t="shared" si="28"/>
        <v>150</v>
      </c>
      <c r="N171" s="43">
        <f t="shared" si="29"/>
        <v>1</v>
      </c>
      <c r="O171" s="43">
        <f t="shared" si="30"/>
        <v>0</v>
      </c>
      <c r="P171" s="113" t="e">
        <f t="shared" si="31"/>
        <v>#DIV/0!</v>
      </c>
      <c r="Q171" s="113" t="e">
        <f t="shared" si="32"/>
        <v>#DIV/0!</v>
      </c>
      <c r="R171" s="113" t="e">
        <f t="shared" si="33"/>
        <v>#DIV/0!</v>
      </c>
      <c r="S171" s="113" t="e">
        <f t="shared" si="34"/>
        <v>#DIV/0!</v>
      </c>
      <c r="T171" s="43">
        <f t="shared" si="27"/>
        <v>0</v>
      </c>
      <c r="U171" s="43"/>
      <c r="V171" s="525" t="e">
        <f>P171*('upper bound Kenaga'!$F$36/100)</f>
        <v>#DIV/0!</v>
      </c>
      <c r="W171" s="43"/>
      <c r="X171" s="525" t="e">
        <f>P171*('upper bound Kenaga'!$F$96/100)</f>
        <v>#DIV/0!</v>
      </c>
      <c r="Y171" s="43"/>
      <c r="Z171" s="43"/>
      <c r="AA171" s="43"/>
      <c r="AB171" s="43"/>
      <c r="AC171" s="43"/>
      <c r="AD171" s="43"/>
    </row>
    <row r="172" spans="11:30" ht="12.75">
      <c r="K172" s="43"/>
      <c r="L172" s="43"/>
      <c r="M172" s="43">
        <f t="shared" si="28"/>
        <v>151</v>
      </c>
      <c r="N172" s="43">
        <f t="shared" si="29"/>
        <v>1</v>
      </c>
      <c r="O172" s="43">
        <f t="shared" si="30"/>
        <v>0</v>
      </c>
      <c r="P172" s="113" t="e">
        <f t="shared" si="31"/>
        <v>#DIV/0!</v>
      </c>
      <c r="Q172" s="113" t="e">
        <f t="shared" si="32"/>
        <v>#DIV/0!</v>
      </c>
      <c r="R172" s="113" t="e">
        <f t="shared" si="33"/>
        <v>#DIV/0!</v>
      </c>
      <c r="S172" s="113" t="e">
        <f t="shared" si="34"/>
        <v>#DIV/0!</v>
      </c>
      <c r="T172" s="43">
        <f t="shared" si="27"/>
        <v>0</v>
      </c>
      <c r="U172" s="43"/>
      <c r="V172" s="525" t="e">
        <f>P172*('upper bound Kenaga'!$F$36/100)</f>
        <v>#DIV/0!</v>
      </c>
      <c r="W172" s="43"/>
      <c r="X172" s="525" t="e">
        <f>P172*('upper bound Kenaga'!$F$96/100)</f>
        <v>#DIV/0!</v>
      </c>
      <c r="Y172" s="43"/>
      <c r="Z172" s="43"/>
      <c r="AA172" s="43"/>
      <c r="AB172" s="43"/>
      <c r="AC172" s="43"/>
      <c r="AD172" s="43"/>
    </row>
    <row r="173" spans="11:30" ht="12.75">
      <c r="K173" s="43"/>
      <c r="L173" s="43"/>
      <c r="M173" s="43">
        <f t="shared" si="28"/>
        <v>152</v>
      </c>
      <c r="N173" s="43">
        <f t="shared" si="29"/>
        <v>1</v>
      </c>
      <c r="O173" s="43">
        <f t="shared" si="30"/>
        <v>0</v>
      </c>
      <c r="P173" s="113" t="e">
        <f t="shared" si="31"/>
        <v>#DIV/0!</v>
      </c>
      <c r="Q173" s="113" t="e">
        <f t="shared" si="32"/>
        <v>#DIV/0!</v>
      </c>
      <c r="R173" s="113" t="e">
        <f t="shared" si="33"/>
        <v>#DIV/0!</v>
      </c>
      <c r="S173" s="113" t="e">
        <f t="shared" si="34"/>
        <v>#DIV/0!</v>
      </c>
      <c r="T173" s="43">
        <f t="shared" si="27"/>
        <v>0</v>
      </c>
      <c r="U173" s="43"/>
      <c r="V173" s="525" t="e">
        <f>P173*('upper bound Kenaga'!$F$36/100)</f>
        <v>#DIV/0!</v>
      </c>
      <c r="W173" s="43"/>
      <c r="X173" s="525" t="e">
        <f>P173*('upper bound Kenaga'!$F$96/100)</f>
        <v>#DIV/0!</v>
      </c>
      <c r="Y173" s="43"/>
      <c r="Z173" s="43"/>
      <c r="AA173" s="43"/>
      <c r="AB173" s="43"/>
      <c r="AC173" s="43"/>
      <c r="AD173" s="43"/>
    </row>
    <row r="174" spans="11:30" ht="12.75">
      <c r="K174" s="43"/>
      <c r="L174" s="43"/>
      <c r="M174" s="43">
        <f t="shared" si="28"/>
        <v>153</v>
      </c>
      <c r="N174" s="43">
        <f t="shared" si="29"/>
        <v>1</v>
      </c>
      <c r="O174" s="43">
        <f t="shared" si="30"/>
        <v>0</v>
      </c>
      <c r="P174" s="113" t="e">
        <f t="shared" si="31"/>
        <v>#DIV/0!</v>
      </c>
      <c r="Q174" s="113" t="e">
        <f t="shared" si="32"/>
        <v>#DIV/0!</v>
      </c>
      <c r="R174" s="113" t="e">
        <f t="shared" si="33"/>
        <v>#DIV/0!</v>
      </c>
      <c r="S174" s="113" t="e">
        <f t="shared" si="34"/>
        <v>#DIV/0!</v>
      </c>
      <c r="T174" s="43">
        <f t="shared" si="27"/>
        <v>0</v>
      </c>
      <c r="U174" s="43"/>
      <c r="V174" s="525" t="e">
        <f>P174*('upper bound Kenaga'!$F$36/100)</f>
        <v>#DIV/0!</v>
      </c>
      <c r="W174" s="43"/>
      <c r="X174" s="525" t="e">
        <f>P174*('upper bound Kenaga'!$F$96/100)</f>
        <v>#DIV/0!</v>
      </c>
      <c r="Y174" s="43"/>
      <c r="Z174" s="43"/>
      <c r="AA174" s="43"/>
      <c r="AB174" s="43"/>
      <c r="AC174" s="43"/>
      <c r="AD174" s="43"/>
    </row>
    <row r="175" spans="11:30" ht="12.75">
      <c r="K175" s="43"/>
      <c r="L175" s="43"/>
      <c r="M175" s="43">
        <f t="shared" si="28"/>
        <v>154</v>
      </c>
      <c r="N175" s="43">
        <f t="shared" si="29"/>
        <v>1</v>
      </c>
      <c r="O175" s="43">
        <f t="shared" si="30"/>
        <v>0</v>
      </c>
      <c r="P175" s="113" t="e">
        <f t="shared" si="31"/>
        <v>#DIV/0!</v>
      </c>
      <c r="Q175" s="113" t="e">
        <f t="shared" si="32"/>
        <v>#DIV/0!</v>
      </c>
      <c r="R175" s="113" t="e">
        <f t="shared" si="33"/>
        <v>#DIV/0!</v>
      </c>
      <c r="S175" s="113" t="e">
        <f t="shared" si="34"/>
        <v>#DIV/0!</v>
      </c>
      <c r="T175" s="43">
        <f t="shared" si="27"/>
        <v>0</v>
      </c>
      <c r="U175" s="43"/>
      <c r="V175" s="525" t="e">
        <f>P175*('upper bound Kenaga'!$F$36/100)</f>
        <v>#DIV/0!</v>
      </c>
      <c r="W175" s="43"/>
      <c r="X175" s="525" t="e">
        <f>P175*('upper bound Kenaga'!$F$96/100)</f>
        <v>#DIV/0!</v>
      </c>
      <c r="Y175" s="43"/>
      <c r="Z175" s="43"/>
      <c r="AA175" s="43"/>
      <c r="AB175" s="43"/>
      <c r="AC175" s="43"/>
      <c r="AD175" s="43"/>
    </row>
    <row r="176" spans="11:30" ht="12.75">
      <c r="K176" s="43"/>
      <c r="L176" s="43"/>
      <c r="M176" s="43">
        <f t="shared" si="28"/>
        <v>155</v>
      </c>
      <c r="N176" s="43">
        <f t="shared" si="29"/>
        <v>1</v>
      </c>
      <c r="O176" s="43">
        <f t="shared" si="30"/>
        <v>0</v>
      </c>
      <c r="P176" s="113" t="e">
        <f t="shared" si="31"/>
        <v>#DIV/0!</v>
      </c>
      <c r="Q176" s="113" t="e">
        <f t="shared" si="32"/>
        <v>#DIV/0!</v>
      </c>
      <c r="R176" s="113" t="e">
        <f t="shared" si="33"/>
        <v>#DIV/0!</v>
      </c>
      <c r="S176" s="113" t="e">
        <f t="shared" si="34"/>
        <v>#DIV/0!</v>
      </c>
      <c r="T176" s="43">
        <f t="shared" si="27"/>
        <v>0</v>
      </c>
      <c r="U176" s="43"/>
      <c r="V176" s="525" t="e">
        <f>P176*('upper bound Kenaga'!$F$36/100)</f>
        <v>#DIV/0!</v>
      </c>
      <c r="W176" s="43"/>
      <c r="X176" s="525" t="e">
        <f>P176*('upper bound Kenaga'!$F$96/100)</f>
        <v>#DIV/0!</v>
      </c>
      <c r="Y176" s="43"/>
      <c r="Z176" s="43"/>
      <c r="AA176" s="43"/>
      <c r="AB176" s="43"/>
      <c r="AC176" s="43"/>
      <c r="AD176" s="43"/>
    </row>
    <row r="177" spans="11:30" ht="12.75">
      <c r="K177" s="43"/>
      <c r="L177" s="43"/>
      <c r="M177" s="43">
        <f t="shared" si="28"/>
        <v>156</v>
      </c>
      <c r="N177" s="43">
        <f t="shared" si="29"/>
        <v>1</v>
      </c>
      <c r="O177" s="43">
        <f t="shared" si="30"/>
        <v>0</v>
      </c>
      <c r="P177" s="113" t="e">
        <f t="shared" si="31"/>
        <v>#DIV/0!</v>
      </c>
      <c r="Q177" s="113" t="e">
        <f t="shared" si="32"/>
        <v>#DIV/0!</v>
      </c>
      <c r="R177" s="113" t="e">
        <f t="shared" si="33"/>
        <v>#DIV/0!</v>
      </c>
      <c r="S177" s="113" t="e">
        <f t="shared" si="34"/>
        <v>#DIV/0!</v>
      </c>
      <c r="T177" s="43">
        <f t="shared" si="27"/>
        <v>0</v>
      </c>
      <c r="U177" s="43"/>
      <c r="V177" s="525" t="e">
        <f>P177*('upper bound Kenaga'!$F$36/100)</f>
        <v>#DIV/0!</v>
      </c>
      <c r="W177" s="43"/>
      <c r="X177" s="525" t="e">
        <f>P177*('upper bound Kenaga'!$F$96/100)</f>
        <v>#DIV/0!</v>
      </c>
      <c r="Y177" s="43"/>
      <c r="Z177" s="43"/>
      <c r="AA177" s="43"/>
      <c r="AB177" s="43"/>
      <c r="AC177" s="43"/>
      <c r="AD177" s="43"/>
    </row>
    <row r="178" spans="11:30" ht="12.75">
      <c r="K178" s="43"/>
      <c r="L178" s="43"/>
      <c r="M178" s="43">
        <f t="shared" si="28"/>
        <v>157</v>
      </c>
      <c r="N178" s="43">
        <f t="shared" si="29"/>
        <v>1</v>
      </c>
      <c r="O178" s="43">
        <f t="shared" si="30"/>
        <v>0</v>
      </c>
      <c r="P178" s="113" t="e">
        <f t="shared" si="31"/>
        <v>#DIV/0!</v>
      </c>
      <c r="Q178" s="113" t="e">
        <f t="shared" si="32"/>
        <v>#DIV/0!</v>
      </c>
      <c r="R178" s="113" t="e">
        <f t="shared" si="33"/>
        <v>#DIV/0!</v>
      </c>
      <c r="S178" s="113" t="e">
        <f t="shared" si="34"/>
        <v>#DIV/0!</v>
      </c>
      <c r="T178" s="43">
        <f t="shared" si="27"/>
        <v>0</v>
      </c>
      <c r="U178" s="43"/>
      <c r="V178" s="525" t="e">
        <f>P178*('upper bound Kenaga'!$F$36/100)</f>
        <v>#DIV/0!</v>
      </c>
      <c r="W178" s="43"/>
      <c r="X178" s="525" t="e">
        <f>P178*('upper bound Kenaga'!$F$96/100)</f>
        <v>#DIV/0!</v>
      </c>
      <c r="Y178" s="43"/>
      <c r="Z178" s="43"/>
      <c r="AA178" s="43"/>
      <c r="AB178" s="43"/>
      <c r="AC178" s="43"/>
      <c r="AD178" s="43"/>
    </row>
    <row r="179" spans="11:30" ht="12.75">
      <c r="K179" s="43"/>
      <c r="L179" s="43"/>
      <c r="M179" s="43">
        <f t="shared" si="28"/>
        <v>158</v>
      </c>
      <c r="N179" s="43">
        <f t="shared" si="29"/>
        <v>1</v>
      </c>
      <c r="O179" s="43">
        <f t="shared" si="30"/>
        <v>0</v>
      </c>
      <c r="P179" s="113" t="e">
        <f t="shared" si="31"/>
        <v>#DIV/0!</v>
      </c>
      <c r="Q179" s="113" t="e">
        <f t="shared" si="32"/>
        <v>#DIV/0!</v>
      </c>
      <c r="R179" s="113" t="e">
        <f t="shared" si="33"/>
        <v>#DIV/0!</v>
      </c>
      <c r="S179" s="113" t="e">
        <f t="shared" si="34"/>
        <v>#DIV/0!</v>
      </c>
      <c r="T179" s="43">
        <f t="shared" si="27"/>
        <v>0</v>
      </c>
      <c r="U179" s="43"/>
      <c r="V179" s="525" t="e">
        <f>P179*('upper bound Kenaga'!$F$36/100)</f>
        <v>#DIV/0!</v>
      </c>
      <c r="W179" s="43"/>
      <c r="X179" s="525" t="e">
        <f>P179*('upper bound Kenaga'!$F$96/100)</f>
        <v>#DIV/0!</v>
      </c>
      <c r="Y179" s="43"/>
      <c r="Z179" s="43"/>
      <c r="AA179" s="43"/>
      <c r="AB179" s="43"/>
      <c r="AC179" s="43"/>
      <c r="AD179" s="43"/>
    </row>
    <row r="180" spans="11:30" ht="12.75">
      <c r="K180" s="43"/>
      <c r="L180" s="43"/>
      <c r="M180" s="43">
        <f t="shared" si="28"/>
        <v>159</v>
      </c>
      <c r="N180" s="43">
        <f t="shared" si="29"/>
        <v>1</v>
      </c>
      <c r="O180" s="43">
        <f t="shared" si="30"/>
        <v>0</v>
      </c>
      <c r="P180" s="113" t="e">
        <f t="shared" si="31"/>
        <v>#DIV/0!</v>
      </c>
      <c r="Q180" s="113" t="e">
        <f t="shared" si="32"/>
        <v>#DIV/0!</v>
      </c>
      <c r="R180" s="113" t="e">
        <f t="shared" si="33"/>
        <v>#DIV/0!</v>
      </c>
      <c r="S180" s="113" t="e">
        <f t="shared" si="34"/>
        <v>#DIV/0!</v>
      </c>
      <c r="T180" s="43">
        <f t="shared" si="27"/>
        <v>0</v>
      </c>
      <c r="U180" s="43"/>
      <c r="V180" s="525" t="e">
        <f>P180*('upper bound Kenaga'!$F$36/100)</f>
        <v>#DIV/0!</v>
      </c>
      <c r="W180" s="43"/>
      <c r="X180" s="525" t="e">
        <f>P180*('upper bound Kenaga'!$F$96/100)</f>
        <v>#DIV/0!</v>
      </c>
      <c r="Y180" s="43"/>
      <c r="Z180" s="43"/>
      <c r="AA180" s="43"/>
      <c r="AB180" s="43"/>
      <c r="AC180" s="43"/>
      <c r="AD180" s="43"/>
    </row>
    <row r="181" spans="11:30" ht="12.75">
      <c r="K181" s="43"/>
      <c r="L181" s="43"/>
      <c r="M181" s="43">
        <f t="shared" si="28"/>
        <v>160</v>
      </c>
      <c r="N181" s="43">
        <f t="shared" si="29"/>
        <v>1</v>
      </c>
      <c r="O181" s="43">
        <f t="shared" si="30"/>
        <v>0</v>
      </c>
      <c r="P181" s="113" t="e">
        <f t="shared" si="31"/>
        <v>#DIV/0!</v>
      </c>
      <c r="Q181" s="113" t="e">
        <f t="shared" si="32"/>
        <v>#DIV/0!</v>
      </c>
      <c r="R181" s="113" t="e">
        <f t="shared" si="33"/>
        <v>#DIV/0!</v>
      </c>
      <c r="S181" s="113" t="e">
        <f t="shared" si="34"/>
        <v>#DIV/0!</v>
      </c>
      <c r="T181" s="43">
        <f t="shared" si="27"/>
        <v>0</v>
      </c>
      <c r="U181" s="43"/>
      <c r="V181" s="525" t="e">
        <f>P181*('upper bound Kenaga'!$F$36/100)</f>
        <v>#DIV/0!</v>
      </c>
      <c r="W181" s="43"/>
      <c r="X181" s="525" t="e">
        <f>P181*('upper bound Kenaga'!$F$96/100)</f>
        <v>#DIV/0!</v>
      </c>
      <c r="Y181" s="43"/>
      <c r="Z181" s="43"/>
      <c r="AA181" s="43"/>
      <c r="AB181" s="43"/>
      <c r="AC181" s="43"/>
      <c r="AD181" s="43"/>
    </row>
    <row r="182" spans="1:30" ht="12.75">
      <c r="A182" s="111">
        <f>$B$3</f>
        <v>0</v>
      </c>
      <c r="B182" s="111">
        <f>$B$4</f>
        <v>0</v>
      </c>
      <c r="C182" s="33"/>
      <c r="D182" s="34"/>
      <c r="E182" s="33" t="s">
        <v>119</v>
      </c>
      <c r="K182" s="43"/>
      <c r="L182" s="43"/>
      <c r="M182" s="43">
        <f t="shared" si="28"/>
        <v>161</v>
      </c>
      <c r="N182" s="43">
        <f t="shared" si="29"/>
        <v>1</v>
      </c>
      <c r="O182" s="43">
        <f t="shared" si="30"/>
        <v>0</v>
      </c>
      <c r="P182" s="113" t="e">
        <f t="shared" si="31"/>
        <v>#DIV/0!</v>
      </c>
      <c r="Q182" s="113" t="e">
        <f t="shared" si="32"/>
        <v>#DIV/0!</v>
      </c>
      <c r="R182" s="113" t="e">
        <f t="shared" si="33"/>
        <v>#DIV/0!</v>
      </c>
      <c r="S182" s="113" t="e">
        <f t="shared" si="34"/>
        <v>#DIV/0!</v>
      </c>
      <c r="T182" s="43">
        <f t="shared" si="27"/>
        <v>0</v>
      </c>
      <c r="U182" s="43"/>
      <c r="V182" s="525" t="e">
        <f>P182*('upper bound Kenaga'!$F$36/100)</f>
        <v>#DIV/0!</v>
      </c>
      <c r="W182" s="43"/>
      <c r="X182" s="525" t="e">
        <f>P182*('upper bound Kenaga'!$F$96/100)</f>
        <v>#DIV/0!</v>
      </c>
      <c r="Y182" s="43"/>
      <c r="Z182" s="43"/>
      <c r="AA182" s="43"/>
      <c r="AB182" s="43"/>
      <c r="AC182" s="43"/>
      <c r="AD182" s="43"/>
    </row>
    <row r="183" spans="1:30" ht="21" thickBot="1">
      <c r="A183" s="18" t="s">
        <v>68</v>
      </c>
      <c r="B183" s="21"/>
      <c r="C183" s="21"/>
      <c r="D183" s="22"/>
      <c r="E183" s="21"/>
      <c r="F183" s="23"/>
      <c r="G183" s="24"/>
      <c r="H183" s="23"/>
      <c r="K183" s="43"/>
      <c r="L183" s="43"/>
      <c r="M183" s="43">
        <f t="shared" si="28"/>
        <v>162</v>
      </c>
      <c r="N183" s="43">
        <f t="shared" si="29"/>
        <v>1</v>
      </c>
      <c r="O183" s="43">
        <f t="shared" si="30"/>
        <v>0</v>
      </c>
      <c r="P183" s="113" t="e">
        <f t="shared" si="31"/>
        <v>#DIV/0!</v>
      </c>
      <c r="Q183" s="113" t="e">
        <f t="shared" si="32"/>
        <v>#DIV/0!</v>
      </c>
      <c r="R183" s="113" t="e">
        <f t="shared" si="33"/>
        <v>#DIV/0!</v>
      </c>
      <c r="S183" s="113" t="e">
        <f t="shared" si="34"/>
        <v>#DIV/0!</v>
      </c>
      <c r="T183" s="43">
        <f t="shared" si="27"/>
        <v>0</v>
      </c>
      <c r="U183" s="43"/>
      <c r="V183" s="525" t="e">
        <f>P183*('upper bound Kenaga'!$F$36/100)</f>
        <v>#DIV/0!</v>
      </c>
      <c r="W183" s="43"/>
      <c r="X183" s="525" t="e">
        <f>P183*('upper bound Kenaga'!$F$96/100)</f>
        <v>#DIV/0!</v>
      </c>
      <c r="Y183" s="43"/>
      <c r="Z183" s="43"/>
      <c r="AA183" s="43"/>
      <c r="AB183" s="43"/>
      <c r="AC183" s="43"/>
      <c r="AD183" s="43"/>
    </row>
    <row r="184" spans="11:30" ht="13.5" thickTop="1">
      <c r="K184" s="43"/>
      <c r="L184" s="43"/>
      <c r="M184" s="43">
        <f t="shared" si="28"/>
        <v>163</v>
      </c>
      <c r="N184" s="43">
        <f t="shared" si="29"/>
        <v>1</v>
      </c>
      <c r="O184" s="43">
        <f t="shared" si="30"/>
        <v>0</v>
      </c>
      <c r="P184" s="113" t="e">
        <f t="shared" si="31"/>
        <v>#DIV/0!</v>
      </c>
      <c r="Q184" s="113" t="e">
        <f t="shared" si="32"/>
        <v>#DIV/0!</v>
      </c>
      <c r="R184" s="113" t="e">
        <f t="shared" si="33"/>
        <v>#DIV/0!</v>
      </c>
      <c r="S184" s="113" t="e">
        <f t="shared" si="34"/>
        <v>#DIV/0!</v>
      </c>
      <c r="T184" s="43">
        <f t="shared" si="27"/>
        <v>0</v>
      </c>
      <c r="U184" s="43"/>
      <c r="V184" s="525" t="e">
        <f>P184*('upper bound Kenaga'!$F$36/100)</f>
        <v>#DIV/0!</v>
      </c>
      <c r="W184" s="43"/>
      <c r="X184" s="525" t="e">
        <f>P184*('upper bound Kenaga'!$F$96/100)</f>
        <v>#DIV/0!</v>
      </c>
      <c r="Y184" s="43"/>
      <c r="Z184" s="43"/>
      <c r="AA184" s="43"/>
      <c r="AB184" s="43"/>
      <c r="AC184" s="43"/>
      <c r="AD184" s="43"/>
    </row>
    <row r="185" spans="11:30" ht="12.75">
      <c r="K185" s="43"/>
      <c r="L185" s="43"/>
      <c r="M185" s="43">
        <f t="shared" si="28"/>
        <v>164</v>
      </c>
      <c r="N185" s="43">
        <f t="shared" si="29"/>
        <v>1</v>
      </c>
      <c r="O185" s="43">
        <f t="shared" si="30"/>
        <v>0</v>
      </c>
      <c r="P185" s="113" t="e">
        <f t="shared" si="31"/>
        <v>#DIV/0!</v>
      </c>
      <c r="Q185" s="113" t="e">
        <f t="shared" si="32"/>
        <v>#DIV/0!</v>
      </c>
      <c r="R185" s="113" t="e">
        <f t="shared" si="33"/>
        <v>#DIV/0!</v>
      </c>
      <c r="S185" s="113" t="e">
        <f t="shared" si="34"/>
        <v>#DIV/0!</v>
      </c>
      <c r="T185" s="43">
        <f t="shared" si="27"/>
        <v>0</v>
      </c>
      <c r="U185" s="43"/>
      <c r="V185" s="525" t="e">
        <f>P185*('upper bound Kenaga'!$F$36/100)</f>
        <v>#DIV/0!</v>
      </c>
      <c r="W185" s="43"/>
      <c r="X185" s="525" t="e">
        <f>P185*('upper bound Kenaga'!$F$96/100)</f>
        <v>#DIV/0!</v>
      </c>
      <c r="Y185" s="43"/>
      <c r="Z185" s="43"/>
      <c r="AA185" s="43"/>
      <c r="AB185" s="43"/>
      <c r="AC185" s="43"/>
      <c r="AD185" s="43"/>
    </row>
    <row r="186" spans="11:30" ht="12.75">
      <c r="K186" s="43"/>
      <c r="L186" s="43"/>
      <c r="M186" s="43">
        <f t="shared" si="28"/>
        <v>165</v>
      </c>
      <c r="N186" s="43">
        <f t="shared" si="29"/>
        <v>1</v>
      </c>
      <c r="O186" s="43">
        <f t="shared" si="30"/>
        <v>0</v>
      </c>
      <c r="P186" s="113" t="e">
        <f t="shared" si="31"/>
        <v>#DIV/0!</v>
      </c>
      <c r="Q186" s="113" t="e">
        <f t="shared" si="32"/>
        <v>#DIV/0!</v>
      </c>
      <c r="R186" s="113" t="e">
        <f t="shared" si="33"/>
        <v>#DIV/0!</v>
      </c>
      <c r="S186" s="113" t="e">
        <f t="shared" si="34"/>
        <v>#DIV/0!</v>
      </c>
      <c r="T186" s="43">
        <f t="shared" si="27"/>
        <v>0</v>
      </c>
      <c r="U186" s="43"/>
      <c r="V186" s="525" t="e">
        <f>P186*('upper bound Kenaga'!$F$36/100)</f>
        <v>#DIV/0!</v>
      </c>
      <c r="W186" s="43"/>
      <c r="X186" s="525" t="e">
        <f>P186*('upper bound Kenaga'!$F$96/100)</f>
        <v>#DIV/0!</v>
      </c>
      <c r="Y186" s="43"/>
      <c r="Z186" s="43"/>
      <c r="AA186" s="43"/>
      <c r="AB186" s="43"/>
      <c r="AC186" s="43"/>
      <c r="AD186" s="43"/>
    </row>
    <row r="187" spans="11:30" ht="12.75">
      <c r="K187" s="43"/>
      <c r="L187" s="43"/>
      <c r="M187" s="43">
        <f t="shared" si="28"/>
        <v>166</v>
      </c>
      <c r="N187" s="43">
        <f t="shared" si="29"/>
        <v>1</v>
      </c>
      <c r="O187" s="43">
        <f t="shared" si="30"/>
        <v>0</v>
      </c>
      <c r="P187" s="113" t="e">
        <f t="shared" si="31"/>
        <v>#DIV/0!</v>
      </c>
      <c r="Q187" s="113" t="e">
        <f t="shared" si="32"/>
        <v>#DIV/0!</v>
      </c>
      <c r="R187" s="113" t="e">
        <f t="shared" si="33"/>
        <v>#DIV/0!</v>
      </c>
      <c r="S187" s="113" t="e">
        <f t="shared" si="34"/>
        <v>#DIV/0!</v>
      </c>
      <c r="T187" s="43">
        <f t="shared" si="27"/>
        <v>0</v>
      </c>
      <c r="U187" s="43"/>
      <c r="V187" s="525" t="e">
        <f>P187*('upper bound Kenaga'!$F$36/100)</f>
        <v>#DIV/0!</v>
      </c>
      <c r="W187" s="43"/>
      <c r="X187" s="525" t="e">
        <f>P187*('upper bound Kenaga'!$F$96/100)</f>
        <v>#DIV/0!</v>
      </c>
      <c r="Y187" s="43"/>
      <c r="Z187" s="43"/>
      <c r="AA187" s="43"/>
      <c r="AB187" s="43"/>
      <c r="AC187" s="43"/>
      <c r="AD187" s="43"/>
    </row>
    <row r="188" spans="11:30" ht="12.75">
      <c r="K188" s="43"/>
      <c r="L188" s="43"/>
      <c r="M188" s="43">
        <f t="shared" si="28"/>
        <v>167</v>
      </c>
      <c r="N188" s="43">
        <f t="shared" si="29"/>
        <v>1</v>
      </c>
      <c r="O188" s="43">
        <f t="shared" si="30"/>
        <v>0</v>
      </c>
      <c r="P188" s="113" t="e">
        <f t="shared" si="31"/>
        <v>#DIV/0!</v>
      </c>
      <c r="Q188" s="113" t="e">
        <f t="shared" si="32"/>
        <v>#DIV/0!</v>
      </c>
      <c r="R188" s="113" t="e">
        <f t="shared" si="33"/>
        <v>#DIV/0!</v>
      </c>
      <c r="S188" s="113" t="e">
        <f t="shared" si="34"/>
        <v>#DIV/0!</v>
      </c>
      <c r="T188" s="43">
        <f t="shared" si="27"/>
        <v>0</v>
      </c>
      <c r="U188" s="43"/>
      <c r="V188" s="525" t="e">
        <f>P188*('upper bound Kenaga'!$F$36/100)</f>
        <v>#DIV/0!</v>
      </c>
      <c r="W188" s="43"/>
      <c r="X188" s="525" t="e">
        <f>P188*('upper bound Kenaga'!$F$96/100)</f>
        <v>#DIV/0!</v>
      </c>
      <c r="Y188" s="43"/>
      <c r="Z188" s="43"/>
      <c r="AA188" s="43"/>
      <c r="AB188" s="43"/>
      <c r="AC188" s="43"/>
      <c r="AD188" s="43"/>
    </row>
    <row r="189" spans="11:30" ht="12.75">
      <c r="K189" s="43"/>
      <c r="L189" s="43"/>
      <c r="M189" s="43">
        <f t="shared" si="28"/>
        <v>168</v>
      </c>
      <c r="N189" s="43">
        <f t="shared" si="29"/>
        <v>1</v>
      </c>
      <c r="O189" s="43">
        <f t="shared" si="30"/>
        <v>0</v>
      </c>
      <c r="P189" s="113" t="e">
        <f t="shared" si="31"/>
        <v>#DIV/0!</v>
      </c>
      <c r="Q189" s="113" t="e">
        <f t="shared" si="32"/>
        <v>#DIV/0!</v>
      </c>
      <c r="R189" s="113" t="e">
        <f t="shared" si="33"/>
        <v>#DIV/0!</v>
      </c>
      <c r="S189" s="113" t="e">
        <f t="shared" si="34"/>
        <v>#DIV/0!</v>
      </c>
      <c r="T189" s="43">
        <f t="shared" si="27"/>
        <v>0</v>
      </c>
      <c r="U189" s="43"/>
      <c r="V189" s="525" t="e">
        <f>P189*('upper bound Kenaga'!$F$36/100)</f>
        <v>#DIV/0!</v>
      </c>
      <c r="W189" s="43"/>
      <c r="X189" s="525" t="e">
        <f>P189*('upper bound Kenaga'!$F$96/100)</f>
        <v>#DIV/0!</v>
      </c>
      <c r="Y189" s="43"/>
      <c r="Z189" s="43"/>
      <c r="AA189" s="43"/>
      <c r="AB189" s="43"/>
      <c r="AC189" s="43"/>
      <c r="AD189" s="43"/>
    </row>
    <row r="190" spans="11:30" ht="12.75">
      <c r="K190" s="43"/>
      <c r="L190" s="43"/>
      <c r="M190" s="43">
        <f t="shared" si="28"/>
        <v>169</v>
      </c>
      <c r="N190" s="43">
        <f t="shared" si="29"/>
        <v>1</v>
      </c>
      <c r="O190" s="43">
        <f t="shared" si="30"/>
        <v>0</v>
      </c>
      <c r="P190" s="113" t="e">
        <f t="shared" si="31"/>
        <v>#DIV/0!</v>
      </c>
      <c r="Q190" s="113" t="e">
        <f t="shared" si="32"/>
        <v>#DIV/0!</v>
      </c>
      <c r="R190" s="113" t="e">
        <f t="shared" si="33"/>
        <v>#DIV/0!</v>
      </c>
      <c r="S190" s="113" t="e">
        <f t="shared" si="34"/>
        <v>#DIV/0!</v>
      </c>
      <c r="T190" s="43">
        <f t="shared" si="27"/>
        <v>0</v>
      </c>
      <c r="U190" s="43"/>
      <c r="V190" s="525" t="e">
        <f>P190*('upper bound Kenaga'!$F$36/100)</f>
        <v>#DIV/0!</v>
      </c>
      <c r="W190" s="43"/>
      <c r="X190" s="525" t="e">
        <f>P190*('upper bound Kenaga'!$F$96/100)</f>
        <v>#DIV/0!</v>
      </c>
      <c r="Y190" s="43"/>
      <c r="Z190" s="43"/>
      <c r="AA190" s="43"/>
      <c r="AB190" s="43"/>
      <c r="AC190" s="43"/>
      <c r="AD190" s="43"/>
    </row>
    <row r="191" spans="11:30" ht="12.75">
      <c r="K191" s="43"/>
      <c r="L191" s="43"/>
      <c r="M191" s="43">
        <f t="shared" si="28"/>
        <v>170</v>
      </c>
      <c r="N191" s="43">
        <f t="shared" si="29"/>
        <v>1</v>
      </c>
      <c r="O191" s="43">
        <f t="shared" si="30"/>
        <v>0</v>
      </c>
      <c r="P191" s="113" t="e">
        <f t="shared" si="31"/>
        <v>#DIV/0!</v>
      </c>
      <c r="Q191" s="113" t="e">
        <f t="shared" si="32"/>
        <v>#DIV/0!</v>
      </c>
      <c r="R191" s="113" t="e">
        <f t="shared" si="33"/>
        <v>#DIV/0!</v>
      </c>
      <c r="S191" s="113" t="e">
        <f t="shared" si="34"/>
        <v>#DIV/0!</v>
      </c>
      <c r="T191" s="43">
        <f t="shared" si="27"/>
        <v>0</v>
      </c>
      <c r="U191" s="43"/>
      <c r="V191" s="525" t="e">
        <f>P191*('upper bound Kenaga'!$F$36/100)</f>
        <v>#DIV/0!</v>
      </c>
      <c r="W191" s="43"/>
      <c r="X191" s="525" t="e">
        <f>P191*('upper bound Kenaga'!$F$96/100)</f>
        <v>#DIV/0!</v>
      </c>
      <c r="Y191" s="43"/>
      <c r="Z191" s="43"/>
      <c r="AA191" s="43"/>
      <c r="AB191" s="43"/>
      <c r="AC191" s="43"/>
      <c r="AD191" s="43"/>
    </row>
    <row r="192" spans="11:30" ht="12.75">
      <c r="K192" s="43"/>
      <c r="L192" s="43"/>
      <c r="M192" s="43">
        <f t="shared" si="28"/>
        <v>171</v>
      </c>
      <c r="N192" s="43">
        <f t="shared" si="29"/>
        <v>1</v>
      </c>
      <c r="O192" s="43">
        <f t="shared" si="30"/>
        <v>0</v>
      </c>
      <c r="P192" s="113" t="e">
        <f t="shared" si="31"/>
        <v>#DIV/0!</v>
      </c>
      <c r="Q192" s="113" t="e">
        <f t="shared" si="32"/>
        <v>#DIV/0!</v>
      </c>
      <c r="R192" s="113" t="e">
        <f t="shared" si="33"/>
        <v>#DIV/0!</v>
      </c>
      <c r="S192" s="113" t="e">
        <f t="shared" si="34"/>
        <v>#DIV/0!</v>
      </c>
      <c r="T192" s="43">
        <f t="shared" si="27"/>
        <v>0</v>
      </c>
      <c r="U192" s="43"/>
      <c r="V192" s="525" t="e">
        <f>P192*('upper bound Kenaga'!$F$36/100)</f>
        <v>#DIV/0!</v>
      </c>
      <c r="W192" s="43"/>
      <c r="X192" s="525" t="e">
        <f>P192*('upper bound Kenaga'!$F$96/100)</f>
        <v>#DIV/0!</v>
      </c>
      <c r="Y192" s="43"/>
      <c r="Z192" s="43"/>
      <c r="AA192" s="43"/>
      <c r="AB192" s="43"/>
      <c r="AC192" s="43"/>
      <c r="AD192" s="43"/>
    </row>
    <row r="193" spans="11:30" ht="12.75">
      <c r="K193" s="43"/>
      <c r="L193" s="43"/>
      <c r="M193" s="43">
        <f t="shared" si="28"/>
        <v>172</v>
      </c>
      <c r="N193" s="43">
        <f t="shared" si="29"/>
        <v>1</v>
      </c>
      <c r="O193" s="43">
        <f t="shared" si="30"/>
        <v>0</v>
      </c>
      <c r="P193" s="113" t="e">
        <f t="shared" si="31"/>
        <v>#DIV/0!</v>
      </c>
      <c r="Q193" s="113" t="e">
        <f t="shared" si="32"/>
        <v>#DIV/0!</v>
      </c>
      <c r="R193" s="113" t="e">
        <f t="shared" si="33"/>
        <v>#DIV/0!</v>
      </c>
      <c r="S193" s="113" t="e">
        <f t="shared" si="34"/>
        <v>#DIV/0!</v>
      </c>
      <c r="T193" s="43">
        <f t="shared" si="27"/>
        <v>0</v>
      </c>
      <c r="U193" s="43"/>
      <c r="V193" s="525" t="e">
        <f>P193*('upper bound Kenaga'!$F$36/100)</f>
        <v>#DIV/0!</v>
      </c>
      <c r="W193" s="43"/>
      <c r="X193" s="525" t="e">
        <f>P193*('upper bound Kenaga'!$F$96/100)</f>
        <v>#DIV/0!</v>
      </c>
      <c r="Y193" s="43"/>
      <c r="Z193" s="43"/>
      <c r="AA193" s="43"/>
      <c r="AB193" s="43"/>
      <c r="AC193" s="43"/>
      <c r="AD193" s="43"/>
    </row>
    <row r="194" spans="11:30" ht="12.75">
      <c r="K194" s="43"/>
      <c r="L194" s="43"/>
      <c r="M194" s="43">
        <f t="shared" si="28"/>
        <v>173</v>
      </c>
      <c r="N194" s="43">
        <f t="shared" si="29"/>
        <v>1</v>
      </c>
      <c r="O194" s="43">
        <f t="shared" si="30"/>
        <v>0</v>
      </c>
      <c r="P194" s="113" t="e">
        <f t="shared" si="31"/>
        <v>#DIV/0!</v>
      </c>
      <c r="Q194" s="113" t="e">
        <f t="shared" si="32"/>
        <v>#DIV/0!</v>
      </c>
      <c r="R194" s="113" t="e">
        <f t="shared" si="33"/>
        <v>#DIV/0!</v>
      </c>
      <c r="S194" s="113" t="e">
        <f t="shared" si="34"/>
        <v>#DIV/0!</v>
      </c>
      <c r="T194" s="43">
        <f t="shared" si="27"/>
        <v>0</v>
      </c>
      <c r="U194" s="43"/>
      <c r="V194" s="525" t="e">
        <f>P194*('upper bound Kenaga'!$F$36/100)</f>
        <v>#DIV/0!</v>
      </c>
      <c r="W194" s="43"/>
      <c r="X194" s="525" t="e">
        <f>P194*('upper bound Kenaga'!$F$96/100)</f>
        <v>#DIV/0!</v>
      </c>
      <c r="Y194" s="43"/>
      <c r="Z194" s="43"/>
      <c r="AA194" s="43"/>
      <c r="AB194" s="43"/>
      <c r="AC194" s="43"/>
      <c r="AD194" s="43"/>
    </row>
    <row r="195" spans="11:30" ht="12.75">
      <c r="K195" s="43"/>
      <c r="L195" s="43"/>
      <c r="M195" s="43">
        <f t="shared" si="28"/>
        <v>174</v>
      </c>
      <c r="N195" s="43">
        <f t="shared" si="29"/>
        <v>1</v>
      </c>
      <c r="O195" s="43">
        <f t="shared" si="30"/>
        <v>0</v>
      </c>
      <c r="P195" s="113" t="e">
        <f t="shared" si="31"/>
        <v>#DIV/0!</v>
      </c>
      <c r="Q195" s="113" t="e">
        <f t="shared" si="32"/>
        <v>#DIV/0!</v>
      </c>
      <c r="R195" s="113" t="e">
        <f t="shared" si="33"/>
        <v>#DIV/0!</v>
      </c>
      <c r="S195" s="113" t="e">
        <f t="shared" si="34"/>
        <v>#DIV/0!</v>
      </c>
      <c r="T195" s="43">
        <f t="shared" si="27"/>
        <v>0</v>
      </c>
      <c r="U195" s="43"/>
      <c r="V195" s="525" t="e">
        <f>P195*('upper bound Kenaga'!$F$36/100)</f>
        <v>#DIV/0!</v>
      </c>
      <c r="W195" s="43"/>
      <c r="X195" s="525" t="e">
        <f>P195*('upper bound Kenaga'!$F$96/100)</f>
        <v>#DIV/0!</v>
      </c>
      <c r="Y195" s="43"/>
      <c r="Z195" s="43"/>
      <c r="AA195" s="43"/>
      <c r="AB195" s="43"/>
      <c r="AC195" s="43"/>
      <c r="AD195" s="43"/>
    </row>
    <row r="196" spans="11:30" ht="12.75">
      <c r="K196" s="43"/>
      <c r="L196" s="43"/>
      <c r="M196" s="43">
        <f t="shared" si="28"/>
        <v>175</v>
      </c>
      <c r="N196" s="43">
        <f t="shared" si="29"/>
        <v>1</v>
      </c>
      <c r="O196" s="43">
        <f t="shared" si="30"/>
        <v>0</v>
      </c>
      <c r="P196" s="113" t="e">
        <f t="shared" si="31"/>
        <v>#DIV/0!</v>
      </c>
      <c r="Q196" s="113" t="e">
        <f t="shared" si="32"/>
        <v>#DIV/0!</v>
      </c>
      <c r="R196" s="113" t="e">
        <f t="shared" si="33"/>
        <v>#DIV/0!</v>
      </c>
      <c r="S196" s="113" t="e">
        <f t="shared" si="34"/>
        <v>#DIV/0!</v>
      </c>
      <c r="T196" s="43">
        <f t="shared" si="27"/>
        <v>0</v>
      </c>
      <c r="U196" s="43"/>
      <c r="V196" s="525" t="e">
        <f>P196*('upper bound Kenaga'!$F$36/100)</f>
        <v>#DIV/0!</v>
      </c>
      <c r="W196" s="43"/>
      <c r="X196" s="525" t="e">
        <f>P196*('upper bound Kenaga'!$F$96/100)</f>
        <v>#DIV/0!</v>
      </c>
      <c r="Y196" s="43"/>
      <c r="Z196" s="43"/>
      <c r="AA196" s="43"/>
      <c r="AB196" s="43"/>
      <c r="AC196" s="43"/>
      <c r="AD196" s="43"/>
    </row>
    <row r="197" spans="11:30" ht="12.75">
      <c r="K197" s="43"/>
      <c r="L197" s="43"/>
      <c r="M197" s="43">
        <f t="shared" si="28"/>
        <v>176</v>
      </c>
      <c r="N197" s="43">
        <f t="shared" si="29"/>
        <v>1</v>
      </c>
      <c r="O197" s="43">
        <f t="shared" si="30"/>
        <v>0</v>
      </c>
      <c r="P197" s="113" t="e">
        <f t="shared" si="31"/>
        <v>#DIV/0!</v>
      </c>
      <c r="Q197" s="113" t="e">
        <f t="shared" si="32"/>
        <v>#DIV/0!</v>
      </c>
      <c r="R197" s="113" t="e">
        <f t="shared" si="33"/>
        <v>#DIV/0!</v>
      </c>
      <c r="S197" s="113" t="e">
        <f t="shared" si="34"/>
        <v>#DIV/0!</v>
      </c>
      <c r="T197" s="43">
        <f t="shared" si="27"/>
        <v>0</v>
      </c>
      <c r="U197" s="43"/>
      <c r="V197" s="525" t="e">
        <f>P197*('upper bound Kenaga'!$F$36/100)</f>
        <v>#DIV/0!</v>
      </c>
      <c r="W197" s="43"/>
      <c r="X197" s="525" t="e">
        <f>P197*('upper bound Kenaga'!$F$96/100)</f>
        <v>#DIV/0!</v>
      </c>
      <c r="Y197" s="43"/>
      <c r="Z197" s="43"/>
      <c r="AA197" s="43"/>
      <c r="AB197" s="43"/>
      <c r="AC197" s="43"/>
      <c r="AD197" s="43"/>
    </row>
    <row r="198" spans="11:30" ht="12.75">
      <c r="K198" s="43"/>
      <c r="L198" s="43"/>
      <c r="M198" s="43">
        <f t="shared" si="28"/>
        <v>177</v>
      </c>
      <c r="N198" s="43">
        <f t="shared" si="29"/>
        <v>1</v>
      </c>
      <c r="O198" s="43">
        <f t="shared" si="30"/>
        <v>0</v>
      </c>
      <c r="P198" s="113" t="e">
        <f t="shared" si="31"/>
        <v>#DIV/0!</v>
      </c>
      <c r="Q198" s="113" t="e">
        <f t="shared" si="32"/>
        <v>#DIV/0!</v>
      </c>
      <c r="R198" s="113" t="e">
        <f t="shared" si="33"/>
        <v>#DIV/0!</v>
      </c>
      <c r="S198" s="113" t="e">
        <f t="shared" si="34"/>
        <v>#DIV/0!</v>
      </c>
      <c r="T198" s="43">
        <f t="shared" si="27"/>
        <v>0</v>
      </c>
      <c r="U198" s="43"/>
      <c r="V198" s="525" t="e">
        <f>P198*('upper bound Kenaga'!$F$36/100)</f>
        <v>#DIV/0!</v>
      </c>
      <c r="W198" s="43"/>
      <c r="X198" s="525" t="e">
        <f>P198*('upper bound Kenaga'!$F$96/100)</f>
        <v>#DIV/0!</v>
      </c>
      <c r="Y198" s="43"/>
      <c r="Z198" s="43"/>
      <c r="AA198" s="43"/>
      <c r="AB198" s="43"/>
      <c r="AC198" s="43"/>
      <c r="AD198" s="43"/>
    </row>
    <row r="199" spans="11:30" ht="12.75">
      <c r="K199" s="43"/>
      <c r="L199" s="43"/>
      <c r="M199" s="43">
        <f t="shared" si="28"/>
        <v>178</v>
      </c>
      <c r="N199" s="43">
        <f t="shared" si="29"/>
        <v>1</v>
      </c>
      <c r="O199" s="43">
        <f t="shared" si="30"/>
        <v>0</v>
      </c>
      <c r="P199" s="113" t="e">
        <f t="shared" si="31"/>
        <v>#DIV/0!</v>
      </c>
      <c r="Q199" s="113" t="e">
        <f t="shared" si="32"/>
        <v>#DIV/0!</v>
      </c>
      <c r="R199" s="113" t="e">
        <f t="shared" si="33"/>
        <v>#DIV/0!</v>
      </c>
      <c r="S199" s="113" t="e">
        <f t="shared" si="34"/>
        <v>#DIV/0!</v>
      </c>
      <c r="T199" s="43">
        <f t="shared" si="27"/>
        <v>0</v>
      </c>
      <c r="U199" s="43"/>
      <c r="V199" s="525" t="e">
        <f>P199*('upper bound Kenaga'!$F$36/100)</f>
        <v>#DIV/0!</v>
      </c>
      <c r="W199" s="43"/>
      <c r="X199" s="525" t="e">
        <f>P199*('upper bound Kenaga'!$F$96/100)</f>
        <v>#DIV/0!</v>
      </c>
      <c r="Y199" s="43"/>
      <c r="Z199" s="43"/>
      <c r="AA199" s="43"/>
      <c r="AB199" s="43"/>
      <c r="AC199" s="43"/>
      <c r="AD199" s="43"/>
    </row>
    <row r="200" spans="11:30" ht="12.75">
      <c r="K200" s="43"/>
      <c r="L200" s="43"/>
      <c r="M200" s="43">
        <f t="shared" si="28"/>
        <v>179</v>
      </c>
      <c r="N200" s="43">
        <f t="shared" si="29"/>
        <v>1</v>
      </c>
      <c r="O200" s="43">
        <f t="shared" si="30"/>
        <v>0</v>
      </c>
      <c r="P200" s="113" t="e">
        <f t="shared" si="31"/>
        <v>#DIV/0!</v>
      </c>
      <c r="Q200" s="113" t="e">
        <f t="shared" si="32"/>
        <v>#DIV/0!</v>
      </c>
      <c r="R200" s="113" t="e">
        <f t="shared" si="33"/>
        <v>#DIV/0!</v>
      </c>
      <c r="S200" s="113" t="e">
        <f t="shared" si="34"/>
        <v>#DIV/0!</v>
      </c>
      <c r="T200" s="43">
        <f t="shared" si="27"/>
        <v>0</v>
      </c>
      <c r="U200" s="43"/>
      <c r="V200" s="525" t="e">
        <f>P200*('upper bound Kenaga'!$F$36/100)</f>
        <v>#DIV/0!</v>
      </c>
      <c r="W200" s="43"/>
      <c r="X200" s="525" t="e">
        <f>P200*('upper bound Kenaga'!$F$96/100)</f>
        <v>#DIV/0!</v>
      </c>
      <c r="Y200" s="43"/>
      <c r="Z200" s="43"/>
      <c r="AA200" s="43"/>
      <c r="AB200" s="43"/>
      <c r="AC200" s="43"/>
      <c r="AD200" s="43"/>
    </row>
    <row r="201" spans="11:30" ht="12.75">
      <c r="K201" s="43"/>
      <c r="L201" s="43"/>
      <c r="M201" s="43">
        <f t="shared" si="28"/>
        <v>180</v>
      </c>
      <c r="N201" s="43">
        <f t="shared" si="29"/>
        <v>1</v>
      </c>
      <c r="O201" s="43">
        <f t="shared" si="30"/>
        <v>0</v>
      </c>
      <c r="P201" s="113" t="e">
        <f t="shared" si="31"/>
        <v>#DIV/0!</v>
      </c>
      <c r="Q201" s="113" t="e">
        <f t="shared" si="32"/>
        <v>#DIV/0!</v>
      </c>
      <c r="R201" s="113" t="e">
        <f t="shared" si="33"/>
        <v>#DIV/0!</v>
      </c>
      <c r="S201" s="113" t="e">
        <f t="shared" si="34"/>
        <v>#DIV/0!</v>
      </c>
      <c r="T201" s="43">
        <f t="shared" si="27"/>
        <v>0</v>
      </c>
      <c r="U201" s="43"/>
      <c r="V201" s="525" t="e">
        <f>P201*('upper bound Kenaga'!$F$36/100)</f>
        <v>#DIV/0!</v>
      </c>
      <c r="W201" s="43"/>
      <c r="X201" s="525" t="e">
        <f>P201*('upper bound Kenaga'!$F$96/100)</f>
        <v>#DIV/0!</v>
      </c>
      <c r="Y201" s="43"/>
      <c r="Z201" s="43"/>
      <c r="AA201" s="43"/>
      <c r="AB201" s="43"/>
      <c r="AC201" s="43"/>
      <c r="AD201" s="43"/>
    </row>
    <row r="202" spans="11:30" ht="12.75">
      <c r="K202" s="43"/>
      <c r="L202" s="43"/>
      <c r="M202" s="43">
        <f t="shared" si="28"/>
        <v>181</v>
      </c>
      <c r="N202" s="43">
        <f t="shared" si="29"/>
        <v>1</v>
      </c>
      <c r="O202" s="43">
        <f t="shared" si="30"/>
        <v>0</v>
      </c>
      <c r="P202" s="113" t="e">
        <f t="shared" si="31"/>
        <v>#DIV/0!</v>
      </c>
      <c r="Q202" s="113" t="e">
        <f t="shared" si="32"/>
        <v>#DIV/0!</v>
      </c>
      <c r="R202" s="113" t="e">
        <f t="shared" si="33"/>
        <v>#DIV/0!</v>
      </c>
      <c r="S202" s="113" t="e">
        <f t="shared" si="34"/>
        <v>#DIV/0!</v>
      </c>
      <c r="T202" s="43">
        <f t="shared" si="27"/>
        <v>0</v>
      </c>
      <c r="U202" s="43"/>
      <c r="V202" s="525" t="e">
        <f>P202*('upper bound Kenaga'!$F$36/100)</f>
        <v>#DIV/0!</v>
      </c>
      <c r="W202" s="43"/>
      <c r="X202" s="525" t="e">
        <f>P202*('upper bound Kenaga'!$F$96/100)</f>
        <v>#DIV/0!</v>
      </c>
      <c r="Y202" s="43"/>
      <c r="Z202" s="43"/>
      <c r="AA202" s="43"/>
      <c r="AB202" s="43"/>
      <c r="AC202" s="43"/>
      <c r="AD202" s="43"/>
    </row>
    <row r="203" spans="11:30" ht="12.75">
      <c r="K203" s="43"/>
      <c r="L203" s="43"/>
      <c r="M203" s="43">
        <f t="shared" si="28"/>
        <v>182</v>
      </c>
      <c r="N203" s="43">
        <f t="shared" si="29"/>
        <v>1</v>
      </c>
      <c r="O203" s="43">
        <f t="shared" si="30"/>
        <v>0</v>
      </c>
      <c r="P203" s="113" t="e">
        <f t="shared" si="31"/>
        <v>#DIV/0!</v>
      </c>
      <c r="Q203" s="113" t="e">
        <f t="shared" si="32"/>
        <v>#DIV/0!</v>
      </c>
      <c r="R203" s="113" t="e">
        <f t="shared" si="33"/>
        <v>#DIV/0!</v>
      </c>
      <c r="S203" s="113" t="e">
        <f t="shared" si="34"/>
        <v>#DIV/0!</v>
      </c>
      <c r="T203" s="43">
        <f t="shared" si="27"/>
        <v>0</v>
      </c>
      <c r="U203" s="43"/>
      <c r="V203" s="525" t="e">
        <f>P203*('upper bound Kenaga'!$F$36/100)</f>
        <v>#DIV/0!</v>
      </c>
      <c r="W203" s="43"/>
      <c r="X203" s="525" t="e">
        <f>P203*('upper bound Kenaga'!$F$96/100)</f>
        <v>#DIV/0!</v>
      </c>
      <c r="Y203" s="43"/>
      <c r="Z203" s="43"/>
      <c r="AA203" s="43"/>
      <c r="AB203" s="43"/>
      <c r="AC203" s="43"/>
      <c r="AD203" s="43"/>
    </row>
    <row r="204" spans="11:30" ht="12.75">
      <c r="K204" s="43"/>
      <c r="L204" s="43"/>
      <c r="M204" s="43">
        <f t="shared" si="28"/>
        <v>183</v>
      </c>
      <c r="N204" s="43">
        <f t="shared" si="29"/>
        <v>1</v>
      </c>
      <c r="O204" s="43">
        <f t="shared" si="30"/>
        <v>0</v>
      </c>
      <c r="P204" s="113" t="e">
        <f t="shared" si="31"/>
        <v>#DIV/0!</v>
      </c>
      <c r="Q204" s="113" t="e">
        <f t="shared" si="32"/>
        <v>#DIV/0!</v>
      </c>
      <c r="R204" s="113" t="e">
        <f t="shared" si="33"/>
        <v>#DIV/0!</v>
      </c>
      <c r="S204" s="113" t="e">
        <f t="shared" si="34"/>
        <v>#DIV/0!</v>
      </c>
      <c r="T204" s="43">
        <f t="shared" si="27"/>
        <v>0</v>
      </c>
      <c r="U204" s="43"/>
      <c r="V204" s="525" t="e">
        <f>P204*('upper bound Kenaga'!$F$36/100)</f>
        <v>#DIV/0!</v>
      </c>
      <c r="W204" s="43"/>
      <c r="X204" s="525" t="e">
        <f>P204*('upper bound Kenaga'!$F$96/100)</f>
        <v>#DIV/0!</v>
      </c>
      <c r="Y204" s="43"/>
      <c r="Z204" s="43"/>
      <c r="AA204" s="43"/>
      <c r="AB204" s="43"/>
      <c r="AC204" s="43"/>
      <c r="AD204" s="43"/>
    </row>
    <row r="205" spans="11:30" ht="12.75">
      <c r="K205" s="43"/>
      <c r="L205" s="43"/>
      <c r="M205" s="43">
        <f t="shared" si="28"/>
        <v>184</v>
      </c>
      <c r="N205" s="43">
        <f t="shared" si="29"/>
        <v>1</v>
      </c>
      <c r="O205" s="43">
        <f t="shared" si="30"/>
        <v>0</v>
      </c>
      <c r="P205" s="113" t="e">
        <f t="shared" si="31"/>
        <v>#DIV/0!</v>
      </c>
      <c r="Q205" s="113" t="e">
        <f t="shared" si="32"/>
        <v>#DIV/0!</v>
      </c>
      <c r="R205" s="113" t="e">
        <f t="shared" si="33"/>
        <v>#DIV/0!</v>
      </c>
      <c r="S205" s="113" t="e">
        <f t="shared" si="34"/>
        <v>#DIV/0!</v>
      </c>
      <c r="T205" s="43">
        <f t="shared" si="27"/>
        <v>0</v>
      </c>
      <c r="U205" s="43"/>
      <c r="V205" s="525" t="e">
        <f>P205*('upper bound Kenaga'!$F$36/100)</f>
        <v>#DIV/0!</v>
      </c>
      <c r="W205" s="43"/>
      <c r="X205" s="525" t="e">
        <f>P205*('upper bound Kenaga'!$F$96/100)</f>
        <v>#DIV/0!</v>
      </c>
      <c r="Y205" s="43"/>
      <c r="Z205" s="43"/>
      <c r="AA205" s="43"/>
      <c r="AB205" s="43"/>
      <c r="AC205" s="43"/>
      <c r="AD205" s="43"/>
    </row>
    <row r="206" spans="11:30" ht="12.75">
      <c r="K206" s="43"/>
      <c r="L206" s="43"/>
      <c r="M206" s="43">
        <f t="shared" si="28"/>
        <v>185</v>
      </c>
      <c r="N206" s="43">
        <f t="shared" si="29"/>
        <v>1</v>
      </c>
      <c r="O206" s="43">
        <f t="shared" si="30"/>
        <v>0</v>
      </c>
      <c r="P206" s="113" t="e">
        <f t="shared" si="31"/>
        <v>#DIV/0!</v>
      </c>
      <c r="Q206" s="113" t="e">
        <f t="shared" si="32"/>
        <v>#DIV/0!</v>
      </c>
      <c r="R206" s="113" t="e">
        <f t="shared" si="33"/>
        <v>#DIV/0!</v>
      </c>
      <c r="S206" s="113" t="e">
        <f t="shared" si="34"/>
        <v>#DIV/0!</v>
      </c>
      <c r="T206" s="43">
        <f t="shared" si="27"/>
        <v>0</v>
      </c>
      <c r="U206" s="43"/>
      <c r="V206" s="525" t="e">
        <f>P206*('upper bound Kenaga'!$F$36/100)</f>
        <v>#DIV/0!</v>
      </c>
      <c r="W206" s="43"/>
      <c r="X206" s="525" t="e">
        <f>P206*('upper bound Kenaga'!$F$96/100)</f>
        <v>#DIV/0!</v>
      </c>
      <c r="Y206" s="43"/>
      <c r="Z206" s="43"/>
      <c r="AA206" s="43"/>
      <c r="AB206" s="43"/>
      <c r="AC206" s="43"/>
      <c r="AD206" s="43"/>
    </row>
    <row r="207" spans="11:30" ht="12.75">
      <c r="K207" s="43"/>
      <c r="L207" s="43"/>
      <c r="M207" s="43">
        <f t="shared" si="28"/>
        <v>186</v>
      </c>
      <c r="N207" s="43">
        <f t="shared" si="29"/>
        <v>1</v>
      </c>
      <c r="O207" s="43">
        <f t="shared" si="30"/>
        <v>0</v>
      </c>
      <c r="P207" s="113" t="e">
        <f t="shared" si="31"/>
        <v>#DIV/0!</v>
      </c>
      <c r="Q207" s="113" t="e">
        <f t="shared" si="32"/>
        <v>#DIV/0!</v>
      </c>
      <c r="R207" s="113" t="e">
        <f t="shared" si="33"/>
        <v>#DIV/0!</v>
      </c>
      <c r="S207" s="113" t="e">
        <f t="shared" si="34"/>
        <v>#DIV/0!</v>
      </c>
      <c r="T207" s="43">
        <f t="shared" si="27"/>
        <v>0</v>
      </c>
      <c r="U207" s="43"/>
      <c r="V207" s="525" t="e">
        <f>P207*('upper bound Kenaga'!$F$36/100)</f>
        <v>#DIV/0!</v>
      </c>
      <c r="W207" s="43"/>
      <c r="X207" s="525" t="e">
        <f>P207*('upper bound Kenaga'!$F$96/100)</f>
        <v>#DIV/0!</v>
      </c>
      <c r="Y207" s="43"/>
      <c r="Z207" s="43"/>
      <c r="AA207" s="43"/>
      <c r="AB207" s="43"/>
      <c r="AC207" s="43"/>
      <c r="AD207" s="43"/>
    </row>
    <row r="208" spans="11:30" ht="12.75">
      <c r="K208" s="43"/>
      <c r="L208" s="43"/>
      <c r="M208" s="43">
        <f t="shared" si="28"/>
        <v>187</v>
      </c>
      <c r="N208" s="43">
        <f t="shared" si="29"/>
        <v>1</v>
      </c>
      <c r="O208" s="43">
        <f t="shared" si="30"/>
        <v>0</v>
      </c>
      <c r="P208" s="113" t="e">
        <f t="shared" si="31"/>
        <v>#DIV/0!</v>
      </c>
      <c r="Q208" s="113" t="e">
        <f t="shared" si="32"/>
        <v>#DIV/0!</v>
      </c>
      <c r="R208" s="113" t="e">
        <f t="shared" si="33"/>
        <v>#DIV/0!</v>
      </c>
      <c r="S208" s="113" t="e">
        <f t="shared" si="34"/>
        <v>#DIV/0!</v>
      </c>
      <c r="T208" s="43">
        <f t="shared" si="27"/>
        <v>0</v>
      </c>
      <c r="U208" s="43"/>
      <c r="V208" s="525" t="e">
        <f>P208*('upper bound Kenaga'!$F$36/100)</f>
        <v>#DIV/0!</v>
      </c>
      <c r="W208" s="43"/>
      <c r="X208" s="525" t="e">
        <f>P208*('upper bound Kenaga'!$F$96/100)</f>
        <v>#DIV/0!</v>
      </c>
      <c r="Y208" s="43"/>
      <c r="Z208" s="43"/>
      <c r="AA208" s="43"/>
      <c r="AB208" s="43"/>
      <c r="AC208" s="43"/>
      <c r="AD208" s="43"/>
    </row>
    <row r="209" spans="11:30" ht="12.75">
      <c r="K209" s="43"/>
      <c r="L209" s="43"/>
      <c r="M209" s="43">
        <f t="shared" si="28"/>
        <v>188</v>
      </c>
      <c r="N209" s="43">
        <f t="shared" si="29"/>
        <v>1</v>
      </c>
      <c r="O209" s="43">
        <f t="shared" si="30"/>
        <v>0</v>
      </c>
      <c r="P209" s="113" t="e">
        <f t="shared" si="31"/>
        <v>#DIV/0!</v>
      </c>
      <c r="Q209" s="113" t="e">
        <f t="shared" si="32"/>
        <v>#DIV/0!</v>
      </c>
      <c r="R209" s="113" t="e">
        <f t="shared" si="33"/>
        <v>#DIV/0!</v>
      </c>
      <c r="S209" s="113" t="e">
        <f t="shared" si="34"/>
        <v>#DIV/0!</v>
      </c>
      <c r="T209" s="43">
        <f t="shared" si="27"/>
        <v>0</v>
      </c>
      <c r="U209" s="43"/>
      <c r="V209" s="525" t="e">
        <f>P209*('upper bound Kenaga'!$F$36/100)</f>
        <v>#DIV/0!</v>
      </c>
      <c r="W209" s="43"/>
      <c r="X209" s="525" t="e">
        <f>P209*('upper bound Kenaga'!$F$96/100)</f>
        <v>#DIV/0!</v>
      </c>
      <c r="Y209" s="43"/>
      <c r="Z209" s="43"/>
      <c r="AA209" s="43"/>
      <c r="AB209" s="43"/>
      <c r="AC209" s="43"/>
      <c r="AD209" s="43"/>
    </row>
    <row r="210" spans="11:30" ht="12.75">
      <c r="K210" s="43"/>
      <c r="L210" s="43"/>
      <c r="M210" s="43">
        <f t="shared" si="28"/>
        <v>189</v>
      </c>
      <c r="N210" s="43">
        <f t="shared" si="29"/>
        <v>1</v>
      </c>
      <c r="O210" s="43">
        <f t="shared" si="30"/>
        <v>0</v>
      </c>
      <c r="P210" s="113" t="e">
        <f t="shared" si="31"/>
        <v>#DIV/0!</v>
      </c>
      <c r="Q210" s="113" t="e">
        <f t="shared" si="32"/>
        <v>#DIV/0!</v>
      </c>
      <c r="R210" s="113" t="e">
        <f t="shared" si="33"/>
        <v>#DIV/0!</v>
      </c>
      <c r="S210" s="113" t="e">
        <f t="shared" si="34"/>
        <v>#DIV/0!</v>
      </c>
      <c r="T210" s="43">
        <f t="shared" si="27"/>
        <v>0</v>
      </c>
      <c r="U210" s="43"/>
      <c r="V210" s="525" t="e">
        <f>P210*('upper bound Kenaga'!$F$36/100)</f>
        <v>#DIV/0!</v>
      </c>
      <c r="W210" s="43"/>
      <c r="X210" s="525" t="e">
        <f>P210*('upper bound Kenaga'!$F$96/100)</f>
        <v>#DIV/0!</v>
      </c>
      <c r="Y210" s="43"/>
      <c r="Z210" s="43"/>
      <c r="AA210" s="43"/>
      <c r="AB210" s="43"/>
      <c r="AC210" s="43"/>
      <c r="AD210" s="43"/>
    </row>
    <row r="211" spans="11:30" ht="12.75">
      <c r="K211" s="43"/>
      <c r="L211" s="43"/>
      <c r="M211" s="43">
        <f t="shared" si="28"/>
        <v>190</v>
      </c>
      <c r="N211" s="43">
        <f t="shared" si="29"/>
        <v>1</v>
      </c>
      <c r="O211" s="43">
        <f t="shared" si="30"/>
        <v>0</v>
      </c>
      <c r="P211" s="113" t="e">
        <f t="shared" si="31"/>
        <v>#DIV/0!</v>
      </c>
      <c r="Q211" s="113" t="e">
        <f t="shared" si="32"/>
        <v>#DIV/0!</v>
      </c>
      <c r="R211" s="113" t="e">
        <f t="shared" si="33"/>
        <v>#DIV/0!</v>
      </c>
      <c r="S211" s="113" t="e">
        <f t="shared" si="34"/>
        <v>#DIV/0!</v>
      </c>
      <c r="T211" s="43">
        <f t="shared" si="27"/>
        <v>0</v>
      </c>
      <c r="U211" s="43"/>
      <c r="V211" s="525" t="e">
        <f>P211*('upper bound Kenaga'!$F$36/100)</f>
        <v>#DIV/0!</v>
      </c>
      <c r="W211" s="43"/>
      <c r="X211" s="525" t="e">
        <f>P211*('upper bound Kenaga'!$F$96/100)</f>
        <v>#DIV/0!</v>
      </c>
      <c r="Y211" s="43"/>
      <c r="Z211" s="43"/>
      <c r="AA211" s="43"/>
      <c r="AB211" s="43"/>
      <c r="AC211" s="43"/>
      <c r="AD211" s="43"/>
    </row>
    <row r="212" spans="11:30" ht="12.75">
      <c r="K212" s="43"/>
      <c r="L212" s="43"/>
      <c r="M212" s="43">
        <f t="shared" si="28"/>
        <v>191</v>
      </c>
      <c r="N212" s="43">
        <f t="shared" si="29"/>
        <v>1</v>
      </c>
      <c r="O212" s="43">
        <f t="shared" si="30"/>
        <v>0</v>
      </c>
      <c r="P212" s="113" t="e">
        <f t="shared" si="31"/>
        <v>#DIV/0!</v>
      </c>
      <c r="Q212" s="113" t="e">
        <f t="shared" si="32"/>
        <v>#DIV/0!</v>
      </c>
      <c r="R212" s="113" t="e">
        <f t="shared" si="33"/>
        <v>#DIV/0!</v>
      </c>
      <c r="S212" s="113" t="e">
        <f t="shared" si="34"/>
        <v>#DIV/0!</v>
      </c>
      <c r="T212" s="43">
        <f t="shared" si="27"/>
        <v>0</v>
      </c>
      <c r="U212" s="43"/>
      <c r="V212" s="525" t="e">
        <f>P212*('upper bound Kenaga'!$F$36/100)</f>
        <v>#DIV/0!</v>
      </c>
      <c r="W212" s="43"/>
      <c r="X212" s="525" t="e">
        <f>P212*('upper bound Kenaga'!$F$96/100)</f>
        <v>#DIV/0!</v>
      </c>
      <c r="Y212" s="43"/>
      <c r="Z212" s="43"/>
      <c r="AA212" s="43"/>
      <c r="AB212" s="43"/>
      <c r="AC212" s="43"/>
      <c r="AD212" s="43"/>
    </row>
    <row r="213" spans="11:30" ht="12.75">
      <c r="K213" s="43"/>
      <c r="L213" s="43"/>
      <c r="M213" s="43">
        <f t="shared" si="28"/>
        <v>192</v>
      </c>
      <c r="N213" s="43">
        <f t="shared" si="29"/>
        <v>1</v>
      </c>
      <c r="O213" s="43">
        <f t="shared" si="30"/>
        <v>0</v>
      </c>
      <c r="P213" s="113" t="e">
        <f t="shared" si="31"/>
        <v>#DIV/0!</v>
      </c>
      <c r="Q213" s="113" t="e">
        <f t="shared" si="32"/>
        <v>#DIV/0!</v>
      </c>
      <c r="R213" s="113" t="e">
        <f t="shared" si="33"/>
        <v>#DIV/0!</v>
      </c>
      <c r="S213" s="113" t="e">
        <f t="shared" si="34"/>
        <v>#DIV/0!</v>
      </c>
      <c r="T213" s="43">
        <f t="shared" si="27"/>
        <v>0</v>
      </c>
      <c r="U213" s="43"/>
      <c r="V213" s="525" t="e">
        <f>P213*('upper bound Kenaga'!$F$36/100)</f>
        <v>#DIV/0!</v>
      </c>
      <c r="W213" s="43"/>
      <c r="X213" s="525" t="e">
        <f>P213*('upper bound Kenaga'!$F$96/100)</f>
        <v>#DIV/0!</v>
      </c>
      <c r="Y213" s="43"/>
      <c r="Z213" s="43"/>
      <c r="AA213" s="43"/>
      <c r="AB213" s="43"/>
      <c r="AC213" s="43"/>
      <c r="AD213" s="43"/>
    </row>
    <row r="214" spans="11:30" ht="12.75">
      <c r="K214" s="43"/>
      <c r="L214" s="43"/>
      <c r="M214" s="43">
        <f t="shared" si="28"/>
        <v>193</v>
      </c>
      <c r="N214" s="43">
        <f t="shared" si="29"/>
        <v>1</v>
      </c>
      <c r="O214" s="43">
        <f t="shared" si="30"/>
        <v>0</v>
      </c>
      <c r="P214" s="113" t="e">
        <f t="shared" si="31"/>
        <v>#DIV/0!</v>
      </c>
      <c r="Q214" s="113" t="e">
        <f t="shared" si="32"/>
        <v>#DIV/0!</v>
      </c>
      <c r="R214" s="113" t="e">
        <f t="shared" si="33"/>
        <v>#DIV/0!</v>
      </c>
      <c r="S214" s="113" t="e">
        <f t="shared" si="34"/>
        <v>#DIV/0!</v>
      </c>
      <c r="T214" s="43">
        <f t="shared" si="27"/>
        <v>0</v>
      </c>
      <c r="U214" s="43"/>
      <c r="V214" s="525" t="e">
        <f>P214*('upper bound Kenaga'!$F$36/100)</f>
        <v>#DIV/0!</v>
      </c>
      <c r="W214" s="43"/>
      <c r="X214" s="525" t="e">
        <f>P214*('upper bound Kenaga'!$F$96/100)</f>
        <v>#DIV/0!</v>
      </c>
      <c r="Y214" s="43"/>
      <c r="Z214" s="43"/>
      <c r="AA214" s="43"/>
      <c r="AB214" s="43"/>
      <c r="AC214" s="43"/>
      <c r="AD214" s="43"/>
    </row>
    <row r="215" spans="11:30" ht="12.75">
      <c r="K215" s="43"/>
      <c r="L215" s="43"/>
      <c r="M215" s="43">
        <f t="shared" si="28"/>
        <v>194</v>
      </c>
      <c r="N215" s="43">
        <f t="shared" si="29"/>
        <v>1</v>
      </c>
      <c r="O215" s="43">
        <f t="shared" si="30"/>
        <v>0</v>
      </c>
      <c r="P215" s="113" t="e">
        <f t="shared" si="31"/>
        <v>#DIV/0!</v>
      </c>
      <c r="Q215" s="113" t="e">
        <f t="shared" si="32"/>
        <v>#DIV/0!</v>
      </c>
      <c r="R215" s="113" t="e">
        <f t="shared" si="33"/>
        <v>#DIV/0!</v>
      </c>
      <c r="S215" s="113" t="e">
        <f t="shared" si="34"/>
        <v>#DIV/0!</v>
      </c>
      <c r="T215" s="43">
        <f t="shared" si="27"/>
        <v>0</v>
      </c>
      <c r="U215" s="43"/>
      <c r="V215" s="525" t="e">
        <f>P215*('upper bound Kenaga'!$F$36/100)</f>
        <v>#DIV/0!</v>
      </c>
      <c r="W215" s="43"/>
      <c r="X215" s="525" t="e">
        <f>P215*('upper bound Kenaga'!$F$96/100)</f>
        <v>#DIV/0!</v>
      </c>
      <c r="Y215" s="43"/>
      <c r="Z215" s="43"/>
      <c r="AA215" s="43"/>
      <c r="AB215" s="43"/>
      <c r="AC215" s="43"/>
      <c r="AD215" s="43"/>
    </row>
    <row r="216" spans="11:30" ht="12.75">
      <c r="K216" s="43"/>
      <c r="L216" s="43"/>
      <c r="M216" s="43">
        <f t="shared" si="28"/>
        <v>195</v>
      </c>
      <c r="N216" s="43">
        <f t="shared" si="29"/>
        <v>1</v>
      </c>
      <c r="O216" s="43">
        <f t="shared" si="30"/>
        <v>0</v>
      </c>
      <c r="P216" s="113" t="e">
        <f t="shared" si="31"/>
        <v>#DIV/0!</v>
      </c>
      <c r="Q216" s="113" t="e">
        <f t="shared" si="32"/>
        <v>#DIV/0!</v>
      </c>
      <c r="R216" s="113" t="e">
        <f t="shared" si="33"/>
        <v>#DIV/0!</v>
      </c>
      <c r="S216" s="113" t="e">
        <f t="shared" si="34"/>
        <v>#DIV/0!</v>
      </c>
      <c r="T216" s="43">
        <f t="shared" si="27"/>
        <v>0</v>
      </c>
      <c r="U216" s="43"/>
      <c r="V216" s="525" t="e">
        <f>P216*('upper bound Kenaga'!$F$36/100)</f>
        <v>#DIV/0!</v>
      </c>
      <c r="W216" s="43"/>
      <c r="X216" s="525" t="e">
        <f>P216*('upper bound Kenaga'!$F$96/100)</f>
        <v>#DIV/0!</v>
      </c>
      <c r="Y216" s="43"/>
      <c r="Z216" s="43"/>
      <c r="AA216" s="43"/>
      <c r="AB216" s="43"/>
      <c r="AC216" s="43"/>
      <c r="AD216" s="43"/>
    </row>
    <row r="217" spans="11:30" ht="12.75">
      <c r="K217" s="43"/>
      <c r="L217" s="43"/>
      <c r="M217" s="43">
        <f t="shared" si="28"/>
        <v>196</v>
      </c>
      <c r="N217" s="43">
        <f t="shared" si="29"/>
        <v>1</v>
      </c>
      <c r="O217" s="43">
        <f t="shared" si="30"/>
        <v>0</v>
      </c>
      <c r="P217" s="113" t="e">
        <f t="shared" si="31"/>
        <v>#DIV/0!</v>
      </c>
      <c r="Q217" s="113" t="e">
        <f t="shared" si="32"/>
        <v>#DIV/0!</v>
      </c>
      <c r="R217" s="113" t="e">
        <f t="shared" si="33"/>
        <v>#DIV/0!</v>
      </c>
      <c r="S217" s="113" t="e">
        <f t="shared" si="34"/>
        <v>#DIV/0!</v>
      </c>
      <c r="T217" s="43">
        <f t="shared" si="27"/>
        <v>0</v>
      </c>
      <c r="U217" s="43"/>
      <c r="V217" s="525" t="e">
        <f>P217*('upper bound Kenaga'!$F$36/100)</f>
        <v>#DIV/0!</v>
      </c>
      <c r="W217" s="43"/>
      <c r="X217" s="525" t="e">
        <f>P217*('upper bound Kenaga'!$F$96/100)</f>
        <v>#DIV/0!</v>
      </c>
      <c r="Y217" s="43"/>
      <c r="Z217" s="43"/>
      <c r="AA217" s="43"/>
      <c r="AB217" s="43"/>
      <c r="AC217" s="43"/>
      <c r="AD217" s="43"/>
    </row>
    <row r="218" spans="11:30" ht="12.75">
      <c r="K218" s="43"/>
      <c r="L218" s="43"/>
      <c r="M218" s="43">
        <f t="shared" si="28"/>
        <v>197</v>
      </c>
      <c r="N218" s="43">
        <f t="shared" si="29"/>
        <v>1</v>
      </c>
      <c r="O218" s="43">
        <f t="shared" si="30"/>
        <v>0</v>
      </c>
      <c r="P218" s="113" t="e">
        <f t="shared" si="31"/>
        <v>#DIV/0!</v>
      </c>
      <c r="Q218" s="113" t="e">
        <f t="shared" si="32"/>
        <v>#DIV/0!</v>
      </c>
      <c r="R218" s="113" t="e">
        <f t="shared" si="33"/>
        <v>#DIV/0!</v>
      </c>
      <c r="S218" s="113" t="e">
        <f t="shared" si="34"/>
        <v>#DIV/0!</v>
      </c>
      <c r="T218" s="43">
        <f aca="true" t="shared" si="35" ref="T218:T281">$B$11</f>
        <v>0</v>
      </c>
      <c r="U218" s="43"/>
      <c r="V218" s="525" t="e">
        <f>P218*('upper bound Kenaga'!$F$36/100)</f>
        <v>#DIV/0!</v>
      </c>
      <c r="W218" s="43"/>
      <c r="X218" s="525" t="e">
        <f>P218*('upper bound Kenaga'!$F$96/100)</f>
        <v>#DIV/0!</v>
      </c>
      <c r="Y218" s="43"/>
      <c r="Z218" s="43"/>
      <c r="AA218" s="43"/>
      <c r="AB218" s="43"/>
      <c r="AC218" s="43"/>
      <c r="AD218" s="43"/>
    </row>
    <row r="219" spans="11:30" ht="12.75">
      <c r="K219" s="43"/>
      <c r="L219" s="43"/>
      <c r="M219" s="43">
        <f aca="true" t="shared" si="36" ref="M219:M282">(M218+1)</f>
        <v>198</v>
      </c>
      <c r="N219" s="43">
        <f aca="true" t="shared" si="37" ref="N219:N282">IF($B$9&gt;N218,IF(O218=($B$8-1),(N218+1),(N218)),(N218))</f>
        <v>1</v>
      </c>
      <c r="O219" s="43">
        <f aca="true" t="shared" si="38" ref="O219:O282">IF(O218&lt;($B$8-1),(1+O218),0)</f>
        <v>0</v>
      </c>
      <c r="P219" s="113" t="e">
        <f t="shared" si="31"/>
        <v>#DIV/0!</v>
      </c>
      <c r="Q219" s="113" t="e">
        <f t="shared" si="32"/>
        <v>#DIV/0!</v>
      </c>
      <c r="R219" s="113" t="e">
        <f t="shared" si="33"/>
        <v>#DIV/0!</v>
      </c>
      <c r="S219" s="113" t="e">
        <f t="shared" si="34"/>
        <v>#DIV/0!</v>
      </c>
      <c r="T219" s="43">
        <f t="shared" si="35"/>
        <v>0</v>
      </c>
      <c r="U219" s="43"/>
      <c r="V219" s="525" t="e">
        <f>P219*('upper bound Kenaga'!$F$36/100)</f>
        <v>#DIV/0!</v>
      </c>
      <c r="W219" s="43"/>
      <c r="X219" s="525" t="e">
        <f>P219*('upper bound Kenaga'!$F$96/100)</f>
        <v>#DIV/0!</v>
      </c>
      <c r="Y219" s="43"/>
      <c r="Z219" s="43"/>
      <c r="AA219" s="43"/>
      <c r="AB219" s="43"/>
      <c r="AC219" s="43"/>
      <c r="AD219" s="43"/>
    </row>
    <row r="220" spans="11:30" ht="12.75">
      <c r="K220" s="43"/>
      <c r="L220" s="43"/>
      <c r="M220" s="43">
        <f t="shared" si="36"/>
        <v>199</v>
      </c>
      <c r="N220" s="43">
        <f t="shared" si="37"/>
        <v>1</v>
      </c>
      <c r="O220" s="43">
        <f t="shared" si="38"/>
        <v>0</v>
      </c>
      <c r="P220" s="113" t="e">
        <f t="shared" si="31"/>
        <v>#DIV/0!</v>
      </c>
      <c r="Q220" s="113" t="e">
        <f t="shared" si="32"/>
        <v>#DIV/0!</v>
      </c>
      <c r="R220" s="113" t="e">
        <f t="shared" si="33"/>
        <v>#DIV/0!</v>
      </c>
      <c r="S220" s="113" t="e">
        <f t="shared" si="34"/>
        <v>#DIV/0!</v>
      </c>
      <c r="T220" s="43">
        <f t="shared" si="35"/>
        <v>0</v>
      </c>
      <c r="U220" s="43"/>
      <c r="V220" s="525" t="e">
        <f>P220*('upper bound Kenaga'!$F$36/100)</f>
        <v>#DIV/0!</v>
      </c>
      <c r="W220" s="43"/>
      <c r="X220" s="525" t="e">
        <f>P220*('upper bound Kenaga'!$F$96/100)</f>
        <v>#DIV/0!</v>
      </c>
      <c r="Y220" s="43"/>
      <c r="Z220" s="43"/>
      <c r="AA220" s="43"/>
      <c r="AB220" s="43"/>
      <c r="AC220" s="43"/>
      <c r="AD220" s="43"/>
    </row>
    <row r="221" spans="11:30" ht="12.75">
      <c r="K221" s="43"/>
      <c r="L221" s="43"/>
      <c r="M221" s="43">
        <f t="shared" si="36"/>
        <v>200</v>
      </c>
      <c r="N221" s="43">
        <f t="shared" si="37"/>
        <v>1</v>
      </c>
      <c r="O221" s="43">
        <f t="shared" si="38"/>
        <v>0</v>
      </c>
      <c r="P221" s="113" t="e">
        <f t="shared" si="31"/>
        <v>#DIV/0!</v>
      </c>
      <c r="Q221" s="113" t="e">
        <f t="shared" si="32"/>
        <v>#DIV/0!</v>
      </c>
      <c r="R221" s="113" t="e">
        <f t="shared" si="33"/>
        <v>#DIV/0!</v>
      </c>
      <c r="S221" s="113" t="e">
        <f t="shared" si="34"/>
        <v>#DIV/0!</v>
      </c>
      <c r="T221" s="43">
        <f t="shared" si="35"/>
        <v>0</v>
      </c>
      <c r="U221" s="43"/>
      <c r="V221" s="525" t="e">
        <f>P221*('upper bound Kenaga'!$F$36/100)</f>
        <v>#DIV/0!</v>
      </c>
      <c r="W221" s="43"/>
      <c r="X221" s="525" t="e">
        <f>P221*('upper bound Kenaga'!$F$96/100)</f>
        <v>#DIV/0!</v>
      </c>
      <c r="Y221" s="43"/>
      <c r="Z221" s="43"/>
      <c r="AA221" s="43"/>
      <c r="AB221" s="43"/>
      <c r="AC221" s="43"/>
      <c r="AD221" s="43"/>
    </row>
    <row r="222" spans="11:30" ht="12.75">
      <c r="K222" s="43"/>
      <c r="L222" s="43"/>
      <c r="M222" s="43">
        <f t="shared" si="36"/>
        <v>201</v>
      </c>
      <c r="N222" s="43">
        <f t="shared" si="37"/>
        <v>1</v>
      </c>
      <c r="O222" s="43">
        <f t="shared" si="38"/>
        <v>0</v>
      </c>
      <c r="P222" s="113" t="e">
        <f t="shared" si="31"/>
        <v>#DIV/0!</v>
      </c>
      <c r="Q222" s="113" t="e">
        <f t="shared" si="32"/>
        <v>#DIV/0!</v>
      </c>
      <c r="R222" s="113" t="e">
        <f t="shared" si="33"/>
        <v>#DIV/0!</v>
      </c>
      <c r="S222" s="113" t="e">
        <f t="shared" si="34"/>
        <v>#DIV/0!</v>
      </c>
      <c r="T222" s="43">
        <f t="shared" si="35"/>
        <v>0</v>
      </c>
      <c r="U222" s="43"/>
      <c r="V222" s="525" t="e">
        <f>P222*('upper bound Kenaga'!$F$36/100)</f>
        <v>#DIV/0!</v>
      </c>
      <c r="W222" s="43"/>
      <c r="X222" s="525" t="e">
        <f>P222*('upper bound Kenaga'!$F$96/100)</f>
        <v>#DIV/0!</v>
      </c>
      <c r="Y222" s="43"/>
      <c r="Z222" s="43"/>
      <c r="AA222" s="43"/>
      <c r="AB222" s="43"/>
      <c r="AC222" s="43"/>
      <c r="AD222" s="43"/>
    </row>
    <row r="223" spans="11:30" ht="12.75">
      <c r="K223" s="43"/>
      <c r="L223" s="43"/>
      <c r="M223" s="43">
        <f t="shared" si="36"/>
        <v>202</v>
      </c>
      <c r="N223" s="43">
        <f t="shared" si="37"/>
        <v>1</v>
      </c>
      <c r="O223" s="43">
        <f t="shared" si="38"/>
        <v>0</v>
      </c>
      <c r="P223" s="113" t="e">
        <f t="shared" si="31"/>
        <v>#DIV/0!</v>
      </c>
      <c r="Q223" s="113" t="e">
        <f t="shared" si="32"/>
        <v>#DIV/0!</v>
      </c>
      <c r="R223" s="113" t="e">
        <f t="shared" si="33"/>
        <v>#DIV/0!</v>
      </c>
      <c r="S223" s="113" t="e">
        <f t="shared" si="34"/>
        <v>#DIV/0!</v>
      </c>
      <c r="T223" s="43">
        <f t="shared" si="35"/>
        <v>0</v>
      </c>
      <c r="U223" s="43"/>
      <c r="V223" s="525" t="e">
        <f>P223*('upper bound Kenaga'!$F$36/100)</f>
        <v>#DIV/0!</v>
      </c>
      <c r="W223" s="43"/>
      <c r="X223" s="525" t="e">
        <f>P223*('upper bound Kenaga'!$F$96/100)</f>
        <v>#DIV/0!</v>
      </c>
      <c r="Y223" s="43"/>
      <c r="Z223" s="43"/>
      <c r="AA223" s="43"/>
      <c r="AB223" s="43"/>
      <c r="AC223" s="43"/>
      <c r="AD223" s="43"/>
    </row>
    <row r="224" spans="11:30" ht="12.75">
      <c r="K224" s="43"/>
      <c r="L224" s="43"/>
      <c r="M224" s="43">
        <f t="shared" si="36"/>
        <v>203</v>
      </c>
      <c r="N224" s="43">
        <f t="shared" si="37"/>
        <v>1</v>
      </c>
      <c r="O224" s="43">
        <f t="shared" si="38"/>
        <v>0</v>
      </c>
      <c r="P224" s="113" t="e">
        <f t="shared" si="31"/>
        <v>#DIV/0!</v>
      </c>
      <c r="Q224" s="113" t="e">
        <f t="shared" si="32"/>
        <v>#DIV/0!</v>
      </c>
      <c r="R224" s="113" t="e">
        <f t="shared" si="33"/>
        <v>#DIV/0!</v>
      </c>
      <c r="S224" s="113" t="e">
        <f t="shared" si="34"/>
        <v>#DIV/0!</v>
      </c>
      <c r="T224" s="43">
        <f t="shared" si="35"/>
        <v>0</v>
      </c>
      <c r="U224" s="43"/>
      <c r="V224" s="525" t="e">
        <f>P224*('upper bound Kenaga'!$F$36/100)</f>
        <v>#DIV/0!</v>
      </c>
      <c r="W224" s="43"/>
      <c r="X224" s="525" t="e">
        <f>P224*('upper bound Kenaga'!$F$96/100)</f>
        <v>#DIV/0!</v>
      </c>
      <c r="Y224" s="43"/>
      <c r="Z224" s="43"/>
      <c r="AA224" s="43"/>
      <c r="AB224" s="43"/>
      <c r="AC224" s="43"/>
      <c r="AD224" s="43"/>
    </row>
    <row r="225" spans="11:30" ht="12.75">
      <c r="K225" s="43"/>
      <c r="L225" s="43"/>
      <c r="M225" s="43">
        <f t="shared" si="36"/>
        <v>204</v>
      </c>
      <c r="N225" s="43">
        <f t="shared" si="37"/>
        <v>1</v>
      </c>
      <c r="O225" s="43">
        <f t="shared" si="38"/>
        <v>0</v>
      </c>
      <c r="P225" s="113" t="e">
        <f t="shared" si="31"/>
        <v>#DIV/0!</v>
      </c>
      <c r="Q225" s="113" t="e">
        <f t="shared" si="32"/>
        <v>#DIV/0!</v>
      </c>
      <c r="R225" s="113" t="e">
        <f t="shared" si="33"/>
        <v>#DIV/0!</v>
      </c>
      <c r="S225" s="113" t="e">
        <f t="shared" si="34"/>
        <v>#DIV/0!</v>
      </c>
      <c r="T225" s="43">
        <f t="shared" si="35"/>
        <v>0</v>
      </c>
      <c r="U225" s="43"/>
      <c r="V225" s="525" t="e">
        <f>P225*('upper bound Kenaga'!$F$36/100)</f>
        <v>#DIV/0!</v>
      </c>
      <c r="W225" s="43"/>
      <c r="X225" s="525" t="e">
        <f>P225*('upper bound Kenaga'!$F$96/100)</f>
        <v>#DIV/0!</v>
      </c>
      <c r="Y225" s="43"/>
      <c r="Z225" s="43"/>
      <c r="AA225" s="43"/>
      <c r="AB225" s="43"/>
      <c r="AC225" s="43"/>
      <c r="AD225" s="43"/>
    </row>
    <row r="226" spans="11:30" ht="12.75">
      <c r="K226" s="43"/>
      <c r="L226" s="43"/>
      <c r="M226" s="43">
        <f t="shared" si="36"/>
        <v>205</v>
      </c>
      <c r="N226" s="43">
        <f t="shared" si="37"/>
        <v>1</v>
      </c>
      <c r="O226" s="43">
        <f t="shared" si="38"/>
        <v>0</v>
      </c>
      <c r="P226" s="113" t="e">
        <f t="shared" si="31"/>
        <v>#DIV/0!</v>
      </c>
      <c r="Q226" s="113" t="e">
        <f t="shared" si="32"/>
        <v>#DIV/0!</v>
      </c>
      <c r="R226" s="113" t="e">
        <f t="shared" si="33"/>
        <v>#DIV/0!</v>
      </c>
      <c r="S226" s="113" t="e">
        <f t="shared" si="34"/>
        <v>#DIV/0!</v>
      </c>
      <c r="T226" s="43">
        <f t="shared" si="35"/>
        <v>0</v>
      </c>
      <c r="U226" s="43"/>
      <c r="V226" s="525" t="e">
        <f>P226*('upper bound Kenaga'!$F$36/100)</f>
        <v>#DIV/0!</v>
      </c>
      <c r="W226" s="43"/>
      <c r="X226" s="525" t="e">
        <f>P226*('upper bound Kenaga'!$F$96/100)</f>
        <v>#DIV/0!</v>
      </c>
      <c r="Y226" s="43"/>
      <c r="Z226" s="43"/>
      <c r="AA226" s="43"/>
      <c r="AB226" s="43"/>
      <c r="AC226" s="43"/>
      <c r="AD226" s="43"/>
    </row>
    <row r="227" spans="11:30" ht="12.75">
      <c r="K227" s="43"/>
      <c r="L227" s="43"/>
      <c r="M227" s="43">
        <f t="shared" si="36"/>
        <v>206</v>
      </c>
      <c r="N227" s="43">
        <f t="shared" si="37"/>
        <v>1</v>
      </c>
      <c r="O227" s="43">
        <f t="shared" si="38"/>
        <v>0</v>
      </c>
      <c r="P227" s="113" t="e">
        <f t="shared" si="31"/>
        <v>#DIV/0!</v>
      </c>
      <c r="Q227" s="113" t="e">
        <f t="shared" si="32"/>
        <v>#DIV/0!</v>
      </c>
      <c r="R227" s="113" t="e">
        <f t="shared" si="33"/>
        <v>#DIV/0!</v>
      </c>
      <c r="S227" s="113" t="e">
        <f t="shared" si="34"/>
        <v>#DIV/0!</v>
      </c>
      <c r="T227" s="43">
        <f t="shared" si="35"/>
        <v>0</v>
      </c>
      <c r="U227" s="43"/>
      <c r="V227" s="525" t="e">
        <f>P227*('upper bound Kenaga'!$F$36/100)</f>
        <v>#DIV/0!</v>
      </c>
      <c r="W227" s="43"/>
      <c r="X227" s="525" t="e">
        <f>P227*('upper bound Kenaga'!$F$96/100)</f>
        <v>#DIV/0!</v>
      </c>
      <c r="Y227" s="43"/>
      <c r="Z227" s="43"/>
      <c r="AA227" s="43"/>
      <c r="AB227" s="43"/>
      <c r="AC227" s="43"/>
      <c r="AD227" s="43"/>
    </row>
    <row r="228" spans="11:30" ht="12.75">
      <c r="K228" s="43"/>
      <c r="L228" s="43"/>
      <c r="M228" s="43">
        <f t="shared" si="36"/>
        <v>207</v>
      </c>
      <c r="N228" s="43">
        <f t="shared" si="37"/>
        <v>1</v>
      </c>
      <c r="O228" s="43">
        <f t="shared" si="38"/>
        <v>0</v>
      </c>
      <c r="P228" s="113" t="e">
        <f t="shared" si="31"/>
        <v>#DIV/0!</v>
      </c>
      <c r="Q228" s="113" t="e">
        <f t="shared" si="32"/>
        <v>#DIV/0!</v>
      </c>
      <c r="R228" s="113" t="e">
        <f t="shared" si="33"/>
        <v>#DIV/0!</v>
      </c>
      <c r="S228" s="113" t="e">
        <f t="shared" si="34"/>
        <v>#DIV/0!</v>
      </c>
      <c r="T228" s="43">
        <f t="shared" si="35"/>
        <v>0</v>
      </c>
      <c r="U228" s="43"/>
      <c r="V228" s="525" t="e">
        <f>P228*('upper bound Kenaga'!$F$36/100)</f>
        <v>#DIV/0!</v>
      </c>
      <c r="W228" s="43"/>
      <c r="X228" s="525" t="e">
        <f>P228*('upper bound Kenaga'!$F$96/100)</f>
        <v>#DIV/0!</v>
      </c>
      <c r="Y228" s="43"/>
      <c r="Z228" s="43"/>
      <c r="AA228" s="43"/>
      <c r="AB228" s="43"/>
      <c r="AC228" s="43"/>
      <c r="AD228" s="43"/>
    </row>
    <row r="229" spans="11:30" ht="12.75">
      <c r="K229" s="43"/>
      <c r="L229" s="43"/>
      <c r="M229" s="43">
        <f t="shared" si="36"/>
        <v>208</v>
      </c>
      <c r="N229" s="43">
        <f t="shared" si="37"/>
        <v>1</v>
      </c>
      <c r="O229" s="43">
        <f t="shared" si="38"/>
        <v>0</v>
      </c>
      <c r="P229" s="113" t="e">
        <f t="shared" si="31"/>
        <v>#DIV/0!</v>
      </c>
      <c r="Q229" s="113" t="e">
        <f t="shared" si="32"/>
        <v>#DIV/0!</v>
      </c>
      <c r="R229" s="113" t="e">
        <f t="shared" si="33"/>
        <v>#DIV/0!</v>
      </c>
      <c r="S229" s="113" t="e">
        <f t="shared" si="34"/>
        <v>#DIV/0!</v>
      </c>
      <c r="T229" s="43">
        <f t="shared" si="35"/>
        <v>0</v>
      </c>
      <c r="U229" s="43"/>
      <c r="V229" s="525" t="e">
        <f>P229*('upper bound Kenaga'!$F$36/100)</f>
        <v>#DIV/0!</v>
      </c>
      <c r="W229" s="43"/>
      <c r="X229" s="525" t="e">
        <f>P229*('upper bound Kenaga'!$F$96/100)</f>
        <v>#DIV/0!</v>
      </c>
      <c r="Y229" s="43"/>
      <c r="Z229" s="43"/>
      <c r="AA229" s="43"/>
      <c r="AB229" s="43"/>
      <c r="AC229" s="43"/>
      <c r="AD229" s="43"/>
    </row>
    <row r="230" spans="11:30" ht="12.75">
      <c r="K230" s="43"/>
      <c r="L230" s="43"/>
      <c r="M230" s="43">
        <f t="shared" si="36"/>
        <v>209</v>
      </c>
      <c r="N230" s="43">
        <f t="shared" si="37"/>
        <v>1</v>
      </c>
      <c r="O230" s="43">
        <f t="shared" si="38"/>
        <v>0</v>
      </c>
      <c r="P230" s="113" t="e">
        <f t="shared" si="31"/>
        <v>#DIV/0!</v>
      </c>
      <c r="Q230" s="113" t="e">
        <f t="shared" si="32"/>
        <v>#DIV/0!</v>
      </c>
      <c r="R230" s="113" t="e">
        <f t="shared" si="33"/>
        <v>#DIV/0!</v>
      </c>
      <c r="S230" s="113" t="e">
        <f t="shared" si="34"/>
        <v>#DIV/0!</v>
      </c>
      <c r="T230" s="43">
        <f t="shared" si="35"/>
        <v>0</v>
      </c>
      <c r="U230" s="43"/>
      <c r="V230" s="525" t="e">
        <f>P230*('upper bound Kenaga'!$F$36/100)</f>
        <v>#DIV/0!</v>
      </c>
      <c r="W230" s="43"/>
      <c r="X230" s="525" t="e">
        <f>P230*('upper bound Kenaga'!$F$96/100)</f>
        <v>#DIV/0!</v>
      </c>
      <c r="Y230" s="43"/>
      <c r="Z230" s="43"/>
      <c r="AA230" s="43"/>
      <c r="AB230" s="43"/>
      <c r="AC230" s="43"/>
      <c r="AD230" s="43"/>
    </row>
    <row r="231" spans="11:30" ht="12.75">
      <c r="K231" s="43"/>
      <c r="L231" s="43"/>
      <c r="M231" s="43">
        <f t="shared" si="36"/>
        <v>210</v>
      </c>
      <c r="N231" s="43">
        <f t="shared" si="37"/>
        <v>1</v>
      </c>
      <c r="O231" s="43">
        <f t="shared" si="38"/>
        <v>0</v>
      </c>
      <c r="P231" s="113" t="e">
        <f t="shared" si="31"/>
        <v>#DIV/0!</v>
      </c>
      <c r="Q231" s="113" t="e">
        <f t="shared" si="32"/>
        <v>#DIV/0!</v>
      </c>
      <c r="R231" s="113" t="e">
        <f t="shared" si="33"/>
        <v>#DIV/0!</v>
      </c>
      <c r="S231" s="113" t="e">
        <f t="shared" si="34"/>
        <v>#DIV/0!</v>
      </c>
      <c r="T231" s="43">
        <f t="shared" si="35"/>
        <v>0</v>
      </c>
      <c r="U231" s="43"/>
      <c r="V231" s="525" t="e">
        <f>P231*('upper bound Kenaga'!$F$36/100)</f>
        <v>#DIV/0!</v>
      </c>
      <c r="W231" s="43"/>
      <c r="X231" s="525" t="e">
        <f>P231*('upper bound Kenaga'!$F$96/100)</f>
        <v>#DIV/0!</v>
      </c>
      <c r="Y231" s="43"/>
      <c r="Z231" s="43"/>
      <c r="AA231" s="43"/>
      <c r="AB231" s="43"/>
      <c r="AC231" s="43"/>
      <c r="AD231" s="43"/>
    </row>
    <row r="232" spans="11:30" ht="12.75">
      <c r="K232" s="43"/>
      <c r="L232" s="43"/>
      <c r="M232" s="43">
        <f t="shared" si="36"/>
        <v>211</v>
      </c>
      <c r="N232" s="43">
        <f t="shared" si="37"/>
        <v>1</v>
      </c>
      <c r="O232" s="43">
        <f t="shared" si="38"/>
        <v>0</v>
      </c>
      <c r="P232" s="113" t="e">
        <f t="shared" si="31"/>
        <v>#DIV/0!</v>
      </c>
      <c r="Q232" s="113" t="e">
        <f t="shared" si="32"/>
        <v>#DIV/0!</v>
      </c>
      <c r="R232" s="113" t="e">
        <f t="shared" si="33"/>
        <v>#DIV/0!</v>
      </c>
      <c r="S232" s="113" t="e">
        <f t="shared" si="34"/>
        <v>#DIV/0!</v>
      </c>
      <c r="T232" s="43">
        <f t="shared" si="35"/>
        <v>0</v>
      </c>
      <c r="U232" s="43"/>
      <c r="V232" s="525" t="e">
        <f>P232*('upper bound Kenaga'!$F$36/100)</f>
        <v>#DIV/0!</v>
      </c>
      <c r="W232" s="43"/>
      <c r="X232" s="525" t="e">
        <f>P232*('upper bound Kenaga'!$F$96/100)</f>
        <v>#DIV/0!</v>
      </c>
      <c r="Y232" s="43"/>
      <c r="Z232" s="43"/>
      <c r="AA232" s="43"/>
      <c r="AB232" s="43"/>
      <c r="AC232" s="43"/>
      <c r="AD232" s="43"/>
    </row>
    <row r="233" spans="11:30" ht="12.75">
      <c r="K233" s="43"/>
      <c r="L233" s="43"/>
      <c r="M233" s="43">
        <f t="shared" si="36"/>
        <v>212</v>
      </c>
      <c r="N233" s="43">
        <f t="shared" si="37"/>
        <v>1</v>
      </c>
      <c r="O233" s="43">
        <f t="shared" si="38"/>
        <v>0</v>
      </c>
      <c r="P233" s="113" t="e">
        <f t="shared" si="31"/>
        <v>#DIV/0!</v>
      </c>
      <c r="Q233" s="113" t="e">
        <f t="shared" si="32"/>
        <v>#DIV/0!</v>
      </c>
      <c r="R233" s="113" t="e">
        <f t="shared" si="33"/>
        <v>#DIV/0!</v>
      </c>
      <c r="S233" s="113" t="e">
        <f t="shared" si="34"/>
        <v>#DIV/0!</v>
      </c>
      <c r="T233" s="43">
        <f t="shared" si="35"/>
        <v>0</v>
      </c>
      <c r="U233" s="43"/>
      <c r="V233" s="525" t="e">
        <f>P233*('upper bound Kenaga'!$F$36/100)</f>
        <v>#DIV/0!</v>
      </c>
      <c r="W233" s="43"/>
      <c r="X233" s="525" t="e">
        <f>P233*('upper bound Kenaga'!$F$96/100)</f>
        <v>#DIV/0!</v>
      </c>
      <c r="Y233" s="43"/>
      <c r="Z233" s="43"/>
      <c r="AA233" s="43"/>
      <c r="AB233" s="43"/>
      <c r="AC233" s="43"/>
      <c r="AD233" s="43"/>
    </row>
    <row r="234" spans="11:30" ht="12.75">
      <c r="K234" s="43"/>
      <c r="L234" s="43"/>
      <c r="M234" s="43">
        <f t="shared" si="36"/>
        <v>213</v>
      </c>
      <c r="N234" s="43">
        <f t="shared" si="37"/>
        <v>1</v>
      </c>
      <c r="O234" s="43">
        <f t="shared" si="38"/>
        <v>0</v>
      </c>
      <c r="P234" s="113" t="e">
        <f aca="true" t="shared" si="39" ref="P234:P297">IF((N234&gt;N233),(EXP(-$Q$16)*(P233)+$Q$11),((EXP(-$Q$16)*(P233))))</f>
        <v>#DIV/0!</v>
      </c>
      <c r="Q234" s="113" t="e">
        <f aca="true" t="shared" si="40" ref="Q234:Q297">IF((N234&gt;N233),(EXP(-$Q$16)*(Q233)+$Q$12),((EXP(-$Q$16)*(Q233))))</f>
        <v>#DIV/0!</v>
      </c>
      <c r="R234" s="113" t="e">
        <f aca="true" t="shared" si="41" ref="R234:R297">IF((N234&gt;N233),(EXP(-$Q$16)*(R233)+$Q$13),((EXP(-$Q$16)*(R233))))</f>
        <v>#DIV/0!</v>
      </c>
      <c r="S234" s="113" t="e">
        <f aca="true" t="shared" si="42" ref="S234:S297">IF((N234&gt;N233),(EXP(-$Q$16)*(S233)+$Q$14),((EXP(-$Q$16)*(S233))))</f>
        <v>#DIV/0!</v>
      </c>
      <c r="T234" s="43">
        <f t="shared" si="35"/>
        <v>0</v>
      </c>
      <c r="U234" s="43"/>
      <c r="V234" s="525" t="e">
        <f>P234*('upper bound Kenaga'!$F$36/100)</f>
        <v>#DIV/0!</v>
      </c>
      <c r="W234" s="43"/>
      <c r="X234" s="525" t="e">
        <f>P234*('upper bound Kenaga'!$F$96/100)</f>
        <v>#DIV/0!</v>
      </c>
      <c r="Y234" s="43"/>
      <c r="Z234" s="43"/>
      <c r="AA234" s="43"/>
      <c r="AB234" s="43"/>
      <c r="AC234" s="43"/>
      <c r="AD234" s="43"/>
    </row>
    <row r="235" spans="11:30" ht="12.75">
      <c r="K235" s="43"/>
      <c r="L235" s="43"/>
      <c r="M235" s="43">
        <f t="shared" si="36"/>
        <v>214</v>
      </c>
      <c r="N235" s="43">
        <f t="shared" si="37"/>
        <v>1</v>
      </c>
      <c r="O235" s="43">
        <f t="shared" si="38"/>
        <v>0</v>
      </c>
      <c r="P235" s="113" t="e">
        <f t="shared" si="39"/>
        <v>#DIV/0!</v>
      </c>
      <c r="Q235" s="113" t="e">
        <f t="shared" si="40"/>
        <v>#DIV/0!</v>
      </c>
      <c r="R235" s="113" t="e">
        <f t="shared" si="41"/>
        <v>#DIV/0!</v>
      </c>
      <c r="S235" s="113" t="e">
        <f t="shared" si="42"/>
        <v>#DIV/0!</v>
      </c>
      <c r="T235" s="43">
        <f t="shared" si="35"/>
        <v>0</v>
      </c>
      <c r="U235" s="43"/>
      <c r="V235" s="525" t="e">
        <f>P235*('upper bound Kenaga'!$F$36/100)</f>
        <v>#DIV/0!</v>
      </c>
      <c r="W235" s="43"/>
      <c r="X235" s="525" t="e">
        <f>P235*('upper bound Kenaga'!$F$96/100)</f>
        <v>#DIV/0!</v>
      </c>
      <c r="Y235" s="43"/>
      <c r="Z235" s="43"/>
      <c r="AA235" s="43"/>
      <c r="AB235" s="43"/>
      <c r="AC235" s="43"/>
      <c r="AD235" s="43"/>
    </row>
    <row r="236" spans="11:30" ht="12.75">
      <c r="K236" s="43"/>
      <c r="L236" s="43"/>
      <c r="M236" s="43">
        <f t="shared" si="36"/>
        <v>215</v>
      </c>
      <c r="N236" s="43">
        <f t="shared" si="37"/>
        <v>1</v>
      </c>
      <c r="O236" s="43">
        <f t="shared" si="38"/>
        <v>0</v>
      </c>
      <c r="P236" s="113" t="e">
        <f t="shared" si="39"/>
        <v>#DIV/0!</v>
      </c>
      <c r="Q236" s="113" t="e">
        <f t="shared" si="40"/>
        <v>#DIV/0!</v>
      </c>
      <c r="R236" s="113" t="e">
        <f t="shared" si="41"/>
        <v>#DIV/0!</v>
      </c>
      <c r="S236" s="113" t="e">
        <f t="shared" si="42"/>
        <v>#DIV/0!</v>
      </c>
      <c r="T236" s="43">
        <f t="shared" si="35"/>
        <v>0</v>
      </c>
      <c r="U236" s="43"/>
      <c r="V236" s="525" t="e">
        <f>P236*('upper bound Kenaga'!$F$36/100)</f>
        <v>#DIV/0!</v>
      </c>
      <c r="W236" s="43"/>
      <c r="X236" s="525" t="e">
        <f>P236*('upper bound Kenaga'!$F$96/100)</f>
        <v>#DIV/0!</v>
      </c>
      <c r="Y236" s="43"/>
      <c r="Z236" s="43"/>
      <c r="AA236" s="43"/>
      <c r="AB236" s="43"/>
      <c r="AC236" s="43"/>
      <c r="AD236" s="43"/>
    </row>
    <row r="237" spans="11:30" ht="12.75">
      <c r="K237" s="43"/>
      <c r="L237" s="43"/>
      <c r="M237" s="43">
        <f t="shared" si="36"/>
        <v>216</v>
      </c>
      <c r="N237" s="43">
        <f t="shared" si="37"/>
        <v>1</v>
      </c>
      <c r="O237" s="43">
        <f t="shared" si="38"/>
        <v>0</v>
      </c>
      <c r="P237" s="113" t="e">
        <f t="shared" si="39"/>
        <v>#DIV/0!</v>
      </c>
      <c r="Q237" s="113" t="e">
        <f t="shared" si="40"/>
        <v>#DIV/0!</v>
      </c>
      <c r="R237" s="113" t="e">
        <f t="shared" si="41"/>
        <v>#DIV/0!</v>
      </c>
      <c r="S237" s="113" t="e">
        <f t="shared" si="42"/>
        <v>#DIV/0!</v>
      </c>
      <c r="T237" s="43">
        <f t="shared" si="35"/>
        <v>0</v>
      </c>
      <c r="U237" s="43"/>
      <c r="V237" s="525" t="e">
        <f>P237*('upper bound Kenaga'!$F$36/100)</f>
        <v>#DIV/0!</v>
      </c>
      <c r="W237" s="43"/>
      <c r="X237" s="525" t="e">
        <f>P237*('upper bound Kenaga'!$F$96/100)</f>
        <v>#DIV/0!</v>
      </c>
      <c r="Y237" s="43"/>
      <c r="Z237" s="43"/>
      <c r="AA237" s="43"/>
      <c r="AB237" s="43"/>
      <c r="AC237" s="43"/>
      <c r="AD237" s="43"/>
    </row>
    <row r="238" spans="11:30" ht="12.75">
      <c r="K238" s="43"/>
      <c r="L238" s="43"/>
      <c r="M238" s="43">
        <f t="shared" si="36"/>
        <v>217</v>
      </c>
      <c r="N238" s="43">
        <f t="shared" si="37"/>
        <v>1</v>
      </c>
      <c r="O238" s="43">
        <f t="shared" si="38"/>
        <v>0</v>
      </c>
      <c r="P238" s="113" t="e">
        <f t="shared" si="39"/>
        <v>#DIV/0!</v>
      </c>
      <c r="Q238" s="113" t="e">
        <f t="shared" si="40"/>
        <v>#DIV/0!</v>
      </c>
      <c r="R238" s="113" t="e">
        <f t="shared" si="41"/>
        <v>#DIV/0!</v>
      </c>
      <c r="S238" s="113" t="e">
        <f t="shared" si="42"/>
        <v>#DIV/0!</v>
      </c>
      <c r="T238" s="43">
        <f t="shared" si="35"/>
        <v>0</v>
      </c>
      <c r="U238" s="43"/>
      <c r="V238" s="525" t="e">
        <f>P238*('upper bound Kenaga'!$F$36/100)</f>
        <v>#DIV/0!</v>
      </c>
      <c r="W238" s="43"/>
      <c r="X238" s="525" t="e">
        <f>P238*('upper bound Kenaga'!$F$96/100)</f>
        <v>#DIV/0!</v>
      </c>
      <c r="Y238" s="43"/>
      <c r="Z238" s="43"/>
      <c r="AA238" s="43"/>
      <c r="AB238" s="43"/>
      <c r="AC238" s="43"/>
      <c r="AD238" s="43"/>
    </row>
    <row r="239" spans="11:30" ht="12.75">
      <c r="K239" s="43"/>
      <c r="L239" s="43"/>
      <c r="M239" s="43">
        <f t="shared" si="36"/>
        <v>218</v>
      </c>
      <c r="N239" s="43">
        <f t="shared" si="37"/>
        <v>1</v>
      </c>
      <c r="O239" s="43">
        <f t="shared" si="38"/>
        <v>0</v>
      </c>
      <c r="P239" s="113" t="e">
        <f t="shared" si="39"/>
        <v>#DIV/0!</v>
      </c>
      <c r="Q239" s="113" t="e">
        <f t="shared" si="40"/>
        <v>#DIV/0!</v>
      </c>
      <c r="R239" s="113" t="e">
        <f t="shared" si="41"/>
        <v>#DIV/0!</v>
      </c>
      <c r="S239" s="113" t="e">
        <f t="shared" si="42"/>
        <v>#DIV/0!</v>
      </c>
      <c r="T239" s="43">
        <f t="shared" si="35"/>
        <v>0</v>
      </c>
      <c r="U239" s="43"/>
      <c r="V239" s="525" t="e">
        <f>P239*('upper bound Kenaga'!$F$36/100)</f>
        <v>#DIV/0!</v>
      </c>
      <c r="W239" s="43"/>
      <c r="X239" s="525" t="e">
        <f>P239*('upper bound Kenaga'!$F$96/100)</f>
        <v>#DIV/0!</v>
      </c>
      <c r="Y239" s="43"/>
      <c r="Z239" s="43"/>
      <c r="AA239" s="43"/>
      <c r="AB239" s="43"/>
      <c r="AC239" s="43"/>
      <c r="AD239" s="43"/>
    </row>
    <row r="240" spans="11:30" ht="12.75">
      <c r="K240" s="43"/>
      <c r="L240" s="43"/>
      <c r="M240" s="43">
        <f t="shared" si="36"/>
        <v>219</v>
      </c>
      <c r="N240" s="43">
        <f t="shared" si="37"/>
        <v>1</v>
      </c>
      <c r="O240" s="43">
        <f t="shared" si="38"/>
        <v>0</v>
      </c>
      <c r="P240" s="113" t="e">
        <f t="shared" si="39"/>
        <v>#DIV/0!</v>
      </c>
      <c r="Q240" s="113" t="e">
        <f t="shared" si="40"/>
        <v>#DIV/0!</v>
      </c>
      <c r="R240" s="113" t="e">
        <f t="shared" si="41"/>
        <v>#DIV/0!</v>
      </c>
      <c r="S240" s="113" t="e">
        <f t="shared" si="42"/>
        <v>#DIV/0!</v>
      </c>
      <c r="T240" s="43">
        <f t="shared" si="35"/>
        <v>0</v>
      </c>
      <c r="U240" s="43"/>
      <c r="V240" s="525" t="e">
        <f>P240*('upper bound Kenaga'!$F$36/100)</f>
        <v>#DIV/0!</v>
      </c>
      <c r="W240" s="43"/>
      <c r="X240" s="525" t="e">
        <f>P240*('upper bound Kenaga'!$F$96/100)</f>
        <v>#DIV/0!</v>
      </c>
      <c r="Y240" s="43"/>
      <c r="Z240" s="43"/>
      <c r="AA240" s="43"/>
      <c r="AB240" s="43"/>
      <c r="AC240" s="43"/>
      <c r="AD240" s="43"/>
    </row>
    <row r="241" spans="11:30" ht="12.75">
      <c r="K241" s="43"/>
      <c r="L241" s="43"/>
      <c r="M241" s="43">
        <f t="shared" si="36"/>
        <v>220</v>
      </c>
      <c r="N241" s="43">
        <f t="shared" si="37"/>
        <v>1</v>
      </c>
      <c r="O241" s="43">
        <f t="shared" si="38"/>
        <v>0</v>
      </c>
      <c r="P241" s="113" t="e">
        <f t="shared" si="39"/>
        <v>#DIV/0!</v>
      </c>
      <c r="Q241" s="113" t="e">
        <f t="shared" si="40"/>
        <v>#DIV/0!</v>
      </c>
      <c r="R241" s="113" t="e">
        <f t="shared" si="41"/>
        <v>#DIV/0!</v>
      </c>
      <c r="S241" s="113" t="e">
        <f t="shared" si="42"/>
        <v>#DIV/0!</v>
      </c>
      <c r="T241" s="43">
        <f t="shared" si="35"/>
        <v>0</v>
      </c>
      <c r="U241" s="43"/>
      <c r="V241" s="525" t="e">
        <f>P241*('upper bound Kenaga'!$F$36/100)</f>
        <v>#DIV/0!</v>
      </c>
      <c r="W241" s="43"/>
      <c r="X241" s="525" t="e">
        <f>P241*('upper bound Kenaga'!$F$96/100)</f>
        <v>#DIV/0!</v>
      </c>
      <c r="Y241" s="43"/>
      <c r="Z241" s="43"/>
      <c r="AA241" s="43"/>
      <c r="AB241" s="43"/>
      <c r="AC241" s="43"/>
      <c r="AD241" s="43"/>
    </row>
    <row r="242" spans="11:30" ht="12.75">
      <c r="K242" s="43"/>
      <c r="L242" s="43"/>
      <c r="M242" s="43">
        <f t="shared" si="36"/>
        <v>221</v>
      </c>
      <c r="N242" s="43">
        <f t="shared" si="37"/>
        <v>1</v>
      </c>
      <c r="O242" s="43">
        <f t="shared" si="38"/>
        <v>0</v>
      </c>
      <c r="P242" s="113" t="e">
        <f t="shared" si="39"/>
        <v>#DIV/0!</v>
      </c>
      <c r="Q242" s="113" t="e">
        <f t="shared" si="40"/>
        <v>#DIV/0!</v>
      </c>
      <c r="R242" s="113" t="e">
        <f t="shared" si="41"/>
        <v>#DIV/0!</v>
      </c>
      <c r="S242" s="113" t="e">
        <f t="shared" si="42"/>
        <v>#DIV/0!</v>
      </c>
      <c r="T242" s="43">
        <f t="shared" si="35"/>
        <v>0</v>
      </c>
      <c r="U242" s="43"/>
      <c r="V242" s="525" t="e">
        <f>P242*('upper bound Kenaga'!$F$36/100)</f>
        <v>#DIV/0!</v>
      </c>
      <c r="W242" s="43"/>
      <c r="X242" s="525" t="e">
        <f>P242*('upper bound Kenaga'!$F$96/100)</f>
        <v>#DIV/0!</v>
      </c>
      <c r="Y242" s="43"/>
      <c r="Z242" s="43"/>
      <c r="AA242" s="43"/>
      <c r="AB242" s="43"/>
      <c r="AC242" s="43"/>
      <c r="AD242" s="43"/>
    </row>
    <row r="243" spans="11:30" ht="12.75">
      <c r="K243" s="43"/>
      <c r="L243" s="43"/>
      <c r="M243" s="43">
        <f t="shared" si="36"/>
        <v>222</v>
      </c>
      <c r="N243" s="43">
        <f t="shared" si="37"/>
        <v>1</v>
      </c>
      <c r="O243" s="43">
        <f t="shared" si="38"/>
        <v>0</v>
      </c>
      <c r="P243" s="113" t="e">
        <f t="shared" si="39"/>
        <v>#DIV/0!</v>
      </c>
      <c r="Q243" s="113" t="e">
        <f t="shared" si="40"/>
        <v>#DIV/0!</v>
      </c>
      <c r="R243" s="113" t="e">
        <f t="shared" si="41"/>
        <v>#DIV/0!</v>
      </c>
      <c r="S243" s="113" t="e">
        <f t="shared" si="42"/>
        <v>#DIV/0!</v>
      </c>
      <c r="T243" s="43">
        <f t="shared" si="35"/>
        <v>0</v>
      </c>
      <c r="U243" s="43"/>
      <c r="V243" s="525" t="e">
        <f>P243*('upper bound Kenaga'!$F$36/100)</f>
        <v>#DIV/0!</v>
      </c>
      <c r="W243" s="43"/>
      <c r="X243" s="525" t="e">
        <f>P243*('upper bound Kenaga'!$F$96/100)</f>
        <v>#DIV/0!</v>
      </c>
      <c r="Y243" s="43"/>
      <c r="Z243" s="43"/>
      <c r="AA243" s="43"/>
      <c r="AB243" s="43"/>
      <c r="AC243" s="43"/>
      <c r="AD243" s="43"/>
    </row>
    <row r="244" spans="11:30" ht="12.75">
      <c r="K244" s="43"/>
      <c r="L244" s="43"/>
      <c r="M244" s="43">
        <f t="shared" si="36"/>
        <v>223</v>
      </c>
      <c r="N244" s="43">
        <f t="shared" si="37"/>
        <v>1</v>
      </c>
      <c r="O244" s="43">
        <f t="shared" si="38"/>
        <v>0</v>
      </c>
      <c r="P244" s="113" t="e">
        <f t="shared" si="39"/>
        <v>#DIV/0!</v>
      </c>
      <c r="Q244" s="113" t="e">
        <f t="shared" si="40"/>
        <v>#DIV/0!</v>
      </c>
      <c r="R244" s="113" t="e">
        <f t="shared" si="41"/>
        <v>#DIV/0!</v>
      </c>
      <c r="S244" s="113" t="e">
        <f t="shared" si="42"/>
        <v>#DIV/0!</v>
      </c>
      <c r="T244" s="43">
        <f t="shared" si="35"/>
        <v>0</v>
      </c>
      <c r="U244" s="43"/>
      <c r="V244" s="525" t="e">
        <f>P244*('upper bound Kenaga'!$F$36/100)</f>
        <v>#DIV/0!</v>
      </c>
      <c r="W244" s="43"/>
      <c r="X244" s="525" t="e">
        <f>P244*('upper bound Kenaga'!$F$96/100)</f>
        <v>#DIV/0!</v>
      </c>
      <c r="Y244" s="43"/>
      <c r="Z244" s="43"/>
      <c r="AA244" s="43"/>
      <c r="AB244" s="43"/>
      <c r="AC244" s="43"/>
      <c r="AD244" s="43"/>
    </row>
    <row r="245" spans="11:30" ht="12.75">
      <c r="K245" s="43"/>
      <c r="L245" s="43"/>
      <c r="M245" s="43">
        <f t="shared" si="36"/>
        <v>224</v>
      </c>
      <c r="N245" s="43">
        <f t="shared" si="37"/>
        <v>1</v>
      </c>
      <c r="O245" s="43">
        <f t="shared" si="38"/>
        <v>0</v>
      </c>
      <c r="P245" s="113" t="e">
        <f t="shared" si="39"/>
        <v>#DIV/0!</v>
      </c>
      <c r="Q245" s="113" t="e">
        <f t="shared" si="40"/>
        <v>#DIV/0!</v>
      </c>
      <c r="R245" s="113" t="e">
        <f t="shared" si="41"/>
        <v>#DIV/0!</v>
      </c>
      <c r="S245" s="113" t="e">
        <f t="shared" si="42"/>
        <v>#DIV/0!</v>
      </c>
      <c r="T245" s="43">
        <f t="shared" si="35"/>
        <v>0</v>
      </c>
      <c r="U245" s="43"/>
      <c r="V245" s="525" t="e">
        <f>P245*('upper bound Kenaga'!$F$36/100)</f>
        <v>#DIV/0!</v>
      </c>
      <c r="W245" s="43"/>
      <c r="X245" s="525" t="e">
        <f>P245*('upper bound Kenaga'!$F$96/100)</f>
        <v>#DIV/0!</v>
      </c>
      <c r="Y245" s="43"/>
      <c r="Z245" s="43"/>
      <c r="AA245" s="43"/>
      <c r="AB245" s="43"/>
      <c r="AC245" s="43"/>
      <c r="AD245" s="43"/>
    </row>
    <row r="246" spans="11:30" ht="12.75">
      <c r="K246" s="43"/>
      <c r="L246" s="43"/>
      <c r="M246" s="43">
        <f t="shared" si="36"/>
        <v>225</v>
      </c>
      <c r="N246" s="43">
        <f t="shared" si="37"/>
        <v>1</v>
      </c>
      <c r="O246" s="43">
        <f t="shared" si="38"/>
        <v>0</v>
      </c>
      <c r="P246" s="113" t="e">
        <f t="shared" si="39"/>
        <v>#DIV/0!</v>
      </c>
      <c r="Q246" s="113" t="e">
        <f t="shared" si="40"/>
        <v>#DIV/0!</v>
      </c>
      <c r="R246" s="113" t="e">
        <f t="shared" si="41"/>
        <v>#DIV/0!</v>
      </c>
      <c r="S246" s="113" t="e">
        <f t="shared" si="42"/>
        <v>#DIV/0!</v>
      </c>
      <c r="T246" s="43">
        <f t="shared" si="35"/>
        <v>0</v>
      </c>
      <c r="U246" s="43"/>
      <c r="V246" s="525" t="e">
        <f>P246*('upper bound Kenaga'!$F$36/100)</f>
        <v>#DIV/0!</v>
      </c>
      <c r="W246" s="43"/>
      <c r="X246" s="525" t="e">
        <f>P246*('upper bound Kenaga'!$F$96/100)</f>
        <v>#DIV/0!</v>
      </c>
      <c r="Y246" s="43"/>
      <c r="Z246" s="43"/>
      <c r="AA246" s="43"/>
      <c r="AB246" s="43"/>
      <c r="AC246" s="43"/>
      <c r="AD246" s="43"/>
    </row>
    <row r="247" spans="11:30" ht="12.75">
      <c r="K247" s="43"/>
      <c r="L247" s="43"/>
      <c r="M247" s="43">
        <f t="shared" si="36"/>
        <v>226</v>
      </c>
      <c r="N247" s="43">
        <f t="shared" si="37"/>
        <v>1</v>
      </c>
      <c r="O247" s="43">
        <f t="shared" si="38"/>
        <v>0</v>
      </c>
      <c r="P247" s="113" t="e">
        <f t="shared" si="39"/>
        <v>#DIV/0!</v>
      </c>
      <c r="Q247" s="113" t="e">
        <f t="shared" si="40"/>
        <v>#DIV/0!</v>
      </c>
      <c r="R247" s="113" t="e">
        <f t="shared" si="41"/>
        <v>#DIV/0!</v>
      </c>
      <c r="S247" s="113" t="e">
        <f t="shared" si="42"/>
        <v>#DIV/0!</v>
      </c>
      <c r="T247" s="43">
        <f t="shared" si="35"/>
        <v>0</v>
      </c>
      <c r="U247" s="43"/>
      <c r="V247" s="525" t="e">
        <f>P247*('upper bound Kenaga'!$F$36/100)</f>
        <v>#DIV/0!</v>
      </c>
      <c r="W247" s="43"/>
      <c r="X247" s="525" t="e">
        <f>P247*('upper bound Kenaga'!$F$96/100)</f>
        <v>#DIV/0!</v>
      </c>
      <c r="Y247" s="43"/>
      <c r="Z247" s="43"/>
      <c r="AA247" s="43"/>
      <c r="AB247" s="43"/>
      <c r="AC247" s="43"/>
      <c r="AD247" s="43"/>
    </row>
    <row r="248" spans="11:30" ht="12.75">
      <c r="K248" s="43"/>
      <c r="L248" s="43"/>
      <c r="M248" s="43">
        <f t="shared" si="36"/>
        <v>227</v>
      </c>
      <c r="N248" s="43">
        <f t="shared" si="37"/>
        <v>1</v>
      </c>
      <c r="O248" s="43">
        <f t="shared" si="38"/>
        <v>0</v>
      </c>
      <c r="P248" s="113" t="e">
        <f t="shared" si="39"/>
        <v>#DIV/0!</v>
      </c>
      <c r="Q248" s="113" t="e">
        <f t="shared" si="40"/>
        <v>#DIV/0!</v>
      </c>
      <c r="R248" s="113" t="e">
        <f t="shared" si="41"/>
        <v>#DIV/0!</v>
      </c>
      <c r="S248" s="113" t="e">
        <f t="shared" si="42"/>
        <v>#DIV/0!</v>
      </c>
      <c r="T248" s="43">
        <f t="shared" si="35"/>
        <v>0</v>
      </c>
      <c r="U248" s="43"/>
      <c r="V248" s="525" t="e">
        <f>P248*('upper bound Kenaga'!$F$36/100)</f>
        <v>#DIV/0!</v>
      </c>
      <c r="W248" s="43"/>
      <c r="X248" s="525" t="e">
        <f>P248*('upper bound Kenaga'!$F$96/100)</f>
        <v>#DIV/0!</v>
      </c>
      <c r="Y248" s="43"/>
      <c r="Z248" s="43"/>
      <c r="AA248" s="43"/>
      <c r="AB248" s="43"/>
      <c r="AC248" s="43"/>
      <c r="AD248" s="43"/>
    </row>
    <row r="249" spans="11:30" ht="12.75">
      <c r="K249" s="43"/>
      <c r="L249" s="43"/>
      <c r="M249" s="43">
        <f t="shared" si="36"/>
        <v>228</v>
      </c>
      <c r="N249" s="43">
        <f t="shared" si="37"/>
        <v>1</v>
      </c>
      <c r="O249" s="43">
        <f t="shared" si="38"/>
        <v>0</v>
      </c>
      <c r="P249" s="113" t="e">
        <f t="shared" si="39"/>
        <v>#DIV/0!</v>
      </c>
      <c r="Q249" s="113" t="e">
        <f t="shared" si="40"/>
        <v>#DIV/0!</v>
      </c>
      <c r="R249" s="113" t="e">
        <f t="shared" si="41"/>
        <v>#DIV/0!</v>
      </c>
      <c r="S249" s="113" t="e">
        <f t="shared" si="42"/>
        <v>#DIV/0!</v>
      </c>
      <c r="T249" s="43">
        <f t="shared" si="35"/>
        <v>0</v>
      </c>
      <c r="U249" s="43"/>
      <c r="V249" s="525" t="e">
        <f>P249*('upper bound Kenaga'!$F$36/100)</f>
        <v>#DIV/0!</v>
      </c>
      <c r="W249" s="43"/>
      <c r="X249" s="525" t="e">
        <f>P249*('upper bound Kenaga'!$F$96/100)</f>
        <v>#DIV/0!</v>
      </c>
      <c r="Y249" s="43"/>
      <c r="Z249" s="43"/>
      <c r="AA249" s="43"/>
      <c r="AB249" s="43"/>
      <c r="AC249" s="43"/>
      <c r="AD249" s="43"/>
    </row>
    <row r="250" spans="11:30" ht="12.75">
      <c r="K250" s="43"/>
      <c r="L250" s="43"/>
      <c r="M250" s="43">
        <f t="shared" si="36"/>
        <v>229</v>
      </c>
      <c r="N250" s="43">
        <f t="shared" si="37"/>
        <v>1</v>
      </c>
      <c r="O250" s="43">
        <f t="shared" si="38"/>
        <v>0</v>
      </c>
      <c r="P250" s="113" t="e">
        <f t="shared" si="39"/>
        <v>#DIV/0!</v>
      </c>
      <c r="Q250" s="113" t="e">
        <f t="shared" si="40"/>
        <v>#DIV/0!</v>
      </c>
      <c r="R250" s="113" t="e">
        <f t="shared" si="41"/>
        <v>#DIV/0!</v>
      </c>
      <c r="S250" s="113" t="e">
        <f t="shared" si="42"/>
        <v>#DIV/0!</v>
      </c>
      <c r="T250" s="43">
        <f t="shared" si="35"/>
        <v>0</v>
      </c>
      <c r="U250" s="43"/>
      <c r="V250" s="525" t="e">
        <f>P250*('upper bound Kenaga'!$F$36/100)</f>
        <v>#DIV/0!</v>
      </c>
      <c r="W250" s="43"/>
      <c r="X250" s="525" t="e">
        <f>P250*('upper bound Kenaga'!$F$96/100)</f>
        <v>#DIV/0!</v>
      </c>
      <c r="Y250" s="43"/>
      <c r="Z250" s="43"/>
      <c r="AA250" s="43"/>
      <c r="AB250" s="43"/>
      <c r="AC250" s="43"/>
      <c r="AD250" s="43"/>
    </row>
    <row r="251" spans="11:30" ht="12.75">
      <c r="K251" s="43"/>
      <c r="L251" s="43"/>
      <c r="M251" s="43">
        <f t="shared" si="36"/>
        <v>230</v>
      </c>
      <c r="N251" s="43">
        <f t="shared" si="37"/>
        <v>1</v>
      </c>
      <c r="O251" s="43">
        <f t="shared" si="38"/>
        <v>0</v>
      </c>
      <c r="P251" s="113" t="e">
        <f t="shared" si="39"/>
        <v>#DIV/0!</v>
      </c>
      <c r="Q251" s="113" t="e">
        <f t="shared" si="40"/>
        <v>#DIV/0!</v>
      </c>
      <c r="R251" s="113" t="e">
        <f t="shared" si="41"/>
        <v>#DIV/0!</v>
      </c>
      <c r="S251" s="113" t="e">
        <f t="shared" si="42"/>
        <v>#DIV/0!</v>
      </c>
      <c r="T251" s="43">
        <f t="shared" si="35"/>
        <v>0</v>
      </c>
      <c r="U251" s="43"/>
      <c r="V251" s="525" t="e">
        <f>P251*('upper bound Kenaga'!$F$36/100)</f>
        <v>#DIV/0!</v>
      </c>
      <c r="W251" s="43"/>
      <c r="X251" s="525" t="e">
        <f>P251*('upper bound Kenaga'!$F$96/100)</f>
        <v>#DIV/0!</v>
      </c>
      <c r="Y251" s="43"/>
      <c r="Z251" s="43"/>
      <c r="AA251" s="43"/>
      <c r="AB251" s="43"/>
      <c r="AC251" s="43"/>
      <c r="AD251" s="43"/>
    </row>
    <row r="252" spans="11:30" ht="12.75">
      <c r="K252" s="43"/>
      <c r="L252" s="43"/>
      <c r="M252" s="43">
        <f t="shared" si="36"/>
        <v>231</v>
      </c>
      <c r="N252" s="43">
        <f t="shared" si="37"/>
        <v>1</v>
      </c>
      <c r="O252" s="43">
        <f t="shared" si="38"/>
        <v>0</v>
      </c>
      <c r="P252" s="113" t="e">
        <f t="shared" si="39"/>
        <v>#DIV/0!</v>
      </c>
      <c r="Q252" s="113" t="e">
        <f t="shared" si="40"/>
        <v>#DIV/0!</v>
      </c>
      <c r="R252" s="113" t="e">
        <f t="shared" si="41"/>
        <v>#DIV/0!</v>
      </c>
      <c r="S252" s="113" t="e">
        <f t="shared" si="42"/>
        <v>#DIV/0!</v>
      </c>
      <c r="T252" s="43">
        <f t="shared" si="35"/>
        <v>0</v>
      </c>
      <c r="U252" s="43"/>
      <c r="V252" s="525" t="e">
        <f>P252*('upper bound Kenaga'!$F$36/100)</f>
        <v>#DIV/0!</v>
      </c>
      <c r="W252" s="43"/>
      <c r="X252" s="525" t="e">
        <f>P252*('upper bound Kenaga'!$F$96/100)</f>
        <v>#DIV/0!</v>
      </c>
      <c r="Y252" s="43"/>
      <c r="Z252" s="43"/>
      <c r="AA252" s="43"/>
      <c r="AB252" s="43"/>
      <c r="AC252" s="43"/>
      <c r="AD252" s="43"/>
    </row>
    <row r="253" spans="11:30" ht="12.75">
      <c r="K253" s="43"/>
      <c r="L253" s="43"/>
      <c r="M253" s="43">
        <f t="shared" si="36"/>
        <v>232</v>
      </c>
      <c r="N253" s="43">
        <f t="shared" si="37"/>
        <v>1</v>
      </c>
      <c r="O253" s="43">
        <f t="shared" si="38"/>
        <v>0</v>
      </c>
      <c r="P253" s="113" t="e">
        <f t="shared" si="39"/>
        <v>#DIV/0!</v>
      </c>
      <c r="Q253" s="113" t="e">
        <f t="shared" si="40"/>
        <v>#DIV/0!</v>
      </c>
      <c r="R253" s="113" t="e">
        <f t="shared" si="41"/>
        <v>#DIV/0!</v>
      </c>
      <c r="S253" s="113" t="e">
        <f t="shared" si="42"/>
        <v>#DIV/0!</v>
      </c>
      <c r="T253" s="43">
        <f t="shared" si="35"/>
        <v>0</v>
      </c>
      <c r="U253" s="43"/>
      <c r="V253" s="525" t="e">
        <f>P253*('upper bound Kenaga'!$F$36/100)</f>
        <v>#DIV/0!</v>
      </c>
      <c r="W253" s="43"/>
      <c r="X253" s="525" t="e">
        <f>P253*('upper bound Kenaga'!$F$96/100)</f>
        <v>#DIV/0!</v>
      </c>
      <c r="Y253" s="43"/>
      <c r="Z253" s="43"/>
      <c r="AA253" s="43"/>
      <c r="AB253" s="43"/>
      <c r="AC253" s="43"/>
      <c r="AD253" s="43"/>
    </row>
    <row r="254" spans="11:30" ht="12.75">
      <c r="K254" s="43"/>
      <c r="L254" s="43"/>
      <c r="M254" s="43">
        <f t="shared" si="36"/>
        <v>233</v>
      </c>
      <c r="N254" s="43">
        <f t="shared" si="37"/>
        <v>1</v>
      </c>
      <c r="O254" s="43">
        <f t="shared" si="38"/>
        <v>0</v>
      </c>
      <c r="P254" s="113" t="e">
        <f t="shared" si="39"/>
        <v>#DIV/0!</v>
      </c>
      <c r="Q254" s="113" t="e">
        <f t="shared" si="40"/>
        <v>#DIV/0!</v>
      </c>
      <c r="R254" s="113" t="e">
        <f t="shared" si="41"/>
        <v>#DIV/0!</v>
      </c>
      <c r="S254" s="113" t="e">
        <f t="shared" si="42"/>
        <v>#DIV/0!</v>
      </c>
      <c r="T254" s="43">
        <f t="shared" si="35"/>
        <v>0</v>
      </c>
      <c r="U254" s="43"/>
      <c r="V254" s="525" t="e">
        <f>P254*('upper bound Kenaga'!$F$36/100)</f>
        <v>#DIV/0!</v>
      </c>
      <c r="W254" s="43"/>
      <c r="X254" s="525" t="e">
        <f>P254*('upper bound Kenaga'!$F$96/100)</f>
        <v>#DIV/0!</v>
      </c>
      <c r="Y254" s="43"/>
      <c r="Z254" s="43"/>
      <c r="AA254" s="43"/>
      <c r="AB254" s="43"/>
      <c r="AC254" s="43"/>
      <c r="AD254" s="43"/>
    </row>
    <row r="255" spans="11:30" ht="12.75">
      <c r="K255" s="43"/>
      <c r="L255" s="43"/>
      <c r="M255" s="43">
        <f t="shared" si="36"/>
        <v>234</v>
      </c>
      <c r="N255" s="43">
        <f t="shared" si="37"/>
        <v>1</v>
      </c>
      <c r="O255" s="43">
        <f t="shared" si="38"/>
        <v>0</v>
      </c>
      <c r="P255" s="113" t="e">
        <f t="shared" si="39"/>
        <v>#DIV/0!</v>
      </c>
      <c r="Q255" s="113" t="e">
        <f t="shared" si="40"/>
        <v>#DIV/0!</v>
      </c>
      <c r="R255" s="113" t="e">
        <f t="shared" si="41"/>
        <v>#DIV/0!</v>
      </c>
      <c r="S255" s="113" t="e">
        <f t="shared" si="42"/>
        <v>#DIV/0!</v>
      </c>
      <c r="T255" s="43">
        <f t="shared" si="35"/>
        <v>0</v>
      </c>
      <c r="U255" s="43"/>
      <c r="V255" s="525" t="e">
        <f>P255*('upper bound Kenaga'!$F$36/100)</f>
        <v>#DIV/0!</v>
      </c>
      <c r="W255" s="43"/>
      <c r="X255" s="525" t="e">
        <f>P255*('upper bound Kenaga'!$F$96/100)</f>
        <v>#DIV/0!</v>
      </c>
      <c r="Y255" s="43"/>
      <c r="Z255" s="43"/>
      <c r="AA255" s="43"/>
      <c r="AB255" s="43"/>
      <c r="AC255" s="43"/>
      <c r="AD255" s="43"/>
    </row>
    <row r="256" spans="11:30" ht="12.75">
      <c r="K256" s="43"/>
      <c r="L256" s="43"/>
      <c r="M256" s="43">
        <f t="shared" si="36"/>
        <v>235</v>
      </c>
      <c r="N256" s="43">
        <f t="shared" si="37"/>
        <v>1</v>
      </c>
      <c r="O256" s="43">
        <f t="shared" si="38"/>
        <v>0</v>
      </c>
      <c r="P256" s="113" t="e">
        <f t="shared" si="39"/>
        <v>#DIV/0!</v>
      </c>
      <c r="Q256" s="113" t="e">
        <f t="shared" si="40"/>
        <v>#DIV/0!</v>
      </c>
      <c r="R256" s="113" t="e">
        <f t="shared" si="41"/>
        <v>#DIV/0!</v>
      </c>
      <c r="S256" s="113" t="e">
        <f t="shared" si="42"/>
        <v>#DIV/0!</v>
      </c>
      <c r="T256" s="43">
        <f t="shared" si="35"/>
        <v>0</v>
      </c>
      <c r="U256" s="43"/>
      <c r="V256" s="525" t="e">
        <f>P256*('upper bound Kenaga'!$F$36/100)</f>
        <v>#DIV/0!</v>
      </c>
      <c r="W256" s="43"/>
      <c r="X256" s="525" t="e">
        <f>P256*('upper bound Kenaga'!$F$96/100)</f>
        <v>#DIV/0!</v>
      </c>
      <c r="Y256" s="43"/>
      <c r="Z256" s="43"/>
      <c r="AA256" s="43"/>
      <c r="AB256" s="43"/>
      <c r="AC256" s="43"/>
      <c r="AD256" s="43"/>
    </row>
    <row r="257" spans="11:30" ht="12.75">
      <c r="K257" s="43"/>
      <c r="L257" s="43"/>
      <c r="M257" s="43">
        <f t="shared" si="36"/>
        <v>236</v>
      </c>
      <c r="N257" s="43">
        <f t="shared" si="37"/>
        <v>1</v>
      </c>
      <c r="O257" s="43">
        <f t="shared" si="38"/>
        <v>0</v>
      </c>
      <c r="P257" s="113" t="e">
        <f t="shared" si="39"/>
        <v>#DIV/0!</v>
      </c>
      <c r="Q257" s="113" t="e">
        <f t="shared" si="40"/>
        <v>#DIV/0!</v>
      </c>
      <c r="R257" s="113" t="e">
        <f t="shared" si="41"/>
        <v>#DIV/0!</v>
      </c>
      <c r="S257" s="113" t="e">
        <f t="shared" si="42"/>
        <v>#DIV/0!</v>
      </c>
      <c r="T257" s="43">
        <f t="shared" si="35"/>
        <v>0</v>
      </c>
      <c r="U257" s="43"/>
      <c r="V257" s="525" t="e">
        <f>P257*('upper bound Kenaga'!$F$36/100)</f>
        <v>#DIV/0!</v>
      </c>
      <c r="W257" s="43"/>
      <c r="X257" s="525" t="e">
        <f>P257*('upper bound Kenaga'!$F$96/100)</f>
        <v>#DIV/0!</v>
      </c>
      <c r="Y257" s="43"/>
      <c r="Z257" s="43"/>
      <c r="AA257" s="43"/>
      <c r="AB257" s="43"/>
      <c r="AC257" s="43"/>
      <c r="AD257" s="43"/>
    </row>
    <row r="258" spans="11:30" ht="12.75">
      <c r="K258" s="43"/>
      <c r="L258" s="43"/>
      <c r="M258" s="43">
        <f t="shared" si="36"/>
        <v>237</v>
      </c>
      <c r="N258" s="43">
        <f t="shared" si="37"/>
        <v>1</v>
      </c>
      <c r="O258" s="43">
        <f t="shared" si="38"/>
        <v>0</v>
      </c>
      <c r="P258" s="113" t="e">
        <f t="shared" si="39"/>
        <v>#DIV/0!</v>
      </c>
      <c r="Q258" s="113" t="e">
        <f t="shared" si="40"/>
        <v>#DIV/0!</v>
      </c>
      <c r="R258" s="113" t="e">
        <f t="shared" si="41"/>
        <v>#DIV/0!</v>
      </c>
      <c r="S258" s="113" t="e">
        <f t="shared" si="42"/>
        <v>#DIV/0!</v>
      </c>
      <c r="T258" s="43">
        <f t="shared" si="35"/>
        <v>0</v>
      </c>
      <c r="U258" s="43"/>
      <c r="V258" s="525" t="e">
        <f>P258*('upper bound Kenaga'!$F$36/100)</f>
        <v>#DIV/0!</v>
      </c>
      <c r="W258" s="43"/>
      <c r="X258" s="525" t="e">
        <f>P258*('upper bound Kenaga'!$F$96/100)</f>
        <v>#DIV/0!</v>
      </c>
      <c r="Y258" s="43"/>
      <c r="Z258" s="43"/>
      <c r="AA258" s="43"/>
      <c r="AB258" s="43"/>
      <c r="AC258" s="43"/>
      <c r="AD258" s="43"/>
    </row>
    <row r="259" spans="11:30" ht="12.75">
      <c r="K259" s="43"/>
      <c r="L259" s="43"/>
      <c r="M259" s="43">
        <f t="shared" si="36"/>
        <v>238</v>
      </c>
      <c r="N259" s="43">
        <f t="shared" si="37"/>
        <v>1</v>
      </c>
      <c r="O259" s="43">
        <f t="shared" si="38"/>
        <v>0</v>
      </c>
      <c r="P259" s="113" t="e">
        <f t="shared" si="39"/>
        <v>#DIV/0!</v>
      </c>
      <c r="Q259" s="113" t="e">
        <f t="shared" si="40"/>
        <v>#DIV/0!</v>
      </c>
      <c r="R259" s="113" t="e">
        <f t="shared" si="41"/>
        <v>#DIV/0!</v>
      </c>
      <c r="S259" s="113" t="e">
        <f t="shared" si="42"/>
        <v>#DIV/0!</v>
      </c>
      <c r="T259" s="43">
        <f t="shared" si="35"/>
        <v>0</v>
      </c>
      <c r="U259" s="43"/>
      <c r="V259" s="525" t="e">
        <f>P259*('upper bound Kenaga'!$F$36/100)</f>
        <v>#DIV/0!</v>
      </c>
      <c r="W259" s="43"/>
      <c r="X259" s="525" t="e">
        <f>P259*('upper bound Kenaga'!$F$96/100)</f>
        <v>#DIV/0!</v>
      </c>
      <c r="Y259" s="43"/>
      <c r="Z259" s="43"/>
      <c r="AA259" s="43"/>
      <c r="AB259" s="43"/>
      <c r="AC259" s="43"/>
      <c r="AD259" s="43"/>
    </row>
    <row r="260" spans="11:30" ht="12.75">
      <c r="K260" s="43"/>
      <c r="L260" s="43"/>
      <c r="M260" s="43">
        <f t="shared" si="36"/>
        <v>239</v>
      </c>
      <c r="N260" s="43">
        <f t="shared" si="37"/>
        <v>1</v>
      </c>
      <c r="O260" s="43">
        <f t="shared" si="38"/>
        <v>0</v>
      </c>
      <c r="P260" s="113" t="e">
        <f t="shared" si="39"/>
        <v>#DIV/0!</v>
      </c>
      <c r="Q260" s="113" t="e">
        <f t="shared" si="40"/>
        <v>#DIV/0!</v>
      </c>
      <c r="R260" s="113" t="e">
        <f t="shared" si="41"/>
        <v>#DIV/0!</v>
      </c>
      <c r="S260" s="113" t="e">
        <f t="shared" si="42"/>
        <v>#DIV/0!</v>
      </c>
      <c r="T260" s="43">
        <f t="shared" si="35"/>
        <v>0</v>
      </c>
      <c r="U260" s="43"/>
      <c r="V260" s="525" t="e">
        <f>P260*('upper bound Kenaga'!$F$36/100)</f>
        <v>#DIV/0!</v>
      </c>
      <c r="W260" s="43"/>
      <c r="X260" s="525" t="e">
        <f>P260*('upper bound Kenaga'!$F$96/100)</f>
        <v>#DIV/0!</v>
      </c>
      <c r="Y260" s="43"/>
      <c r="Z260" s="43"/>
      <c r="AA260" s="43"/>
      <c r="AB260" s="43"/>
      <c r="AC260" s="43"/>
      <c r="AD260" s="43"/>
    </row>
    <row r="261" spans="11:30" ht="12.75">
      <c r="K261" s="43"/>
      <c r="L261" s="43"/>
      <c r="M261" s="43">
        <f t="shared" si="36"/>
        <v>240</v>
      </c>
      <c r="N261" s="43">
        <f t="shared" si="37"/>
        <v>1</v>
      </c>
      <c r="O261" s="43">
        <f t="shared" si="38"/>
        <v>0</v>
      </c>
      <c r="P261" s="113" t="e">
        <f t="shared" si="39"/>
        <v>#DIV/0!</v>
      </c>
      <c r="Q261" s="113" t="e">
        <f t="shared" si="40"/>
        <v>#DIV/0!</v>
      </c>
      <c r="R261" s="113" t="e">
        <f t="shared" si="41"/>
        <v>#DIV/0!</v>
      </c>
      <c r="S261" s="113" t="e">
        <f t="shared" si="42"/>
        <v>#DIV/0!</v>
      </c>
      <c r="T261" s="43">
        <f t="shared" si="35"/>
        <v>0</v>
      </c>
      <c r="U261" s="43"/>
      <c r="V261" s="525" t="e">
        <f>P261*('upper bound Kenaga'!$F$36/100)</f>
        <v>#DIV/0!</v>
      </c>
      <c r="W261" s="43"/>
      <c r="X261" s="525" t="e">
        <f>P261*('upper bound Kenaga'!$F$96/100)</f>
        <v>#DIV/0!</v>
      </c>
      <c r="Y261" s="43"/>
      <c r="Z261" s="43"/>
      <c r="AA261" s="43"/>
      <c r="AB261" s="43"/>
      <c r="AC261" s="43"/>
      <c r="AD261" s="43"/>
    </row>
    <row r="262" spans="11:30" ht="12.75">
      <c r="K262" s="43"/>
      <c r="L262" s="43"/>
      <c r="M262" s="43">
        <f t="shared" si="36"/>
        <v>241</v>
      </c>
      <c r="N262" s="43">
        <f t="shared" si="37"/>
        <v>1</v>
      </c>
      <c r="O262" s="43">
        <f t="shared" si="38"/>
        <v>0</v>
      </c>
      <c r="P262" s="113" t="e">
        <f t="shared" si="39"/>
        <v>#DIV/0!</v>
      </c>
      <c r="Q262" s="113" t="e">
        <f t="shared" si="40"/>
        <v>#DIV/0!</v>
      </c>
      <c r="R262" s="113" t="e">
        <f t="shared" si="41"/>
        <v>#DIV/0!</v>
      </c>
      <c r="S262" s="113" t="e">
        <f t="shared" si="42"/>
        <v>#DIV/0!</v>
      </c>
      <c r="T262" s="43">
        <f t="shared" si="35"/>
        <v>0</v>
      </c>
      <c r="U262" s="43"/>
      <c r="V262" s="525" t="e">
        <f>P262*('upper bound Kenaga'!$F$36/100)</f>
        <v>#DIV/0!</v>
      </c>
      <c r="W262" s="43"/>
      <c r="X262" s="525" t="e">
        <f>P262*('upper bound Kenaga'!$F$96/100)</f>
        <v>#DIV/0!</v>
      </c>
      <c r="Y262" s="43"/>
      <c r="Z262" s="43"/>
      <c r="AA262" s="43"/>
      <c r="AB262" s="43"/>
      <c r="AC262" s="43"/>
      <c r="AD262" s="43"/>
    </row>
    <row r="263" spans="11:30" ht="12.75">
      <c r="K263" s="43"/>
      <c r="L263" s="43"/>
      <c r="M263" s="43">
        <f t="shared" si="36"/>
        <v>242</v>
      </c>
      <c r="N263" s="43">
        <f t="shared" si="37"/>
        <v>1</v>
      </c>
      <c r="O263" s="43">
        <f t="shared" si="38"/>
        <v>0</v>
      </c>
      <c r="P263" s="113" t="e">
        <f t="shared" si="39"/>
        <v>#DIV/0!</v>
      </c>
      <c r="Q263" s="113" t="e">
        <f t="shared" si="40"/>
        <v>#DIV/0!</v>
      </c>
      <c r="R263" s="113" t="e">
        <f t="shared" si="41"/>
        <v>#DIV/0!</v>
      </c>
      <c r="S263" s="113" t="e">
        <f t="shared" si="42"/>
        <v>#DIV/0!</v>
      </c>
      <c r="T263" s="43">
        <f t="shared" si="35"/>
        <v>0</v>
      </c>
      <c r="U263" s="43"/>
      <c r="V263" s="525" t="e">
        <f>P263*('upper bound Kenaga'!$F$36/100)</f>
        <v>#DIV/0!</v>
      </c>
      <c r="W263" s="43"/>
      <c r="X263" s="525" t="e">
        <f>P263*('upper bound Kenaga'!$F$96/100)</f>
        <v>#DIV/0!</v>
      </c>
      <c r="Y263" s="43"/>
      <c r="Z263" s="43"/>
      <c r="AA263" s="43"/>
      <c r="AB263" s="43"/>
      <c r="AC263" s="43"/>
      <c r="AD263" s="43"/>
    </row>
    <row r="264" spans="11:30" ht="12.75">
      <c r="K264" s="43"/>
      <c r="L264" s="43"/>
      <c r="M264" s="43">
        <f t="shared" si="36"/>
        <v>243</v>
      </c>
      <c r="N264" s="43">
        <f t="shared" si="37"/>
        <v>1</v>
      </c>
      <c r="O264" s="43">
        <f t="shared" si="38"/>
        <v>0</v>
      </c>
      <c r="P264" s="113" t="e">
        <f t="shared" si="39"/>
        <v>#DIV/0!</v>
      </c>
      <c r="Q264" s="113" t="e">
        <f t="shared" si="40"/>
        <v>#DIV/0!</v>
      </c>
      <c r="R264" s="113" t="e">
        <f t="shared" si="41"/>
        <v>#DIV/0!</v>
      </c>
      <c r="S264" s="113" t="e">
        <f t="shared" si="42"/>
        <v>#DIV/0!</v>
      </c>
      <c r="T264" s="43">
        <f t="shared" si="35"/>
        <v>0</v>
      </c>
      <c r="U264" s="43"/>
      <c r="V264" s="525" t="e">
        <f>P264*('upper bound Kenaga'!$F$36/100)</f>
        <v>#DIV/0!</v>
      </c>
      <c r="W264" s="43"/>
      <c r="X264" s="525" t="e">
        <f>P264*('upper bound Kenaga'!$F$96/100)</f>
        <v>#DIV/0!</v>
      </c>
      <c r="Y264" s="43"/>
      <c r="Z264" s="43"/>
      <c r="AA264" s="43"/>
      <c r="AB264" s="43"/>
      <c r="AC264" s="43"/>
      <c r="AD264" s="43"/>
    </row>
    <row r="265" spans="11:30" ht="12.75">
      <c r="K265" s="43"/>
      <c r="L265" s="43"/>
      <c r="M265" s="43">
        <f t="shared" si="36"/>
        <v>244</v>
      </c>
      <c r="N265" s="43">
        <f t="shared" si="37"/>
        <v>1</v>
      </c>
      <c r="O265" s="43">
        <f t="shared" si="38"/>
        <v>0</v>
      </c>
      <c r="P265" s="113" t="e">
        <f t="shared" si="39"/>
        <v>#DIV/0!</v>
      </c>
      <c r="Q265" s="113" t="e">
        <f t="shared" si="40"/>
        <v>#DIV/0!</v>
      </c>
      <c r="R265" s="113" t="e">
        <f t="shared" si="41"/>
        <v>#DIV/0!</v>
      </c>
      <c r="S265" s="113" t="e">
        <f t="shared" si="42"/>
        <v>#DIV/0!</v>
      </c>
      <c r="T265" s="43">
        <f t="shared" si="35"/>
        <v>0</v>
      </c>
      <c r="U265" s="43"/>
      <c r="V265" s="525" t="e">
        <f>P265*('upper bound Kenaga'!$F$36/100)</f>
        <v>#DIV/0!</v>
      </c>
      <c r="W265" s="43"/>
      <c r="X265" s="525" t="e">
        <f>P265*('upper bound Kenaga'!$F$96/100)</f>
        <v>#DIV/0!</v>
      </c>
      <c r="Y265" s="43"/>
      <c r="Z265" s="43"/>
      <c r="AA265" s="43"/>
      <c r="AB265" s="43"/>
      <c r="AC265" s="43"/>
      <c r="AD265" s="43"/>
    </row>
    <row r="266" spans="11:30" ht="12.75">
      <c r="K266" s="43"/>
      <c r="L266" s="43"/>
      <c r="M266" s="43">
        <f t="shared" si="36"/>
        <v>245</v>
      </c>
      <c r="N266" s="43">
        <f t="shared" si="37"/>
        <v>1</v>
      </c>
      <c r="O266" s="43">
        <f t="shared" si="38"/>
        <v>0</v>
      </c>
      <c r="P266" s="113" t="e">
        <f t="shared" si="39"/>
        <v>#DIV/0!</v>
      </c>
      <c r="Q266" s="113" t="e">
        <f t="shared" si="40"/>
        <v>#DIV/0!</v>
      </c>
      <c r="R266" s="113" t="e">
        <f t="shared" si="41"/>
        <v>#DIV/0!</v>
      </c>
      <c r="S266" s="113" t="e">
        <f t="shared" si="42"/>
        <v>#DIV/0!</v>
      </c>
      <c r="T266" s="43">
        <f t="shared" si="35"/>
        <v>0</v>
      </c>
      <c r="U266" s="43"/>
      <c r="V266" s="525" t="e">
        <f>P266*('upper bound Kenaga'!$F$36/100)</f>
        <v>#DIV/0!</v>
      </c>
      <c r="W266" s="43"/>
      <c r="X266" s="525" t="e">
        <f>P266*('upper bound Kenaga'!$F$96/100)</f>
        <v>#DIV/0!</v>
      </c>
      <c r="Y266" s="43"/>
      <c r="Z266" s="43"/>
      <c r="AA266" s="43"/>
      <c r="AB266" s="43"/>
      <c r="AC266" s="43"/>
      <c r="AD266" s="43"/>
    </row>
    <row r="267" spans="11:30" ht="12.75">
      <c r="K267" s="43"/>
      <c r="L267" s="43"/>
      <c r="M267" s="43">
        <f t="shared" si="36"/>
        <v>246</v>
      </c>
      <c r="N267" s="43">
        <f t="shared" si="37"/>
        <v>1</v>
      </c>
      <c r="O267" s="43">
        <f t="shared" si="38"/>
        <v>0</v>
      </c>
      <c r="P267" s="113" t="e">
        <f t="shared" si="39"/>
        <v>#DIV/0!</v>
      </c>
      <c r="Q267" s="113" t="e">
        <f t="shared" si="40"/>
        <v>#DIV/0!</v>
      </c>
      <c r="R267" s="113" t="e">
        <f t="shared" si="41"/>
        <v>#DIV/0!</v>
      </c>
      <c r="S267" s="113" t="e">
        <f t="shared" si="42"/>
        <v>#DIV/0!</v>
      </c>
      <c r="T267" s="43">
        <f t="shared" si="35"/>
        <v>0</v>
      </c>
      <c r="U267" s="43"/>
      <c r="V267" s="525" t="e">
        <f>P267*('upper bound Kenaga'!$F$36/100)</f>
        <v>#DIV/0!</v>
      </c>
      <c r="W267" s="43"/>
      <c r="X267" s="525" t="e">
        <f>P267*('upper bound Kenaga'!$F$96/100)</f>
        <v>#DIV/0!</v>
      </c>
      <c r="Y267" s="43"/>
      <c r="Z267" s="43"/>
      <c r="AA267" s="43"/>
      <c r="AB267" s="43"/>
      <c r="AC267" s="43"/>
      <c r="AD267" s="43"/>
    </row>
    <row r="268" spans="11:30" ht="12.75">
      <c r="K268" s="43"/>
      <c r="L268" s="43"/>
      <c r="M268" s="43">
        <f t="shared" si="36"/>
        <v>247</v>
      </c>
      <c r="N268" s="43">
        <f t="shared" si="37"/>
        <v>1</v>
      </c>
      <c r="O268" s="43">
        <f t="shared" si="38"/>
        <v>0</v>
      </c>
      <c r="P268" s="113" t="e">
        <f t="shared" si="39"/>
        <v>#DIV/0!</v>
      </c>
      <c r="Q268" s="113" t="e">
        <f t="shared" si="40"/>
        <v>#DIV/0!</v>
      </c>
      <c r="R268" s="113" t="e">
        <f t="shared" si="41"/>
        <v>#DIV/0!</v>
      </c>
      <c r="S268" s="113" t="e">
        <f t="shared" si="42"/>
        <v>#DIV/0!</v>
      </c>
      <c r="T268" s="43">
        <f t="shared" si="35"/>
        <v>0</v>
      </c>
      <c r="U268" s="43"/>
      <c r="V268" s="525" t="e">
        <f>P268*('upper bound Kenaga'!$F$36/100)</f>
        <v>#DIV/0!</v>
      </c>
      <c r="W268" s="43"/>
      <c r="X268" s="525" t="e">
        <f>P268*('upper bound Kenaga'!$F$96/100)</f>
        <v>#DIV/0!</v>
      </c>
      <c r="Y268" s="43"/>
      <c r="Z268" s="43"/>
      <c r="AA268" s="43"/>
      <c r="AB268" s="43"/>
      <c r="AC268" s="43"/>
      <c r="AD268" s="43"/>
    </row>
    <row r="269" spans="11:30" ht="12.75">
      <c r="K269" s="43"/>
      <c r="L269" s="43"/>
      <c r="M269" s="43">
        <f t="shared" si="36"/>
        <v>248</v>
      </c>
      <c r="N269" s="43">
        <f t="shared" si="37"/>
        <v>1</v>
      </c>
      <c r="O269" s="43">
        <f t="shared" si="38"/>
        <v>0</v>
      </c>
      <c r="P269" s="113" t="e">
        <f t="shared" si="39"/>
        <v>#DIV/0!</v>
      </c>
      <c r="Q269" s="113" t="e">
        <f t="shared" si="40"/>
        <v>#DIV/0!</v>
      </c>
      <c r="R269" s="113" t="e">
        <f t="shared" si="41"/>
        <v>#DIV/0!</v>
      </c>
      <c r="S269" s="113" t="e">
        <f t="shared" si="42"/>
        <v>#DIV/0!</v>
      </c>
      <c r="T269" s="43">
        <f t="shared" si="35"/>
        <v>0</v>
      </c>
      <c r="U269" s="43"/>
      <c r="V269" s="525" t="e">
        <f>P269*('upper bound Kenaga'!$F$36/100)</f>
        <v>#DIV/0!</v>
      </c>
      <c r="W269" s="43"/>
      <c r="X269" s="525" t="e">
        <f>P269*('upper bound Kenaga'!$F$96/100)</f>
        <v>#DIV/0!</v>
      </c>
      <c r="Y269" s="43"/>
      <c r="Z269" s="43"/>
      <c r="AA269" s="43"/>
      <c r="AB269" s="43"/>
      <c r="AC269" s="43"/>
      <c r="AD269" s="43"/>
    </row>
    <row r="270" spans="11:30" ht="12.75">
      <c r="K270" s="43"/>
      <c r="L270" s="43"/>
      <c r="M270" s="43">
        <f t="shared" si="36"/>
        <v>249</v>
      </c>
      <c r="N270" s="43">
        <f t="shared" si="37"/>
        <v>1</v>
      </c>
      <c r="O270" s="43">
        <f t="shared" si="38"/>
        <v>0</v>
      </c>
      <c r="P270" s="113" t="e">
        <f t="shared" si="39"/>
        <v>#DIV/0!</v>
      </c>
      <c r="Q270" s="113" t="e">
        <f t="shared" si="40"/>
        <v>#DIV/0!</v>
      </c>
      <c r="R270" s="113" t="e">
        <f t="shared" si="41"/>
        <v>#DIV/0!</v>
      </c>
      <c r="S270" s="113" t="e">
        <f t="shared" si="42"/>
        <v>#DIV/0!</v>
      </c>
      <c r="T270" s="43">
        <f t="shared" si="35"/>
        <v>0</v>
      </c>
      <c r="U270" s="43"/>
      <c r="V270" s="525" t="e">
        <f>P270*('upper bound Kenaga'!$F$36/100)</f>
        <v>#DIV/0!</v>
      </c>
      <c r="W270" s="43"/>
      <c r="X270" s="525" t="e">
        <f>P270*('upper bound Kenaga'!$F$96/100)</f>
        <v>#DIV/0!</v>
      </c>
      <c r="Y270" s="43"/>
      <c r="Z270" s="43"/>
      <c r="AA270" s="43"/>
      <c r="AB270" s="43"/>
      <c r="AC270" s="43"/>
      <c r="AD270" s="43"/>
    </row>
    <row r="271" spans="11:30" ht="12.75">
      <c r="K271" s="43"/>
      <c r="L271" s="43"/>
      <c r="M271" s="43">
        <f t="shared" si="36"/>
        <v>250</v>
      </c>
      <c r="N271" s="43">
        <f t="shared" si="37"/>
        <v>1</v>
      </c>
      <c r="O271" s="43">
        <f t="shared" si="38"/>
        <v>0</v>
      </c>
      <c r="P271" s="113" t="e">
        <f t="shared" si="39"/>
        <v>#DIV/0!</v>
      </c>
      <c r="Q271" s="113" t="e">
        <f t="shared" si="40"/>
        <v>#DIV/0!</v>
      </c>
      <c r="R271" s="113" t="e">
        <f t="shared" si="41"/>
        <v>#DIV/0!</v>
      </c>
      <c r="S271" s="113" t="e">
        <f t="shared" si="42"/>
        <v>#DIV/0!</v>
      </c>
      <c r="T271" s="43">
        <f t="shared" si="35"/>
        <v>0</v>
      </c>
      <c r="U271" s="43"/>
      <c r="V271" s="525" t="e">
        <f>P271*('upper bound Kenaga'!$F$36/100)</f>
        <v>#DIV/0!</v>
      </c>
      <c r="W271" s="43"/>
      <c r="X271" s="525" t="e">
        <f>P271*('upper bound Kenaga'!$F$96/100)</f>
        <v>#DIV/0!</v>
      </c>
      <c r="Y271" s="43"/>
      <c r="Z271" s="43"/>
      <c r="AA271" s="43"/>
      <c r="AB271" s="43"/>
      <c r="AC271" s="43"/>
      <c r="AD271" s="43"/>
    </row>
    <row r="272" spans="11:30" ht="12.75">
      <c r="K272" s="43"/>
      <c r="L272" s="43"/>
      <c r="M272" s="43">
        <f t="shared" si="36"/>
        <v>251</v>
      </c>
      <c r="N272" s="43">
        <f t="shared" si="37"/>
        <v>1</v>
      </c>
      <c r="O272" s="43">
        <f t="shared" si="38"/>
        <v>0</v>
      </c>
      <c r="P272" s="113" t="e">
        <f t="shared" si="39"/>
        <v>#DIV/0!</v>
      </c>
      <c r="Q272" s="113" t="e">
        <f t="shared" si="40"/>
        <v>#DIV/0!</v>
      </c>
      <c r="R272" s="113" t="e">
        <f t="shared" si="41"/>
        <v>#DIV/0!</v>
      </c>
      <c r="S272" s="113" t="e">
        <f t="shared" si="42"/>
        <v>#DIV/0!</v>
      </c>
      <c r="T272" s="43">
        <f t="shared" si="35"/>
        <v>0</v>
      </c>
      <c r="U272" s="43"/>
      <c r="V272" s="525" t="e">
        <f>P272*('upper bound Kenaga'!$F$36/100)</f>
        <v>#DIV/0!</v>
      </c>
      <c r="W272" s="43"/>
      <c r="X272" s="525" t="e">
        <f>P272*('upper bound Kenaga'!$F$96/100)</f>
        <v>#DIV/0!</v>
      </c>
      <c r="Y272" s="43"/>
      <c r="Z272" s="43"/>
      <c r="AA272" s="43"/>
      <c r="AB272" s="43"/>
      <c r="AC272" s="43"/>
      <c r="AD272" s="43"/>
    </row>
    <row r="273" spans="11:30" ht="12.75">
      <c r="K273" s="43"/>
      <c r="L273" s="43"/>
      <c r="M273" s="43">
        <f t="shared" si="36"/>
        <v>252</v>
      </c>
      <c r="N273" s="43">
        <f t="shared" si="37"/>
        <v>1</v>
      </c>
      <c r="O273" s="43">
        <f t="shared" si="38"/>
        <v>0</v>
      </c>
      <c r="P273" s="113" t="e">
        <f t="shared" si="39"/>
        <v>#DIV/0!</v>
      </c>
      <c r="Q273" s="113" t="e">
        <f t="shared" si="40"/>
        <v>#DIV/0!</v>
      </c>
      <c r="R273" s="113" t="e">
        <f t="shared" si="41"/>
        <v>#DIV/0!</v>
      </c>
      <c r="S273" s="113" t="e">
        <f t="shared" si="42"/>
        <v>#DIV/0!</v>
      </c>
      <c r="T273" s="43">
        <f t="shared" si="35"/>
        <v>0</v>
      </c>
      <c r="U273" s="43"/>
      <c r="V273" s="525" t="e">
        <f>P273*('upper bound Kenaga'!$F$36/100)</f>
        <v>#DIV/0!</v>
      </c>
      <c r="W273" s="43"/>
      <c r="X273" s="525" t="e">
        <f>P273*('upper bound Kenaga'!$F$96/100)</f>
        <v>#DIV/0!</v>
      </c>
      <c r="Y273" s="43"/>
      <c r="Z273" s="43"/>
      <c r="AA273" s="43"/>
      <c r="AB273" s="43"/>
      <c r="AC273" s="43"/>
      <c r="AD273" s="43"/>
    </row>
    <row r="274" spans="11:30" ht="12.75">
      <c r="K274" s="43"/>
      <c r="L274" s="43"/>
      <c r="M274" s="43">
        <f t="shared" si="36"/>
        <v>253</v>
      </c>
      <c r="N274" s="43">
        <f t="shared" si="37"/>
        <v>1</v>
      </c>
      <c r="O274" s="43">
        <f t="shared" si="38"/>
        <v>0</v>
      </c>
      <c r="P274" s="113" t="e">
        <f t="shared" si="39"/>
        <v>#DIV/0!</v>
      </c>
      <c r="Q274" s="113" t="e">
        <f t="shared" si="40"/>
        <v>#DIV/0!</v>
      </c>
      <c r="R274" s="113" t="e">
        <f t="shared" si="41"/>
        <v>#DIV/0!</v>
      </c>
      <c r="S274" s="113" t="e">
        <f t="shared" si="42"/>
        <v>#DIV/0!</v>
      </c>
      <c r="T274" s="43">
        <f t="shared" si="35"/>
        <v>0</v>
      </c>
      <c r="U274" s="43"/>
      <c r="V274" s="525" t="e">
        <f>P274*('upper bound Kenaga'!$F$36/100)</f>
        <v>#DIV/0!</v>
      </c>
      <c r="W274" s="43"/>
      <c r="X274" s="525" t="e">
        <f>P274*('upper bound Kenaga'!$F$96/100)</f>
        <v>#DIV/0!</v>
      </c>
      <c r="Y274" s="43"/>
      <c r="Z274" s="43"/>
      <c r="AA274" s="43"/>
      <c r="AB274" s="43"/>
      <c r="AC274" s="43"/>
      <c r="AD274" s="43"/>
    </row>
    <row r="275" spans="11:30" ht="12.75">
      <c r="K275" s="43"/>
      <c r="L275" s="43"/>
      <c r="M275" s="43">
        <f t="shared" si="36"/>
        <v>254</v>
      </c>
      <c r="N275" s="43">
        <f t="shared" si="37"/>
        <v>1</v>
      </c>
      <c r="O275" s="43">
        <f t="shared" si="38"/>
        <v>0</v>
      </c>
      <c r="P275" s="113" t="e">
        <f t="shared" si="39"/>
        <v>#DIV/0!</v>
      </c>
      <c r="Q275" s="113" t="e">
        <f t="shared" si="40"/>
        <v>#DIV/0!</v>
      </c>
      <c r="R275" s="113" t="e">
        <f t="shared" si="41"/>
        <v>#DIV/0!</v>
      </c>
      <c r="S275" s="113" t="e">
        <f t="shared" si="42"/>
        <v>#DIV/0!</v>
      </c>
      <c r="T275" s="43">
        <f t="shared" si="35"/>
        <v>0</v>
      </c>
      <c r="U275" s="43"/>
      <c r="V275" s="525" t="e">
        <f>P275*('upper bound Kenaga'!$F$36/100)</f>
        <v>#DIV/0!</v>
      </c>
      <c r="W275" s="43"/>
      <c r="X275" s="525" t="e">
        <f>P275*('upper bound Kenaga'!$F$96/100)</f>
        <v>#DIV/0!</v>
      </c>
      <c r="Y275" s="43"/>
      <c r="Z275" s="43"/>
      <c r="AA275" s="43"/>
      <c r="AB275" s="43"/>
      <c r="AC275" s="43"/>
      <c r="AD275" s="43"/>
    </row>
    <row r="276" spans="11:30" ht="12.75">
      <c r="K276" s="43"/>
      <c r="L276" s="43"/>
      <c r="M276" s="43">
        <f t="shared" si="36"/>
        <v>255</v>
      </c>
      <c r="N276" s="43">
        <f t="shared" si="37"/>
        <v>1</v>
      </c>
      <c r="O276" s="43">
        <f t="shared" si="38"/>
        <v>0</v>
      </c>
      <c r="P276" s="113" t="e">
        <f t="shared" si="39"/>
        <v>#DIV/0!</v>
      </c>
      <c r="Q276" s="113" t="e">
        <f t="shared" si="40"/>
        <v>#DIV/0!</v>
      </c>
      <c r="R276" s="113" t="e">
        <f t="shared" si="41"/>
        <v>#DIV/0!</v>
      </c>
      <c r="S276" s="113" t="e">
        <f t="shared" si="42"/>
        <v>#DIV/0!</v>
      </c>
      <c r="T276" s="43">
        <f t="shared" si="35"/>
        <v>0</v>
      </c>
      <c r="U276" s="43"/>
      <c r="V276" s="525" t="e">
        <f>P276*('upper bound Kenaga'!$F$36/100)</f>
        <v>#DIV/0!</v>
      </c>
      <c r="W276" s="43"/>
      <c r="X276" s="525" t="e">
        <f>P276*('upper bound Kenaga'!$F$96/100)</f>
        <v>#DIV/0!</v>
      </c>
      <c r="Y276" s="43"/>
      <c r="Z276" s="43"/>
      <c r="AA276" s="43"/>
      <c r="AB276" s="43"/>
      <c r="AC276" s="43"/>
      <c r="AD276" s="43"/>
    </row>
    <row r="277" spans="11:30" ht="12.75">
      <c r="K277" s="43"/>
      <c r="L277" s="43"/>
      <c r="M277" s="43">
        <f t="shared" si="36"/>
        <v>256</v>
      </c>
      <c r="N277" s="43">
        <f t="shared" si="37"/>
        <v>1</v>
      </c>
      <c r="O277" s="43">
        <f t="shared" si="38"/>
        <v>0</v>
      </c>
      <c r="P277" s="113" t="e">
        <f t="shared" si="39"/>
        <v>#DIV/0!</v>
      </c>
      <c r="Q277" s="113" t="e">
        <f t="shared" si="40"/>
        <v>#DIV/0!</v>
      </c>
      <c r="R277" s="113" t="e">
        <f t="shared" si="41"/>
        <v>#DIV/0!</v>
      </c>
      <c r="S277" s="113" t="e">
        <f t="shared" si="42"/>
        <v>#DIV/0!</v>
      </c>
      <c r="T277" s="43">
        <f t="shared" si="35"/>
        <v>0</v>
      </c>
      <c r="U277" s="43"/>
      <c r="V277" s="525" t="e">
        <f>P277*('upper bound Kenaga'!$F$36/100)</f>
        <v>#DIV/0!</v>
      </c>
      <c r="W277" s="43"/>
      <c r="X277" s="525" t="e">
        <f>P277*('upper bound Kenaga'!$F$96/100)</f>
        <v>#DIV/0!</v>
      </c>
      <c r="Y277" s="43"/>
      <c r="Z277" s="43"/>
      <c r="AA277" s="43"/>
      <c r="AB277" s="43"/>
      <c r="AC277" s="43"/>
      <c r="AD277" s="43"/>
    </row>
    <row r="278" spans="11:30" ht="12.75">
      <c r="K278" s="43"/>
      <c r="L278" s="43"/>
      <c r="M278" s="43">
        <f t="shared" si="36"/>
        <v>257</v>
      </c>
      <c r="N278" s="43">
        <f t="shared" si="37"/>
        <v>1</v>
      </c>
      <c r="O278" s="43">
        <f t="shared" si="38"/>
        <v>0</v>
      </c>
      <c r="P278" s="113" t="e">
        <f t="shared" si="39"/>
        <v>#DIV/0!</v>
      </c>
      <c r="Q278" s="113" t="e">
        <f t="shared" si="40"/>
        <v>#DIV/0!</v>
      </c>
      <c r="R278" s="113" t="e">
        <f t="shared" si="41"/>
        <v>#DIV/0!</v>
      </c>
      <c r="S278" s="113" t="e">
        <f t="shared" si="42"/>
        <v>#DIV/0!</v>
      </c>
      <c r="T278" s="43">
        <f t="shared" si="35"/>
        <v>0</v>
      </c>
      <c r="U278" s="43"/>
      <c r="V278" s="525" t="e">
        <f>P278*('upper bound Kenaga'!$F$36/100)</f>
        <v>#DIV/0!</v>
      </c>
      <c r="W278" s="43"/>
      <c r="X278" s="525" t="e">
        <f>P278*('upper bound Kenaga'!$F$96/100)</f>
        <v>#DIV/0!</v>
      </c>
      <c r="Y278" s="43"/>
      <c r="Z278" s="43"/>
      <c r="AA278" s="43"/>
      <c r="AB278" s="43"/>
      <c r="AC278" s="43"/>
      <c r="AD278" s="43"/>
    </row>
    <row r="279" spans="11:30" ht="12.75">
      <c r="K279" s="43"/>
      <c r="L279" s="43"/>
      <c r="M279" s="43">
        <f t="shared" si="36"/>
        <v>258</v>
      </c>
      <c r="N279" s="43">
        <f t="shared" si="37"/>
        <v>1</v>
      </c>
      <c r="O279" s="43">
        <f t="shared" si="38"/>
        <v>0</v>
      </c>
      <c r="P279" s="113" t="e">
        <f t="shared" si="39"/>
        <v>#DIV/0!</v>
      </c>
      <c r="Q279" s="113" t="e">
        <f t="shared" si="40"/>
        <v>#DIV/0!</v>
      </c>
      <c r="R279" s="113" t="e">
        <f t="shared" si="41"/>
        <v>#DIV/0!</v>
      </c>
      <c r="S279" s="113" t="e">
        <f t="shared" si="42"/>
        <v>#DIV/0!</v>
      </c>
      <c r="T279" s="43">
        <f t="shared" si="35"/>
        <v>0</v>
      </c>
      <c r="U279" s="43"/>
      <c r="V279" s="525" t="e">
        <f>P279*('upper bound Kenaga'!$F$36/100)</f>
        <v>#DIV/0!</v>
      </c>
      <c r="W279" s="43"/>
      <c r="X279" s="525" t="e">
        <f>P279*('upper bound Kenaga'!$F$96/100)</f>
        <v>#DIV/0!</v>
      </c>
      <c r="Y279" s="43"/>
      <c r="Z279" s="43"/>
      <c r="AA279" s="43"/>
      <c r="AB279" s="43"/>
      <c r="AC279" s="43"/>
      <c r="AD279" s="43"/>
    </row>
    <row r="280" spans="11:30" ht="12.75">
      <c r="K280" s="43"/>
      <c r="L280" s="43"/>
      <c r="M280" s="43">
        <f t="shared" si="36"/>
        <v>259</v>
      </c>
      <c r="N280" s="43">
        <f t="shared" si="37"/>
        <v>1</v>
      </c>
      <c r="O280" s="43">
        <f t="shared" si="38"/>
        <v>0</v>
      </c>
      <c r="P280" s="113" t="e">
        <f t="shared" si="39"/>
        <v>#DIV/0!</v>
      </c>
      <c r="Q280" s="113" t="e">
        <f t="shared" si="40"/>
        <v>#DIV/0!</v>
      </c>
      <c r="R280" s="113" t="e">
        <f t="shared" si="41"/>
        <v>#DIV/0!</v>
      </c>
      <c r="S280" s="113" t="e">
        <f t="shared" si="42"/>
        <v>#DIV/0!</v>
      </c>
      <c r="T280" s="43">
        <f t="shared" si="35"/>
        <v>0</v>
      </c>
      <c r="U280" s="43"/>
      <c r="V280" s="525" t="e">
        <f>P280*('upper bound Kenaga'!$F$36/100)</f>
        <v>#DIV/0!</v>
      </c>
      <c r="W280" s="43"/>
      <c r="X280" s="525" t="e">
        <f>P280*('upper bound Kenaga'!$F$96/100)</f>
        <v>#DIV/0!</v>
      </c>
      <c r="Y280" s="43"/>
      <c r="Z280" s="43"/>
      <c r="AA280" s="43"/>
      <c r="AB280" s="43"/>
      <c r="AC280" s="43"/>
      <c r="AD280" s="43"/>
    </row>
    <row r="281" spans="11:30" ht="12.75">
      <c r="K281" s="43"/>
      <c r="L281" s="43"/>
      <c r="M281" s="43">
        <f t="shared" si="36"/>
        <v>260</v>
      </c>
      <c r="N281" s="43">
        <f t="shared" si="37"/>
        <v>1</v>
      </c>
      <c r="O281" s="43">
        <f t="shared" si="38"/>
        <v>0</v>
      </c>
      <c r="P281" s="113" t="e">
        <f t="shared" si="39"/>
        <v>#DIV/0!</v>
      </c>
      <c r="Q281" s="113" t="e">
        <f t="shared" si="40"/>
        <v>#DIV/0!</v>
      </c>
      <c r="R281" s="113" t="e">
        <f t="shared" si="41"/>
        <v>#DIV/0!</v>
      </c>
      <c r="S281" s="113" t="e">
        <f t="shared" si="42"/>
        <v>#DIV/0!</v>
      </c>
      <c r="T281" s="43">
        <f t="shared" si="35"/>
        <v>0</v>
      </c>
      <c r="U281" s="43"/>
      <c r="V281" s="525" t="e">
        <f>P281*('upper bound Kenaga'!$F$36/100)</f>
        <v>#DIV/0!</v>
      </c>
      <c r="W281" s="43"/>
      <c r="X281" s="525" t="e">
        <f>P281*('upper bound Kenaga'!$F$96/100)</f>
        <v>#DIV/0!</v>
      </c>
      <c r="Y281" s="43"/>
      <c r="Z281" s="43"/>
      <c r="AA281" s="43"/>
      <c r="AB281" s="43"/>
      <c r="AC281" s="43"/>
      <c r="AD281" s="43"/>
    </row>
    <row r="282" spans="11:30" ht="12.75">
      <c r="K282" s="43"/>
      <c r="L282" s="43"/>
      <c r="M282" s="43">
        <f t="shared" si="36"/>
        <v>261</v>
      </c>
      <c r="N282" s="43">
        <f t="shared" si="37"/>
        <v>1</v>
      </c>
      <c r="O282" s="43">
        <f t="shared" si="38"/>
        <v>0</v>
      </c>
      <c r="P282" s="113" t="e">
        <f t="shared" si="39"/>
        <v>#DIV/0!</v>
      </c>
      <c r="Q282" s="113" t="e">
        <f t="shared" si="40"/>
        <v>#DIV/0!</v>
      </c>
      <c r="R282" s="113" t="e">
        <f t="shared" si="41"/>
        <v>#DIV/0!</v>
      </c>
      <c r="S282" s="113" t="e">
        <f t="shared" si="42"/>
        <v>#DIV/0!</v>
      </c>
      <c r="T282" s="43">
        <f aca="true" t="shared" si="43" ref="T282:T345">$B$11</f>
        <v>0</v>
      </c>
      <c r="U282" s="43"/>
      <c r="V282" s="525" t="e">
        <f>P282*('upper bound Kenaga'!$F$36/100)</f>
        <v>#DIV/0!</v>
      </c>
      <c r="W282" s="43"/>
      <c r="X282" s="525" t="e">
        <f>P282*('upper bound Kenaga'!$F$96/100)</f>
        <v>#DIV/0!</v>
      </c>
      <c r="Y282" s="43"/>
      <c r="Z282" s="43"/>
      <c r="AA282" s="43"/>
      <c r="AB282" s="43"/>
      <c r="AC282" s="43"/>
      <c r="AD282" s="43"/>
    </row>
    <row r="283" spans="11:30" ht="12.75">
      <c r="K283" s="43"/>
      <c r="L283" s="43"/>
      <c r="M283" s="43">
        <f aca="true" t="shared" si="44" ref="M283:M346">(M282+1)</f>
        <v>262</v>
      </c>
      <c r="N283" s="43">
        <f aca="true" t="shared" si="45" ref="N283:N346">IF($B$9&gt;N282,IF(O282=($B$8-1),(N282+1),(N282)),(N282))</f>
        <v>1</v>
      </c>
      <c r="O283" s="43">
        <f aca="true" t="shared" si="46" ref="O283:O346">IF(O282&lt;($B$8-1),(1+O282),0)</f>
        <v>0</v>
      </c>
      <c r="P283" s="113" t="e">
        <f t="shared" si="39"/>
        <v>#DIV/0!</v>
      </c>
      <c r="Q283" s="113" t="e">
        <f t="shared" si="40"/>
        <v>#DIV/0!</v>
      </c>
      <c r="R283" s="113" t="e">
        <f t="shared" si="41"/>
        <v>#DIV/0!</v>
      </c>
      <c r="S283" s="113" t="e">
        <f t="shared" si="42"/>
        <v>#DIV/0!</v>
      </c>
      <c r="T283" s="43">
        <f t="shared" si="43"/>
        <v>0</v>
      </c>
      <c r="U283" s="43"/>
      <c r="V283" s="525" t="e">
        <f>P283*('upper bound Kenaga'!$F$36/100)</f>
        <v>#DIV/0!</v>
      </c>
      <c r="W283" s="43"/>
      <c r="X283" s="525" t="e">
        <f>P283*('upper bound Kenaga'!$F$96/100)</f>
        <v>#DIV/0!</v>
      </c>
      <c r="Y283" s="43"/>
      <c r="Z283" s="43"/>
      <c r="AA283" s="43"/>
      <c r="AB283" s="43"/>
      <c r="AC283" s="43"/>
      <c r="AD283" s="43"/>
    </row>
    <row r="284" spans="11:30" ht="12.75">
      <c r="K284" s="43"/>
      <c r="L284" s="43"/>
      <c r="M284" s="43">
        <f t="shared" si="44"/>
        <v>263</v>
      </c>
      <c r="N284" s="43">
        <f t="shared" si="45"/>
        <v>1</v>
      </c>
      <c r="O284" s="43">
        <f t="shared" si="46"/>
        <v>0</v>
      </c>
      <c r="P284" s="113" t="e">
        <f t="shared" si="39"/>
        <v>#DIV/0!</v>
      </c>
      <c r="Q284" s="113" t="e">
        <f t="shared" si="40"/>
        <v>#DIV/0!</v>
      </c>
      <c r="R284" s="113" t="e">
        <f t="shared" si="41"/>
        <v>#DIV/0!</v>
      </c>
      <c r="S284" s="113" t="e">
        <f t="shared" si="42"/>
        <v>#DIV/0!</v>
      </c>
      <c r="T284" s="43">
        <f t="shared" si="43"/>
        <v>0</v>
      </c>
      <c r="U284" s="43"/>
      <c r="V284" s="525" t="e">
        <f>P284*('upper bound Kenaga'!$F$36/100)</f>
        <v>#DIV/0!</v>
      </c>
      <c r="W284" s="43"/>
      <c r="X284" s="525" t="e">
        <f>P284*('upper bound Kenaga'!$F$96/100)</f>
        <v>#DIV/0!</v>
      </c>
      <c r="Y284" s="43"/>
      <c r="Z284" s="43"/>
      <c r="AA284" s="43"/>
      <c r="AB284" s="43"/>
      <c r="AC284" s="43"/>
      <c r="AD284" s="43"/>
    </row>
    <row r="285" spans="11:30" ht="12.75">
      <c r="K285" s="43"/>
      <c r="L285" s="43"/>
      <c r="M285" s="43">
        <f t="shared" si="44"/>
        <v>264</v>
      </c>
      <c r="N285" s="43">
        <f t="shared" si="45"/>
        <v>1</v>
      </c>
      <c r="O285" s="43">
        <f t="shared" si="46"/>
        <v>0</v>
      </c>
      <c r="P285" s="113" t="e">
        <f t="shared" si="39"/>
        <v>#DIV/0!</v>
      </c>
      <c r="Q285" s="113" t="e">
        <f t="shared" si="40"/>
        <v>#DIV/0!</v>
      </c>
      <c r="R285" s="113" t="e">
        <f t="shared" si="41"/>
        <v>#DIV/0!</v>
      </c>
      <c r="S285" s="113" t="e">
        <f t="shared" si="42"/>
        <v>#DIV/0!</v>
      </c>
      <c r="T285" s="43">
        <f t="shared" si="43"/>
        <v>0</v>
      </c>
      <c r="U285" s="43"/>
      <c r="V285" s="525" t="e">
        <f>P285*('upper bound Kenaga'!$F$36/100)</f>
        <v>#DIV/0!</v>
      </c>
      <c r="W285" s="43"/>
      <c r="X285" s="525" t="e">
        <f>P285*('upper bound Kenaga'!$F$96/100)</f>
        <v>#DIV/0!</v>
      </c>
      <c r="Y285" s="43"/>
      <c r="Z285" s="43"/>
      <c r="AA285" s="43"/>
      <c r="AB285" s="43"/>
      <c r="AC285" s="43"/>
      <c r="AD285" s="43"/>
    </row>
    <row r="286" spans="11:30" ht="12.75">
      <c r="K286" s="43"/>
      <c r="L286" s="43"/>
      <c r="M286" s="43">
        <f t="shared" si="44"/>
        <v>265</v>
      </c>
      <c r="N286" s="43">
        <f t="shared" si="45"/>
        <v>1</v>
      </c>
      <c r="O286" s="43">
        <f t="shared" si="46"/>
        <v>0</v>
      </c>
      <c r="P286" s="113" t="e">
        <f t="shared" si="39"/>
        <v>#DIV/0!</v>
      </c>
      <c r="Q286" s="113" t="e">
        <f t="shared" si="40"/>
        <v>#DIV/0!</v>
      </c>
      <c r="R286" s="113" t="e">
        <f t="shared" si="41"/>
        <v>#DIV/0!</v>
      </c>
      <c r="S286" s="113" t="e">
        <f t="shared" si="42"/>
        <v>#DIV/0!</v>
      </c>
      <c r="T286" s="43">
        <f t="shared" si="43"/>
        <v>0</v>
      </c>
      <c r="U286" s="43"/>
      <c r="V286" s="525" t="e">
        <f>P286*('upper bound Kenaga'!$F$36/100)</f>
        <v>#DIV/0!</v>
      </c>
      <c r="W286" s="43"/>
      <c r="X286" s="525" t="e">
        <f>P286*('upper bound Kenaga'!$F$96/100)</f>
        <v>#DIV/0!</v>
      </c>
      <c r="Y286" s="43"/>
      <c r="Z286" s="43"/>
      <c r="AA286" s="43"/>
      <c r="AB286" s="43"/>
      <c r="AC286" s="43"/>
      <c r="AD286" s="43"/>
    </row>
    <row r="287" spans="11:30" ht="12.75">
      <c r="K287" s="43"/>
      <c r="L287" s="43"/>
      <c r="M287" s="43">
        <f t="shared" si="44"/>
        <v>266</v>
      </c>
      <c r="N287" s="43">
        <f t="shared" si="45"/>
        <v>1</v>
      </c>
      <c r="O287" s="43">
        <f t="shared" si="46"/>
        <v>0</v>
      </c>
      <c r="P287" s="113" t="e">
        <f t="shared" si="39"/>
        <v>#DIV/0!</v>
      </c>
      <c r="Q287" s="113" t="e">
        <f t="shared" si="40"/>
        <v>#DIV/0!</v>
      </c>
      <c r="R287" s="113" t="e">
        <f t="shared" si="41"/>
        <v>#DIV/0!</v>
      </c>
      <c r="S287" s="113" t="e">
        <f t="shared" si="42"/>
        <v>#DIV/0!</v>
      </c>
      <c r="T287" s="43">
        <f t="shared" si="43"/>
        <v>0</v>
      </c>
      <c r="U287" s="43"/>
      <c r="V287" s="525" t="e">
        <f>P287*('upper bound Kenaga'!$F$36/100)</f>
        <v>#DIV/0!</v>
      </c>
      <c r="W287" s="43"/>
      <c r="X287" s="525" t="e">
        <f>P287*('upper bound Kenaga'!$F$96/100)</f>
        <v>#DIV/0!</v>
      </c>
      <c r="Y287" s="43"/>
      <c r="Z287" s="43"/>
      <c r="AA287" s="43"/>
      <c r="AB287" s="43"/>
      <c r="AC287" s="43"/>
      <c r="AD287" s="43"/>
    </row>
    <row r="288" spans="11:30" ht="12.75">
      <c r="K288" s="43"/>
      <c r="L288" s="43"/>
      <c r="M288" s="43">
        <f t="shared" si="44"/>
        <v>267</v>
      </c>
      <c r="N288" s="43">
        <f t="shared" si="45"/>
        <v>1</v>
      </c>
      <c r="O288" s="43">
        <f t="shared" si="46"/>
        <v>0</v>
      </c>
      <c r="P288" s="113" t="e">
        <f t="shared" si="39"/>
        <v>#DIV/0!</v>
      </c>
      <c r="Q288" s="113" t="e">
        <f t="shared" si="40"/>
        <v>#DIV/0!</v>
      </c>
      <c r="R288" s="113" t="e">
        <f t="shared" si="41"/>
        <v>#DIV/0!</v>
      </c>
      <c r="S288" s="113" t="e">
        <f t="shared" si="42"/>
        <v>#DIV/0!</v>
      </c>
      <c r="T288" s="43">
        <f t="shared" si="43"/>
        <v>0</v>
      </c>
      <c r="U288" s="43"/>
      <c r="V288" s="525" t="e">
        <f>P288*('upper bound Kenaga'!$F$36/100)</f>
        <v>#DIV/0!</v>
      </c>
      <c r="W288" s="43"/>
      <c r="X288" s="525" t="e">
        <f>P288*('upper bound Kenaga'!$F$96/100)</f>
        <v>#DIV/0!</v>
      </c>
      <c r="Y288" s="43"/>
      <c r="Z288" s="43"/>
      <c r="AA288" s="43"/>
      <c r="AB288" s="43"/>
      <c r="AC288" s="43"/>
      <c r="AD288" s="43"/>
    </row>
    <row r="289" spans="11:30" ht="12.75">
      <c r="K289" s="43"/>
      <c r="L289" s="43"/>
      <c r="M289" s="43">
        <f t="shared" si="44"/>
        <v>268</v>
      </c>
      <c r="N289" s="43">
        <f t="shared" si="45"/>
        <v>1</v>
      </c>
      <c r="O289" s="43">
        <f t="shared" si="46"/>
        <v>0</v>
      </c>
      <c r="P289" s="113" t="e">
        <f t="shared" si="39"/>
        <v>#DIV/0!</v>
      </c>
      <c r="Q289" s="113" t="e">
        <f t="shared" si="40"/>
        <v>#DIV/0!</v>
      </c>
      <c r="R289" s="113" t="e">
        <f t="shared" si="41"/>
        <v>#DIV/0!</v>
      </c>
      <c r="S289" s="113" t="e">
        <f t="shared" si="42"/>
        <v>#DIV/0!</v>
      </c>
      <c r="T289" s="43">
        <f t="shared" si="43"/>
        <v>0</v>
      </c>
      <c r="U289" s="43"/>
      <c r="V289" s="525" t="e">
        <f>P289*('upper bound Kenaga'!$F$36/100)</f>
        <v>#DIV/0!</v>
      </c>
      <c r="W289" s="43"/>
      <c r="X289" s="525" t="e">
        <f>P289*('upper bound Kenaga'!$F$96/100)</f>
        <v>#DIV/0!</v>
      </c>
      <c r="Y289" s="43"/>
      <c r="Z289" s="43"/>
      <c r="AA289" s="43"/>
      <c r="AB289" s="43"/>
      <c r="AC289" s="43"/>
      <c r="AD289" s="43"/>
    </row>
    <row r="290" spans="11:30" ht="12.75">
      <c r="K290" s="43"/>
      <c r="L290" s="43"/>
      <c r="M290" s="43">
        <f t="shared" si="44"/>
        <v>269</v>
      </c>
      <c r="N290" s="43">
        <f t="shared" si="45"/>
        <v>1</v>
      </c>
      <c r="O290" s="43">
        <f t="shared" si="46"/>
        <v>0</v>
      </c>
      <c r="P290" s="113" t="e">
        <f t="shared" si="39"/>
        <v>#DIV/0!</v>
      </c>
      <c r="Q290" s="113" t="e">
        <f t="shared" si="40"/>
        <v>#DIV/0!</v>
      </c>
      <c r="R290" s="113" t="e">
        <f t="shared" si="41"/>
        <v>#DIV/0!</v>
      </c>
      <c r="S290" s="113" t="e">
        <f t="shared" si="42"/>
        <v>#DIV/0!</v>
      </c>
      <c r="T290" s="43">
        <f t="shared" si="43"/>
        <v>0</v>
      </c>
      <c r="U290" s="43"/>
      <c r="V290" s="525" t="e">
        <f>P290*('upper bound Kenaga'!$F$36/100)</f>
        <v>#DIV/0!</v>
      </c>
      <c r="W290" s="43"/>
      <c r="X290" s="525" t="e">
        <f>P290*('upper bound Kenaga'!$F$96/100)</f>
        <v>#DIV/0!</v>
      </c>
      <c r="Y290" s="43"/>
      <c r="Z290" s="43"/>
      <c r="AA290" s="43"/>
      <c r="AB290" s="43"/>
      <c r="AC290" s="43"/>
      <c r="AD290" s="43"/>
    </row>
    <row r="291" spans="11:30" ht="12.75">
      <c r="K291" s="43"/>
      <c r="L291" s="43"/>
      <c r="M291" s="43">
        <f t="shared" si="44"/>
        <v>270</v>
      </c>
      <c r="N291" s="43">
        <f t="shared" si="45"/>
        <v>1</v>
      </c>
      <c r="O291" s="43">
        <f t="shared" si="46"/>
        <v>0</v>
      </c>
      <c r="P291" s="113" t="e">
        <f t="shared" si="39"/>
        <v>#DIV/0!</v>
      </c>
      <c r="Q291" s="113" t="e">
        <f t="shared" si="40"/>
        <v>#DIV/0!</v>
      </c>
      <c r="R291" s="113" t="e">
        <f t="shared" si="41"/>
        <v>#DIV/0!</v>
      </c>
      <c r="S291" s="113" t="e">
        <f t="shared" si="42"/>
        <v>#DIV/0!</v>
      </c>
      <c r="T291" s="43">
        <f t="shared" si="43"/>
        <v>0</v>
      </c>
      <c r="U291" s="43"/>
      <c r="V291" s="525" t="e">
        <f>P291*('upper bound Kenaga'!$F$36/100)</f>
        <v>#DIV/0!</v>
      </c>
      <c r="W291" s="43"/>
      <c r="X291" s="525" t="e">
        <f>P291*('upper bound Kenaga'!$F$96/100)</f>
        <v>#DIV/0!</v>
      </c>
      <c r="Y291" s="43"/>
      <c r="Z291" s="43"/>
      <c r="AA291" s="43"/>
      <c r="AB291" s="43"/>
      <c r="AC291" s="43"/>
      <c r="AD291" s="43"/>
    </row>
    <row r="292" spans="11:30" ht="12.75">
      <c r="K292" s="43"/>
      <c r="L292" s="43"/>
      <c r="M292" s="43">
        <f t="shared" si="44"/>
        <v>271</v>
      </c>
      <c r="N292" s="43">
        <f t="shared" si="45"/>
        <v>1</v>
      </c>
      <c r="O292" s="43">
        <f t="shared" si="46"/>
        <v>0</v>
      </c>
      <c r="P292" s="113" t="e">
        <f t="shared" si="39"/>
        <v>#DIV/0!</v>
      </c>
      <c r="Q292" s="113" t="e">
        <f t="shared" si="40"/>
        <v>#DIV/0!</v>
      </c>
      <c r="R292" s="113" t="e">
        <f t="shared" si="41"/>
        <v>#DIV/0!</v>
      </c>
      <c r="S292" s="113" t="e">
        <f t="shared" si="42"/>
        <v>#DIV/0!</v>
      </c>
      <c r="T292" s="43">
        <f t="shared" si="43"/>
        <v>0</v>
      </c>
      <c r="U292" s="43"/>
      <c r="V292" s="525" t="e">
        <f>P292*('upper bound Kenaga'!$F$36/100)</f>
        <v>#DIV/0!</v>
      </c>
      <c r="W292" s="43"/>
      <c r="X292" s="525" t="e">
        <f>P292*('upper bound Kenaga'!$F$96/100)</f>
        <v>#DIV/0!</v>
      </c>
      <c r="Y292" s="43"/>
      <c r="Z292" s="43"/>
      <c r="AA292" s="43"/>
      <c r="AB292" s="43"/>
      <c r="AC292" s="43"/>
      <c r="AD292" s="43"/>
    </row>
    <row r="293" spans="11:30" ht="12.75">
      <c r="K293" s="43"/>
      <c r="L293" s="43"/>
      <c r="M293" s="43">
        <f t="shared" si="44"/>
        <v>272</v>
      </c>
      <c r="N293" s="43">
        <f t="shared" si="45"/>
        <v>1</v>
      </c>
      <c r="O293" s="43">
        <f t="shared" si="46"/>
        <v>0</v>
      </c>
      <c r="P293" s="113" t="e">
        <f t="shared" si="39"/>
        <v>#DIV/0!</v>
      </c>
      <c r="Q293" s="113" t="e">
        <f t="shared" si="40"/>
        <v>#DIV/0!</v>
      </c>
      <c r="R293" s="113" t="e">
        <f t="shared" si="41"/>
        <v>#DIV/0!</v>
      </c>
      <c r="S293" s="113" t="e">
        <f t="shared" si="42"/>
        <v>#DIV/0!</v>
      </c>
      <c r="T293" s="43">
        <f t="shared" si="43"/>
        <v>0</v>
      </c>
      <c r="U293" s="43"/>
      <c r="V293" s="525" t="e">
        <f>P293*('upper bound Kenaga'!$F$36/100)</f>
        <v>#DIV/0!</v>
      </c>
      <c r="W293" s="43"/>
      <c r="X293" s="525" t="e">
        <f>P293*('upper bound Kenaga'!$F$96/100)</f>
        <v>#DIV/0!</v>
      </c>
      <c r="Y293" s="43"/>
      <c r="Z293" s="43"/>
      <c r="AA293" s="43"/>
      <c r="AB293" s="43"/>
      <c r="AC293" s="43"/>
      <c r="AD293" s="43"/>
    </row>
    <row r="294" spans="11:30" ht="12.75">
      <c r="K294" s="43"/>
      <c r="L294" s="43"/>
      <c r="M294" s="43">
        <f t="shared" si="44"/>
        <v>273</v>
      </c>
      <c r="N294" s="43">
        <f t="shared" si="45"/>
        <v>1</v>
      </c>
      <c r="O294" s="43">
        <f t="shared" si="46"/>
        <v>0</v>
      </c>
      <c r="P294" s="113" t="e">
        <f t="shared" si="39"/>
        <v>#DIV/0!</v>
      </c>
      <c r="Q294" s="113" t="e">
        <f t="shared" si="40"/>
        <v>#DIV/0!</v>
      </c>
      <c r="R294" s="113" t="e">
        <f t="shared" si="41"/>
        <v>#DIV/0!</v>
      </c>
      <c r="S294" s="113" t="e">
        <f t="shared" si="42"/>
        <v>#DIV/0!</v>
      </c>
      <c r="T294" s="43">
        <f t="shared" si="43"/>
        <v>0</v>
      </c>
      <c r="U294" s="43"/>
      <c r="V294" s="525" t="e">
        <f>P294*('upper bound Kenaga'!$F$36/100)</f>
        <v>#DIV/0!</v>
      </c>
      <c r="W294" s="43"/>
      <c r="X294" s="525" t="e">
        <f>P294*('upper bound Kenaga'!$F$96/100)</f>
        <v>#DIV/0!</v>
      </c>
      <c r="Y294" s="43"/>
      <c r="Z294" s="43"/>
      <c r="AA294" s="43"/>
      <c r="AB294" s="43"/>
      <c r="AC294" s="43"/>
      <c r="AD294" s="43"/>
    </row>
    <row r="295" spans="11:30" ht="12.75">
      <c r="K295" s="43"/>
      <c r="L295" s="43"/>
      <c r="M295" s="43">
        <f t="shared" si="44"/>
        <v>274</v>
      </c>
      <c r="N295" s="43">
        <f t="shared" si="45"/>
        <v>1</v>
      </c>
      <c r="O295" s="43">
        <f t="shared" si="46"/>
        <v>0</v>
      </c>
      <c r="P295" s="113" t="e">
        <f t="shared" si="39"/>
        <v>#DIV/0!</v>
      </c>
      <c r="Q295" s="113" t="e">
        <f t="shared" si="40"/>
        <v>#DIV/0!</v>
      </c>
      <c r="R295" s="113" t="e">
        <f t="shared" si="41"/>
        <v>#DIV/0!</v>
      </c>
      <c r="S295" s="113" t="e">
        <f t="shared" si="42"/>
        <v>#DIV/0!</v>
      </c>
      <c r="T295" s="43">
        <f t="shared" si="43"/>
        <v>0</v>
      </c>
      <c r="U295" s="43"/>
      <c r="V295" s="525" t="e">
        <f>P295*('upper bound Kenaga'!$F$36/100)</f>
        <v>#DIV/0!</v>
      </c>
      <c r="W295" s="43"/>
      <c r="X295" s="525" t="e">
        <f>P295*('upper bound Kenaga'!$F$96/100)</f>
        <v>#DIV/0!</v>
      </c>
      <c r="Y295" s="43"/>
      <c r="Z295" s="43"/>
      <c r="AA295" s="43"/>
      <c r="AB295" s="43"/>
      <c r="AC295" s="43"/>
      <c r="AD295" s="43"/>
    </row>
    <row r="296" spans="11:30" ht="12.75">
      <c r="K296" s="43"/>
      <c r="L296" s="43"/>
      <c r="M296" s="43">
        <f t="shared" si="44"/>
        <v>275</v>
      </c>
      <c r="N296" s="43">
        <f t="shared" si="45"/>
        <v>1</v>
      </c>
      <c r="O296" s="43">
        <f t="shared" si="46"/>
        <v>0</v>
      </c>
      <c r="P296" s="113" t="e">
        <f t="shared" si="39"/>
        <v>#DIV/0!</v>
      </c>
      <c r="Q296" s="113" t="e">
        <f t="shared" si="40"/>
        <v>#DIV/0!</v>
      </c>
      <c r="R296" s="113" t="e">
        <f t="shared" si="41"/>
        <v>#DIV/0!</v>
      </c>
      <c r="S296" s="113" t="e">
        <f t="shared" si="42"/>
        <v>#DIV/0!</v>
      </c>
      <c r="T296" s="43">
        <f t="shared" si="43"/>
        <v>0</v>
      </c>
      <c r="U296" s="43"/>
      <c r="V296" s="525" t="e">
        <f>P296*('upper bound Kenaga'!$F$36/100)</f>
        <v>#DIV/0!</v>
      </c>
      <c r="W296" s="43"/>
      <c r="X296" s="525" t="e">
        <f>P296*('upper bound Kenaga'!$F$96/100)</f>
        <v>#DIV/0!</v>
      </c>
      <c r="Y296" s="43"/>
      <c r="Z296" s="43"/>
      <c r="AA296" s="43"/>
      <c r="AB296" s="43"/>
      <c r="AC296" s="43"/>
      <c r="AD296" s="43"/>
    </row>
    <row r="297" spans="11:30" ht="12.75">
      <c r="K297" s="43"/>
      <c r="L297" s="43"/>
      <c r="M297" s="43">
        <f t="shared" si="44"/>
        <v>276</v>
      </c>
      <c r="N297" s="43">
        <f t="shared" si="45"/>
        <v>1</v>
      </c>
      <c r="O297" s="43">
        <f t="shared" si="46"/>
        <v>0</v>
      </c>
      <c r="P297" s="113" t="e">
        <f t="shared" si="39"/>
        <v>#DIV/0!</v>
      </c>
      <c r="Q297" s="113" t="e">
        <f t="shared" si="40"/>
        <v>#DIV/0!</v>
      </c>
      <c r="R297" s="113" t="e">
        <f t="shared" si="41"/>
        <v>#DIV/0!</v>
      </c>
      <c r="S297" s="113" t="e">
        <f t="shared" si="42"/>
        <v>#DIV/0!</v>
      </c>
      <c r="T297" s="43">
        <f t="shared" si="43"/>
        <v>0</v>
      </c>
      <c r="U297" s="43"/>
      <c r="V297" s="525" t="e">
        <f>P297*('upper bound Kenaga'!$F$36/100)</f>
        <v>#DIV/0!</v>
      </c>
      <c r="W297" s="43"/>
      <c r="X297" s="525" t="e">
        <f>P297*('upper bound Kenaga'!$F$96/100)</f>
        <v>#DIV/0!</v>
      </c>
      <c r="Y297" s="43"/>
      <c r="Z297" s="43"/>
      <c r="AA297" s="43"/>
      <c r="AB297" s="43"/>
      <c r="AC297" s="43"/>
      <c r="AD297" s="43"/>
    </row>
    <row r="298" spans="11:30" ht="12.75">
      <c r="K298" s="43"/>
      <c r="L298" s="43"/>
      <c r="M298" s="43">
        <f t="shared" si="44"/>
        <v>277</v>
      </c>
      <c r="N298" s="43">
        <f t="shared" si="45"/>
        <v>1</v>
      </c>
      <c r="O298" s="43">
        <f t="shared" si="46"/>
        <v>0</v>
      </c>
      <c r="P298" s="113" t="e">
        <f aca="true" t="shared" si="47" ref="P298:P361">IF((N298&gt;N297),(EXP(-$Q$16)*(P297)+$Q$11),((EXP(-$Q$16)*(P297))))</f>
        <v>#DIV/0!</v>
      </c>
      <c r="Q298" s="113" t="e">
        <f aca="true" t="shared" si="48" ref="Q298:Q361">IF((N298&gt;N297),(EXP(-$Q$16)*(Q297)+$Q$12),((EXP(-$Q$16)*(Q297))))</f>
        <v>#DIV/0!</v>
      </c>
      <c r="R298" s="113" t="e">
        <f aca="true" t="shared" si="49" ref="R298:R361">IF((N298&gt;N297),(EXP(-$Q$16)*(R297)+$Q$13),((EXP(-$Q$16)*(R297))))</f>
        <v>#DIV/0!</v>
      </c>
      <c r="S298" s="113" t="e">
        <f aca="true" t="shared" si="50" ref="S298:S361">IF((N298&gt;N297),(EXP(-$Q$16)*(S297)+$Q$14),((EXP(-$Q$16)*(S297))))</f>
        <v>#DIV/0!</v>
      </c>
      <c r="T298" s="43">
        <f t="shared" si="43"/>
        <v>0</v>
      </c>
      <c r="U298" s="43"/>
      <c r="V298" s="525" t="e">
        <f>P298*('upper bound Kenaga'!$F$36/100)</f>
        <v>#DIV/0!</v>
      </c>
      <c r="W298" s="43"/>
      <c r="X298" s="525" t="e">
        <f>P298*('upper bound Kenaga'!$F$96/100)</f>
        <v>#DIV/0!</v>
      </c>
      <c r="Y298" s="43"/>
      <c r="Z298" s="43"/>
      <c r="AA298" s="43"/>
      <c r="AB298" s="43"/>
      <c r="AC298" s="43"/>
      <c r="AD298" s="43"/>
    </row>
    <row r="299" spans="11:30" ht="12.75">
      <c r="K299" s="43"/>
      <c r="L299" s="43"/>
      <c r="M299" s="43">
        <f t="shared" si="44"/>
        <v>278</v>
      </c>
      <c r="N299" s="43">
        <f t="shared" si="45"/>
        <v>1</v>
      </c>
      <c r="O299" s="43">
        <f t="shared" si="46"/>
        <v>0</v>
      </c>
      <c r="P299" s="113" t="e">
        <f t="shared" si="47"/>
        <v>#DIV/0!</v>
      </c>
      <c r="Q299" s="113" t="e">
        <f t="shared" si="48"/>
        <v>#DIV/0!</v>
      </c>
      <c r="R299" s="113" t="e">
        <f t="shared" si="49"/>
        <v>#DIV/0!</v>
      </c>
      <c r="S299" s="113" t="e">
        <f t="shared" si="50"/>
        <v>#DIV/0!</v>
      </c>
      <c r="T299" s="43">
        <f t="shared" si="43"/>
        <v>0</v>
      </c>
      <c r="U299" s="43"/>
      <c r="V299" s="525" t="e">
        <f>P299*('upper bound Kenaga'!$F$36/100)</f>
        <v>#DIV/0!</v>
      </c>
      <c r="W299" s="43"/>
      <c r="X299" s="525" t="e">
        <f>P299*('upper bound Kenaga'!$F$96/100)</f>
        <v>#DIV/0!</v>
      </c>
      <c r="Y299" s="43"/>
      <c r="Z299" s="43"/>
      <c r="AA299" s="43"/>
      <c r="AB299" s="43"/>
      <c r="AC299" s="43"/>
      <c r="AD299" s="43"/>
    </row>
    <row r="300" spans="11:30" ht="12.75">
      <c r="K300" s="43"/>
      <c r="L300" s="43"/>
      <c r="M300" s="43">
        <f t="shared" si="44"/>
        <v>279</v>
      </c>
      <c r="N300" s="43">
        <f t="shared" si="45"/>
        <v>1</v>
      </c>
      <c r="O300" s="43">
        <f t="shared" si="46"/>
        <v>0</v>
      </c>
      <c r="P300" s="113" t="e">
        <f t="shared" si="47"/>
        <v>#DIV/0!</v>
      </c>
      <c r="Q300" s="113" t="e">
        <f t="shared" si="48"/>
        <v>#DIV/0!</v>
      </c>
      <c r="R300" s="113" t="e">
        <f t="shared" si="49"/>
        <v>#DIV/0!</v>
      </c>
      <c r="S300" s="113" t="e">
        <f t="shared" si="50"/>
        <v>#DIV/0!</v>
      </c>
      <c r="T300" s="43">
        <f t="shared" si="43"/>
        <v>0</v>
      </c>
      <c r="U300" s="43"/>
      <c r="V300" s="525" t="e">
        <f>P300*('upper bound Kenaga'!$F$36/100)</f>
        <v>#DIV/0!</v>
      </c>
      <c r="W300" s="43"/>
      <c r="X300" s="525" t="e">
        <f>P300*('upper bound Kenaga'!$F$96/100)</f>
        <v>#DIV/0!</v>
      </c>
      <c r="Y300" s="43"/>
      <c r="Z300" s="43"/>
      <c r="AA300" s="43"/>
      <c r="AB300" s="43"/>
      <c r="AC300" s="43"/>
      <c r="AD300" s="43"/>
    </row>
    <row r="301" spans="11:30" ht="12.75">
      <c r="K301" s="43"/>
      <c r="L301" s="43"/>
      <c r="M301" s="43">
        <f t="shared" si="44"/>
        <v>280</v>
      </c>
      <c r="N301" s="43">
        <f t="shared" si="45"/>
        <v>1</v>
      </c>
      <c r="O301" s="43">
        <f t="shared" si="46"/>
        <v>0</v>
      </c>
      <c r="P301" s="113" t="e">
        <f t="shared" si="47"/>
        <v>#DIV/0!</v>
      </c>
      <c r="Q301" s="113" t="e">
        <f t="shared" si="48"/>
        <v>#DIV/0!</v>
      </c>
      <c r="R301" s="113" t="e">
        <f t="shared" si="49"/>
        <v>#DIV/0!</v>
      </c>
      <c r="S301" s="113" t="e">
        <f t="shared" si="50"/>
        <v>#DIV/0!</v>
      </c>
      <c r="T301" s="43">
        <f t="shared" si="43"/>
        <v>0</v>
      </c>
      <c r="U301" s="43"/>
      <c r="V301" s="525" t="e">
        <f>P301*('upper bound Kenaga'!$F$36/100)</f>
        <v>#DIV/0!</v>
      </c>
      <c r="W301" s="43"/>
      <c r="X301" s="525" t="e">
        <f>P301*('upper bound Kenaga'!$F$96/100)</f>
        <v>#DIV/0!</v>
      </c>
      <c r="Y301" s="43"/>
      <c r="Z301" s="43"/>
      <c r="AA301" s="43"/>
      <c r="AB301" s="43"/>
      <c r="AC301" s="43"/>
      <c r="AD301" s="43"/>
    </row>
    <row r="302" spans="11:30" ht="12.75">
      <c r="K302" s="43"/>
      <c r="L302" s="43"/>
      <c r="M302" s="43">
        <f t="shared" si="44"/>
        <v>281</v>
      </c>
      <c r="N302" s="43">
        <f t="shared" si="45"/>
        <v>1</v>
      </c>
      <c r="O302" s="43">
        <f t="shared" si="46"/>
        <v>0</v>
      </c>
      <c r="P302" s="113" t="e">
        <f t="shared" si="47"/>
        <v>#DIV/0!</v>
      </c>
      <c r="Q302" s="113" t="e">
        <f t="shared" si="48"/>
        <v>#DIV/0!</v>
      </c>
      <c r="R302" s="113" t="e">
        <f t="shared" si="49"/>
        <v>#DIV/0!</v>
      </c>
      <c r="S302" s="113" t="e">
        <f t="shared" si="50"/>
        <v>#DIV/0!</v>
      </c>
      <c r="T302" s="43">
        <f t="shared" si="43"/>
        <v>0</v>
      </c>
      <c r="U302" s="43"/>
      <c r="V302" s="525" t="e">
        <f>P302*('upper bound Kenaga'!$F$36/100)</f>
        <v>#DIV/0!</v>
      </c>
      <c r="W302" s="43"/>
      <c r="X302" s="525" t="e">
        <f>P302*('upper bound Kenaga'!$F$96/100)</f>
        <v>#DIV/0!</v>
      </c>
      <c r="Y302" s="43"/>
      <c r="Z302" s="43"/>
      <c r="AA302" s="43"/>
      <c r="AB302" s="43"/>
      <c r="AC302" s="43"/>
      <c r="AD302" s="43"/>
    </row>
    <row r="303" spans="11:30" ht="12.75">
      <c r="K303" s="43"/>
      <c r="L303" s="43"/>
      <c r="M303" s="43">
        <f t="shared" si="44"/>
        <v>282</v>
      </c>
      <c r="N303" s="43">
        <f t="shared" si="45"/>
        <v>1</v>
      </c>
      <c r="O303" s="43">
        <f t="shared" si="46"/>
        <v>0</v>
      </c>
      <c r="P303" s="113" t="e">
        <f t="shared" si="47"/>
        <v>#DIV/0!</v>
      </c>
      <c r="Q303" s="113" t="e">
        <f t="shared" si="48"/>
        <v>#DIV/0!</v>
      </c>
      <c r="R303" s="113" t="e">
        <f t="shared" si="49"/>
        <v>#DIV/0!</v>
      </c>
      <c r="S303" s="113" t="e">
        <f t="shared" si="50"/>
        <v>#DIV/0!</v>
      </c>
      <c r="T303" s="43">
        <f t="shared" si="43"/>
        <v>0</v>
      </c>
      <c r="U303" s="43"/>
      <c r="V303" s="525" t="e">
        <f>P303*('upper bound Kenaga'!$F$36/100)</f>
        <v>#DIV/0!</v>
      </c>
      <c r="W303" s="43"/>
      <c r="X303" s="525" t="e">
        <f>P303*('upper bound Kenaga'!$F$96/100)</f>
        <v>#DIV/0!</v>
      </c>
      <c r="Y303" s="43"/>
      <c r="Z303" s="43"/>
      <c r="AA303" s="43"/>
      <c r="AB303" s="43"/>
      <c r="AC303" s="43"/>
      <c r="AD303" s="43"/>
    </row>
    <row r="304" spans="11:30" ht="12.75">
      <c r="K304" s="43"/>
      <c r="L304" s="43"/>
      <c r="M304" s="43">
        <f t="shared" si="44"/>
        <v>283</v>
      </c>
      <c r="N304" s="43">
        <f t="shared" si="45"/>
        <v>1</v>
      </c>
      <c r="O304" s="43">
        <f t="shared" si="46"/>
        <v>0</v>
      </c>
      <c r="P304" s="113" t="e">
        <f t="shared" si="47"/>
        <v>#DIV/0!</v>
      </c>
      <c r="Q304" s="113" t="e">
        <f t="shared" si="48"/>
        <v>#DIV/0!</v>
      </c>
      <c r="R304" s="113" t="e">
        <f t="shared" si="49"/>
        <v>#DIV/0!</v>
      </c>
      <c r="S304" s="113" t="e">
        <f t="shared" si="50"/>
        <v>#DIV/0!</v>
      </c>
      <c r="T304" s="43">
        <f t="shared" si="43"/>
        <v>0</v>
      </c>
      <c r="U304" s="43"/>
      <c r="V304" s="525" t="e">
        <f>P304*('upper bound Kenaga'!$F$36/100)</f>
        <v>#DIV/0!</v>
      </c>
      <c r="W304" s="43"/>
      <c r="X304" s="525" t="e">
        <f>P304*('upper bound Kenaga'!$F$96/100)</f>
        <v>#DIV/0!</v>
      </c>
      <c r="Y304" s="43"/>
      <c r="Z304" s="43"/>
      <c r="AA304" s="43"/>
      <c r="AB304" s="43"/>
      <c r="AC304" s="43"/>
      <c r="AD304" s="43"/>
    </row>
    <row r="305" spans="11:30" ht="12.75">
      <c r="K305" s="43"/>
      <c r="L305" s="43"/>
      <c r="M305" s="43">
        <f t="shared" si="44"/>
        <v>284</v>
      </c>
      <c r="N305" s="43">
        <f t="shared" si="45"/>
        <v>1</v>
      </c>
      <c r="O305" s="43">
        <f t="shared" si="46"/>
        <v>0</v>
      </c>
      <c r="P305" s="113" t="e">
        <f t="shared" si="47"/>
        <v>#DIV/0!</v>
      </c>
      <c r="Q305" s="113" t="e">
        <f t="shared" si="48"/>
        <v>#DIV/0!</v>
      </c>
      <c r="R305" s="113" t="e">
        <f t="shared" si="49"/>
        <v>#DIV/0!</v>
      </c>
      <c r="S305" s="113" t="e">
        <f t="shared" si="50"/>
        <v>#DIV/0!</v>
      </c>
      <c r="T305" s="43">
        <f t="shared" si="43"/>
        <v>0</v>
      </c>
      <c r="U305" s="43"/>
      <c r="V305" s="525" t="e">
        <f>P305*('upper bound Kenaga'!$F$36/100)</f>
        <v>#DIV/0!</v>
      </c>
      <c r="W305" s="43"/>
      <c r="X305" s="525" t="e">
        <f>P305*('upper bound Kenaga'!$F$96/100)</f>
        <v>#DIV/0!</v>
      </c>
      <c r="Y305" s="43"/>
      <c r="Z305" s="43"/>
      <c r="AA305" s="43"/>
      <c r="AB305" s="43"/>
      <c r="AC305" s="43"/>
      <c r="AD305" s="43"/>
    </row>
    <row r="306" spans="11:30" ht="12.75">
      <c r="K306" s="43"/>
      <c r="L306" s="43"/>
      <c r="M306" s="43">
        <f t="shared" si="44"/>
        <v>285</v>
      </c>
      <c r="N306" s="43">
        <f t="shared" si="45"/>
        <v>1</v>
      </c>
      <c r="O306" s="43">
        <f t="shared" si="46"/>
        <v>0</v>
      </c>
      <c r="P306" s="113" t="e">
        <f t="shared" si="47"/>
        <v>#DIV/0!</v>
      </c>
      <c r="Q306" s="113" t="e">
        <f t="shared" si="48"/>
        <v>#DIV/0!</v>
      </c>
      <c r="R306" s="113" t="e">
        <f t="shared" si="49"/>
        <v>#DIV/0!</v>
      </c>
      <c r="S306" s="113" t="e">
        <f t="shared" si="50"/>
        <v>#DIV/0!</v>
      </c>
      <c r="T306" s="43">
        <f t="shared" si="43"/>
        <v>0</v>
      </c>
      <c r="U306" s="43"/>
      <c r="V306" s="525" t="e">
        <f>P306*('upper bound Kenaga'!$F$36/100)</f>
        <v>#DIV/0!</v>
      </c>
      <c r="W306" s="43"/>
      <c r="X306" s="525" t="e">
        <f>P306*('upper bound Kenaga'!$F$96/100)</f>
        <v>#DIV/0!</v>
      </c>
      <c r="Y306" s="43"/>
      <c r="Z306" s="43"/>
      <c r="AA306" s="43"/>
      <c r="AB306" s="43"/>
      <c r="AC306" s="43"/>
      <c r="AD306" s="43"/>
    </row>
    <row r="307" spans="11:30" ht="12.75">
      <c r="K307" s="43"/>
      <c r="L307" s="43"/>
      <c r="M307" s="43">
        <f t="shared" si="44"/>
        <v>286</v>
      </c>
      <c r="N307" s="43">
        <f t="shared" si="45"/>
        <v>1</v>
      </c>
      <c r="O307" s="43">
        <f t="shared" si="46"/>
        <v>0</v>
      </c>
      <c r="P307" s="113" t="e">
        <f t="shared" si="47"/>
        <v>#DIV/0!</v>
      </c>
      <c r="Q307" s="113" t="e">
        <f t="shared" si="48"/>
        <v>#DIV/0!</v>
      </c>
      <c r="R307" s="113" t="e">
        <f t="shared" si="49"/>
        <v>#DIV/0!</v>
      </c>
      <c r="S307" s="113" t="e">
        <f t="shared" si="50"/>
        <v>#DIV/0!</v>
      </c>
      <c r="T307" s="43">
        <f t="shared" si="43"/>
        <v>0</v>
      </c>
      <c r="U307" s="43"/>
      <c r="V307" s="525" t="e">
        <f>P307*('upper bound Kenaga'!$F$36/100)</f>
        <v>#DIV/0!</v>
      </c>
      <c r="W307" s="43"/>
      <c r="X307" s="525" t="e">
        <f>P307*('upper bound Kenaga'!$F$96/100)</f>
        <v>#DIV/0!</v>
      </c>
      <c r="Y307" s="43"/>
      <c r="Z307" s="43"/>
      <c r="AA307" s="43"/>
      <c r="AB307" s="43"/>
      <c r="AC307" s="43"/>
      <c r="AD307" s="43"/>
    </row>
    <row r="308" spans="11:30" ht="12.75">
      <c r="K308" s="43"/>
      <c r="L308" s="43"/>
      <c r="M308" s="43">
        <f t="shared" si="44"/>
        <v>287</v>
      </c>
      <c r="N308" s="43">
        <f t="shared" si="45"/>
        <v>1</v>
      </c>
      <c r="O308" s="43">
        <f t="shared" si="46"/>
        <v>0</v>
      </c>
      <c r="P308" s="113" t="e">
        <f t="shared" si="47"/>
        <v>#DIV/0!</v>
      </c>
      <c r="Q308" s="113" t="e">
        <f t="shared" si="48"/>
        <v>#DIV/0!</v>
      </c>
      <c r="R308" s="113" t="e">
        <f t="shared" si="49"/>
        <v>#DIV/0!</v>
      </c>
      <c r="S308" s="113" t="e">
        <f t="shared" si="50"/>
        <v>#DIV/0!</v>
      </c>
      <c r="T308" s="43">
        <f t="shared" si="43"/>
        <v>0</v>
      </c>
      <c r="U308" s="43"/>
      <c r="V308" s="525" t="e">
        <f>P308*('upper bound Kenaga'!$F$36/100)</f>
        <v>#DIV/0!</v>
      </c>
      <c r="W308" s="43"/>
      <c r="X308" s="525" t="e">
        <f>P308*('upper bound Kenaga'!$F$96/100)</f>
        <v>#DIV/0!</v>
      </c>
      <c r="Y308" s="43"/>
      <c r="Z308" s="43"/>
      <c r="AA308" s="43"/>
      <c r="AB308" s="43"/>
      <c r="AC308" s="43"/>
      <c r="AD308" s="43"/>
    </row>
    <row r="309" spans="11:30" ht="12.75">
      <c r="K309" s="43"/>
      <c r="L309" s="43"/>
      <c r="M309" s="43">
        <f t="shared" si="44"/>
        <v>288</v>
      </c>
      <c r="N309" s="43">
        <f t="shared" si="45"/>
        <v>1</v>
      </c>
      <c r="O309" s="43">
        <f t="shared" si="46"/>
        <v>0</v>
      </c>
      <c r="P309" s="113" t="e">
        <f t="shared" si="47"/>
        <v>#DIV/0!</v>
      </c>
      <c r="Q309" s="113" t="e">
        <f t="shared" si="48"/>
        <v>#DIV/0!</v>
      </c>
      <c r="R309" s="113" t="e">
        <f t="shared" si="49"/>
        <v>#DIV/0!</v>
      </c>
      <c r="S309" s="113" t="e">
        <f t="shared" si="50"/>
        <v>#DIV/0!</v>
      </c>
      <c r="T309" s="43">
        <f t="shared" si="43"/>
        <v>0</v>
      </c>
      <c r="U309" s="43"/>
      <c r="V309" s="525" t="e">
        <f>P309*('upper bound Kenaga'!$F$36/100)</f>
        <v>#DIV/0!</v>
      </c>
      <c r="W309" s="43"/>
      <c r="X309" s="525" t="e">
        <f>P309*('upper bound Kenaga'!$F$96/100)</f>
        <v>#DIV/0!</v>
      </c>
      <c r="Y309" s="43"/>
      <c r="Z309" s="43"/>
      <c r="AA309" s="43"/>
      <c r="AB309" s="43"/>
      <c r="AC309" s="43"/>
      <c r="AD309" s="43"/>
    </row>
    <row r="310" spans="11:30" ht="12.75">
      <c r="K310" s="43"/>
      <c r="L310" s="43"/>
      <c r="M310" s="43">
        <f t="shared" si="44"/>
        <v>289</v>
      </c>
      <c r="N310" s="43">
        <f t="shared" si="45"/>
        <v>1</v>
      </c>
      <c r="O310" s="43">
        <f t="shared" si="46"/>
        <v>0</v>
      </c>
      <c r="P310" s="113" t="e">
        <f t="shared" si="47"/>
        <v>#DIV/0!</v>
      </c>
      <c r="Q310" s="113" t="e">
        <f t="shared" si="48"/>
        <v>#DIV/0!</v>
      </c>
      <c r="R310" s="113" t="e">
        <f t="shared" si="49"/>
        <v>#DIV/0!</v>
      </c>
      <c r="S310" s="113" t="e">
        <f t="shared" si="50"/>
        <v>#DIV/0!</v>
      </c>
      <c r="T310" s="43">
        <f t="shared" si="43"/>
        <v>0</v>
      </c>
      <c r="U310" s="43"/>
      <c r="V310" s="525" t="e">
        <f>P310*('upper bound Kenaga'!$F$36/100)</f>
        <v>#DIV/0!</v>
      </c>
      <c r="W310" s="43"/>
      <c r="X310" s="525" t="e">
        <f>P310*('upper bound Kenaga'!$F$96/100)</f>
        <v>#DIV/0!</v>
      </c>
      <c r="Y310" s="43"/>
      <c r="Z310" s="43"/>
      <c r="AA310" s="43"/>
      <c r="AB310" s="43"/>
      <c r="AC310" s="43"/>
      <c r="AD310" s="43"/>
    </row>
    <row r="311" spans="11:30" ht="12.75">
      <c r="K311" s="43"/>
      <c r="L311" s="43"/>
      <c r="M311" s="43">
        <f t="shared" si="44"/>
        <v>290</v>
      </c>
      <c r="N311" s="43">
        <f t="shared" si="45"/>
        <v>1</v>
      </c>
      <c r="O311" s="43">
        <f t="shared" si="46"/>
        <v>0</v>
      </c>
      <c r="P311" s="113" t="e">
        <f t="shared" si="47"/>
        <v>#DIV/0!</v>
      </c>
      <c r="Q311" s="113" t="e">
        <f t="shared" si="48"/>
        <v>#DIV/0!</v>
      </c>
      <c r="R311" s="113" t="e">
        <f t="shared" si="49"/>
        <v>#DIV/0!</v>
      </c>
      <c r="S311" s="113" t="e">
        <f t="shared" si="50"/>
        <v>#DIV/0!</v>
      </c>
      <c r="T311" s="43">
        <f t="shared" si="43"/>
        <v>0</v>
      </c>
      <c r="U311" s="43"/>
      <c r="V311" s="525" t="e">
        <f>P311*('upper bound Kenaga'!$F$36/100)</f>
        <v>#DIV/0!</v>
      </c>
      <c r="W311" s="43"/>
      <c r="X311" s="525" t="e">
        <f>P311*('upper bound Kenaga'!$F$96/100)</f>
        <v>#DIV/0!</v>
      </c>
      <c r="Y311" s="43"/>
      <c r="Z311" s="43"/>
      <c r="AA311" s="43"/>
      <c r="AB311" s="43"/>
      <c r="AC311" s="43"/>
      <c r="AD311" s="43"/>
    </row>
    <row r="312" spans="11:30" ht="12.75">
      <c r="K312" s="43"/>
      <c r="L312" s="43"/>
      <c r="M312" s="43">
        <f t="shared" si="44"/>
        <v>291</v>
      </c>
      <c r="N312" s="43">
        <f t="shared" si="45"/>
        <v>1</v>
      </c>
      <c r="O312" s="43">
        <f t="shared" si="46"/>
        <v>0</v>
      </c>
      <c r="P312" s="113" t="e">
        <f t="shared" si="47"/>
        <v>#DIV/0!</v>
      </c>
      <c r="Q312" s="113" t="e">
        <f t="shared" si="48"/>
        <v>#DIV/0!</v>
      </c>
      <c r="R312" s="113" t="e">
        <f t="shared" si="49"/>
        <v>#DIV/0!</v>
      </c>
      <c r="S312" s="113" t="e">
        <f t="shared" si="50"/>
        <v>#DIV/0!</v>
      </c>
      <c r="T312" s="43">
        <f t="shared" si="43"/>
        <v>0</v>
      </c>
      <c r="U312" s="43"/>
      <c r="V312" s="525" t="e">
        <f>P312*('upper bound Kenaga'!$F$36/100)</f>
        <v>#DIV/0!</v>
      </c>
      <c r="W312" s="43"/>
      <c r="X312" s="525" t="e">
        <f>P312*('upper bound Kenaga'!$F$96/100)</f>
        <v>#DIV/0!</v>
      </c>
      <c r="Y312" s="43"/>
      <c r="Z312" s="43"/>
      <c r="AA312" s="43"/>
      <c r="AB312" s="43"/>
      <c r="AC312" s="43"/>
      <c r="AD312" s="43"/>
    </row>
    <row r="313" spans="11:30" ht="12.75">
      <c r="K313" s="43"/>
      <c r="L313" s="43"/>
      <c r="M313" s="43">
        <f t="shared" si="44"/>
        <v>292</v>
      </c>
      <c r="N313" s="43">
        <f t="shared" si="45"/>
        <v>1</v>
      </c>
      <c r="O313" s="43">
        <f t="shared" si="46"/>
        <v>0</v>
      </c>
      <c r="P313" s="113" t="e">
        <f t="shared" si="47"/>
        <v>#DIV/0!</v>
      </c>
      <c r="Q313" s="113" t="e">
        <f t="shared" si="48"/>
        <v>#DIV/0!</v>
      </c>
      <c r="R313" s="113" t="e">
        <f t="shared" si="49"/>
        <v>#DIV/0!</v>
      </c>
      <c r="S313" s="113" t="e">
        <f t="shared" si="50"/>
        <v>#DIV/0!</v>
      </c>
      <c r="T313" s="43">
        <f t="shared" si="43"/>
        <v>0</v>
      </c>
      <c r="U313" s="43"/>
      <c r="V313" s="525" t="e">
        <f>P313*('upper bound Kenaga'!$F$36/100)</f>
        <v>#DIV/0!</v>
      </c>
      <c r="W313" s="43"/>
      <c r="X313" s="525" t="e">
        <f>P313*('upper bound Kenaga'!$F$96/100)</f>
        <v>#DIV/0!</v>
      </c>
      <c r="Y313" s="43"/>
      <c r="Z313" s="43"/>
      <c r="AA313" s="43"/>
      <c r="AB313" s="43"/>
      <c r="AC313" s="43"/>
      <c r="AD313" s="43"/>
    </row>
    <row r="314" spans="11:30" ht="12.75">
      <c r="K314" s="43"/>
      <c r="L314" s="43"/>
      <c r="M314" s="43">
        <f t="shared" si="44"/>
        <v>293</v>
      </c>
      <c r="N314" s="43">
        <f t="shared" si="45"/>
        <v>1</v>
      </c>
      <c r="O314" s="43">
        <f t="shared" si="46"/>
        <v>0</v>
      </c>
      <c r="P314" s="113" t="e">
        <f t="shared" si="47"/>
        <v>#DIV/0!</v>
      </c>
      <c r="Q314" s="113" t="e">
        <f t="shared" si="48"/>
        <v>#DIV/0!</v>
      </c>
      <c r="R314" s="113" t="e">
        <f t="shared" si="49"/>
        <v>#DIV/0!</v>
      </c>
      <c r="S314" s="113" t="e">
        <f t="shared" si="50"/>
        <v>#DIV/0!</v>
      </c>
      <c r="T314" s="43">
        <f t="shared" si="43"/>
        <v>0</v>
      </c>
      <c r="U314" s="43"/>
      <c r="V314" s="525" t="e">
        <f>P314*('upper bound Kenaga'!$F$36/100)</f>
        <v>#DIV/0!</v>
      </c>
      <c r="W314" s="43"/>
      <c r="X314" s="525" t="e">
        <f>P314*('upper bound Kenaga'!$F$96/100)</f>
        <v>#DIV/0!</v>
      </c>
      <c r="Y314" s="43"/>
      <c r="Z314" s="43"/>
      <c r="AA314" s="43"/>
      <c r="AB314" s="43"/>
      <c r="AC314" s="43"/>
      <c r="AD314" s="43"/>
    </row>
    <row r="315" spans="11:30" ht="12.75">
      <c r="K315" s="43"/>
      <c r="L315" s="43"/>
      <c r="M315" s="43">
        <f t="shared" si="44"/>
        <v>294</v>
      </c>
      <c r="N315" s="43">
        <f t="shared" si="45"/>
        <v>1</v>
      </c>
      <c r="O315" s="43">
        <f t="shared" si="46"/>
        <v>0</v>
      </c>
      <c r="P315" s="113" t="e">
        <f t="shared" si="47"/>
        <v>#DIV/0!</v>
      </c>
      <c r="Q315" s="113" t="e">
        <f t="shared" si="48"/>
        <v>#DIV/0!</v>
      </c>
      <c r="R315" s="113" t="e">
        <f t="shared" si="49"/>
        <v>#DIV/0!</v>
      </c>
      <c r="S315" s="113" t="e">
        <f t="shared" si="50"/>
        <v>#DIV/0!</v>
      </c>
      <c r="T315" s="43">
        <f t="shared" si="43"/>
        <v>0</v>
      </c>
      <c r="U315" s="43"/>
      <c r="V315" s="525" t="e">
        <f>P315*('upper bound Kenaga'!$F$36/100)</f>
        <v>#DIV/0!</v>
      </c>
      <c r="W315" s="43"/>
      <c r="X315" s="525" t="e">
        <f>P315*('upper bound Kenaga'!$F$96/100)</f>
        <v>#DIV/0!</v>
      </c>
      <c r="Y315" s="43"/>
      <c r="Z315" s="43"/>
      <c r="AA315" s="43"/>
      <c r="AB315" s="43"/>
      <c r="AC315" s="43"/>
      <c r="AD315" s="43"/>
    </row>
    <row r="316" spans="11:30" ht="12.75">
      <c r="K316" s="43"/>
      <c r="L316" s="43"/>
      <c r="M316" s="43">
        <f t="shared" si="44"/>
        <v>295</v>
      </c>
      <c r="N316" s="43">
        <f t="shared" si="45"/>
        <v>1</v>
      </c>
      <c r="O316" s="43">
        <f t="shared" si="46"/>
        <v>0</v>
      </c>
      <c r="P316" s="113" t="e">
        <f t="shared" si="47"/>
        <v>#DIV/0!</v>
      </c>
      <c r="Q316" s="113" t="e">
        <f t="shared" si="48"/>
        <v>#DIV/0!</v>
      </c>
      <c r="R316" s="113" t="e">
        <f t="shared" si="49"/>
        <v>#DIV/0!</v>
      </c>
      <c r="S316" s="113" t="e">
        <f t="shared" si="50"/>
        <v>#DIV/0!</v>
      </c>
      <c r="T316" s="43">
        <f t="shared" si="43"/>
        <v>0</v>
      </c>
      <c r="U316" s="43"/>
      <c r="V316" s="525" t="e">
        <f>P316*('upper bound Kenaga'!$F$36/100)</f>
        <v>#DIV/0!</v>
      </c>
      <c r="W316" s="43"/>
      <c r="X316" s="525" t="e">
        <f>P316*('upper bound Kenaga'!$F$96/100)</f>
        <v>#DIV/0!</v>
      </c>
      <c r="Y316" s="43"/>
      <c r="Z316" s="43"/>
      <c r="AA316" s="43"/>
      <c r="AB316" s="43"/>
      <c r="AC316" s="43"/>
      <c r="AD316" s="43"/>
    </row>
    <row r="317" spans="11:30" ht="12.75">
      <c r="K317" s="43"/>
      <c r="L317" s="43"/>
      <c r="M317" s="43">
        <f t="shared" si="44"/>
        <v>296</v>
      </c>
      <c r="N317" s="43">
        <f t="shared" si="45"/>
        <v>1</v>
      </c>
      <c r="O317" s="43">
        <f t="shared" si="46"/>
        <v>0</v>
      </c>
      <c r="P317" s="113" t="e">
        <f t="shared" si="47"/>
        <v>#DIV/0!</v>
      </c>
      <c r="Q317" s="113" t="e">
        <f t="shared" si="48"/>
        <v>#DIV/0!</v>
      </c>
      <c r="R317" s="113" t="e">
        <f t="shared" si="49"/>
        <v>#DIV/0!</v>
      </c>
      <c r="S317" s="113" t="e">
        <f t="shared" si="50"/>
        <v>#DIV/0!</v>
      </c>
      <c r="T317" s="43">
        <f t="shared" si="43"/>
        <v>0</v>
      </c>
      <c r="U317" s="43"/>
      <c r="V317" s="525" t="e">
        <f>P317*('upper bound Kenaga'!$F$36/100)</f>
        <v>#DIV/0!</v>
      </c>
      <c r="W317" s="43"/>
      <c r="X317" s="525" t="e">
        <f>P317*('upper bound Kenaga'!$F$96/100)</f>
        <v>#DIV/0!</v>
      </c>
      <c r="Y317" s="43"/>
      <c r="Z317" s="43"/>
      <c r="AA317" s="43"/>
      <c r="AB317" s="43"/>
      <c r="AC317" s="43"/>
      <c r="AD317" s="43"/>
    </row>
    <row r="318" spans="11:30" ht="12.75">
      <c r="K318" s="43"/>
      <c r="L318" s="43"/>
      <c r="M318" s="43">
        <f t="shared" si="44"/>
        <v>297</v>
      </c>
      <c r="N318" s="43">
        <f t="shared" si="45"/>
        <v>1</v>
      </c>
      <c r="O318" s="43">
        <f t="shared" si="46"/>
        <v>0</v>
      </c>
      <c r="P318" s="113" t="e">
        <f t="shared" si="47"/>
        <v>#DIV/0!</v>
      </c>
      <c r="Q318" s="113" t="e">
        <f t="shared" si="48"/>
        <v>#DIV/0!</v>
      </c>
      <c r="R318" s="113" t="e">
        <f t="shared" si="49"/>
        <v>#DIV/0!</v>
      </c>
      <c r="S318" s="113" t="e">
        <f t="shared" si="50"/>
        <v>#DIV/0!</v>
      </c>
      <c r="T318" s="43">
        <f t="shared" si="43"/>
        <v>0</v>
      </c>
      <c r="U318" s="43"/>
      <c r="V318" s="525" t="e">
        <f>P318*('upper bound Kenaga'!$F$36/100)</f>
        <v>#DIV/0!</v>
      </c>
      <c r="W318" s="43"/>
      <c r="X318" s="525" t="e">
        <f>P318*('upper bound Kenaga'!$F$96/100)</f>
        <v>#DIV/0!</v>
      </c>
      <c r="Y318" s="43"/>
      <c r="Z318" s="43"/>
      <c r="AA318" s="43"/>
      <c r="AB318" s="43"/>
      <c r="AC318" s="43"/>
      <c r="AD318" s="43"/>
    </row>
    <row r="319" spans="11:30" ht="12.75">
      <c r="K319" s="43"/>
      <c r="L319" s="43"/>
      <c r="M319" s="43">
        <f t="shared" si="44"/>
        <v>298</v>
      </c>
      <c r="N319" s="43">
        <f t="shared" si="45"/>
        <v>1</v>
      </c>
      <c r="O319" s="43">
        <f t="shared" si="46"/>
        <v>0</v>
      </c>
      <c r="P319" s="113" t="e">
        <f t="shared" si="47"/>
        <v>#DIV/0!</v>
      </c>
      <c r="Q319" s="113" t="e">
        <f t="shared" si="48"/>
        <v>#DIV/0!</v>
      </c>
      <c r="R319" s="113" t="e">
        <f t="shared" si="49"/>
        <v>#DIV/0!</v>
      </c>
      <c r="S319" s="113" t="e">
        <f t="shared" si="50"/>
        <v>#DIV/0!</v>
      </c>
      <c r="T319" s="43">
        <f t="shared" si="43"/>
        <v>0</v>
      </c>
      <c r="U319" s="43"/>
      <c r="V319" s="525" t="e">
        <f>P319*('upper bound Kenaga'!$F$36/100)</f>
        <v>#DIV/0!</v>
      </c>
      <c r="W319" s="43"/>
      <c r="X319" s="525" t="e">
        <f>P319*('upper bound Kenaga'!$F$96/100)</f>
        <v>#DIV/0!</v>
      </c>
      <c r="Y319" s="43"/>
      <c r="Z319" s="43"/>
      <c r="AA319" s="43"/>
      <c r="AB319" s="43"/>
      <c r="AC319" s="43"/>
      <c r="AD319" s="43"/>
    </row>
    <row r="320" spans="11:30" ht="12.75">
      <c r="K320" s="43"/>
      <c r="L320" s="43"/>
      <c r="M320" s="43">
        <f t="shared" si="44"/>
        <v>299</v>
      </c>
      <c r="N320" s="43">
        <f t="shared" si="45"/>
        <v>1</v>
      </c>
      <c r="O320" s="43">
        <f t="shared" si="46"/>
        <v>0</v>
      </c>
      <c r="P320" s="113" t="e">
        <f t="shared" si="47"/>
        <v>#DIV/0!</v>
      </c>
      <c r="Q320" s="113" t="e">
        <f t="shared" si="48"/>
        <v>#DIV/0!</v>
      </c>
      <c r="R320" s="113" t="e">
        <f t="shared" si="49"/>
        <v>#DIV/0!</v>
      </c>
      <c r="S320" s="113" t="e">
        <f t="shared" si="50"/>
        <v>#DIV/0!</v>
      </c>
      <c r="T320" s="43">
        <f t="shared" si="43"/>
        <v>0</v>
      </c>
      <c r="U320" s="43"/>
      <c r="V320" s="525" t="e">
        <f>P320*('upper bound Kenaga'!$F$36/100)</f>
        <v>#DIV/0!</v>
      </c>
      <c r="W320" s="43"/>
      <c r="X320" s="525" t="e">
        <f>P320*('upper bound Kenaga'!$F$96/100)</f>
        <v>#DIV/0!</v>
      </c>
      <c r="Y320" s="43"/>
      <c r="Z320" s="43"/>
      <c r="AA320" s="43"/>
      <c r="AB320" s="43"/>
      <c r="AC320" s="43"/>
      <c r="AD320" s="43"/>
    </row>
    <row r="321" spans="11:30" ht="12.75">
      <c r="K321" s="43"/>
      <c r="L321" s="43"/>
      <c r="M321" s="43">
        <f t="shared" si="44"/>
        <v>300</v>
      </c>
      <c r="N321" s="43">
        <f t="shared" si="45"/>
        <v>1</v>
      </c>
      <c r="O321" s="43">
        <f t="shared" si="46"/>
        <v>0</v>
      </c>
      <c r="P321" s="113" t="e">
        <f t="shared" si="47"/>
        <v>#DIV/0!</v>
      </c>
      <c r="Q321" s="113" t="e">
        <f t="shared" si="48"/>
        <v>#DIV/0!</v>
      </c>
      <c r="R321" s="113" t="e">
        <f t="shared" si="49"/>
        <v>#DIV/0!</v>
      </c>
      <c r="S321" s="113" t="e">
        <f t="shared" si="50"/>
        <v>#DIV/0!</v>
      </c>
      <c r="T321" s="43">
        <f t="shared" si="43"/>
        <v>0</v>
      </c>
      <c r="U321" s="43"/>
      <c r="V321" s="525" t="e">
        <f>P321*('upper bound Kenaga'!$F$36/100)</f>
        <v>#DIV/0!</v>
      </c>
      <c r="W321" s="43"/>
      <c r="X321" s="525" t="e">
        <f>P321*('upper bound Kenaga'!$F$96/100)</f>
        <v>#DIV/0!</v>
      </c>
      <c r="Y321" s="43"/>
      <c r="Z321" s="43"/>
      <c r="AA321" s="43"/>
      <c r="AB321" s="43"/>
      <c r="AC321" s="43"/>
      <c r="AD321" s="43"/>
    </row>
    <row r="322" spans="11:30" ht="12.75">
      <c r="K322" s="43"/>
      <c r="L322" s="43"/>
      <c r="M322" s="43">
        <f t="shared" si="44"/>
        <v>301</v>
      </c>
      <c r="N322" s="43">
        <f t="shared" si="45"/>
        <v>1</v>
      </c>
      <c r="O322" s="43">
        <f t="shared" si="46"/>
        <v>0</v>
      </c>
      <c r="P322" s="113" t="e">
        <f t="shared" si="47"/>
        <v>#DIV/0!</v>
      </c>
      <c r="Q322" s="113" t="e">
        <f t="shared" si="48"/>
        <v>#DIV/0!</v>
      </c>
      <c r="R322" s="113" t="e">
        <f t="shared" si="49"/>
        <v>#DIV/0!</v>
      </c>
      <c r="S322" s="113" t="e">
        <f t="shared" si="50"/>
        <v>#DIV/0!</v>
      </c>
      <c r="T322" s="43">
        <f t="shared" si="43"/>
        <v>0</v>
      </c>
      <c r="U322" s="43"/>
      <c r="V322" s="525" t="e">
        <f>P322*('upper bound Kenaga'!$F$36/100)</f>
        <v>#DIV/0!</v>
      </c>
      <c r="W322" s="43"/>
      <c r="X322" s="525" t="e">
        <f>P322*('upper bound Kenaga'!$F$96/100)</f>
        <v>#DIV/0!</v>
      </c>
      <c r="Y322" s="43"/>
      <c r="Z322" s="43"/>
      <c r="AA322" s="43"/>
      <c r="AB322" s="43"/>
      <c r="AC322" s="43"/>
      <c r="AD322" s="43"/>
    </row>
    <row r="323" spans="11:30" ht="12.75">
      <c r="K323" s="43"/>
      <c r="L323" s="43"/>
      <c r="M323" s="43">
        <f t="shared" si="44"/>
        <v>302</v>
      </c>
      <c r="N323" s="43">
        <f t="shared" si="45"/>
        <v>1</v>
      </c>
      <c r="O323" s="43">
        <f t="shared" si="46"/>
        <v>0</v>
      </c>
      <c r="P323" s="113" t="e">
        <f t="shared" si="47"/>
        <v>#DIV/0!</v>
      </c>
      <c r="Q323" s="113" t="e">
        <f t="shared" si="48"/>
        <v>#DIV/0!</v>
      </c>
      <c r="R323" s="113" t="e">
        <f t="shared" si="49"/>
        <v>#DIV/0!</v>
      </c>
      <c r="S323" s="113" t="e">
        <f t="shared" si="50"/>
        <v>#DIV/0!</v>
      </c>
      <c r="T323" s="43">
        <f t="shared" si="43"/>
        <v>0</v>
      </c>
      <c r="U323" s="43"/>
      <c r="V323" s="525" t="e">
        <f>P323*('upper bound Kenaga'!$F$36/100)</f>
        <v>#DIV/0!</v>
      </c>
      <c r="W323" s="43"/>
      <c r="X323" s="525" t="e">
        <f>P323*('upper bound Kenaga'!$F$96/100)</f>
        <v>#DIV/0!</v>
      </c>
      <c r="Y323" s="43"/>
      <c r="Z323" s="43"/>
      <c r="AA323" s="43"/>
      <c r="AB323" s="43"/>
      <c r="AC323" s="43"/>
      <c r="AD323" s="43"/>
    </row>
    <row r="324" spans="11:30" ht="12.75">
      <c r="K324" s="43"/>
      <c r="L324" s="43"/>
      <c r="M324" s="43">
        <f t="shared" si="44"/>
        <v>303</v>
      </c>
      <c r="N324" s="43">
        <f t="shared" si="45"/>
        <v>1</v>
      </c>
      <c r="O324" s="43">
        <f t="shared" si="46"/>
        <v>0</v>
      </c>
      <c r="P324" s="113" t="e">
        <f t="shared" si="47"/>
        <v>#DIV/0!</v>
      </c>
      <c r="Q324" s="113" t="e">
        <f t="shared" si="48"/>
        <v>#DIV/0!</v>
      </c>
      <c r="R324" s="113" t="e">
        <f t="shared" si="49"/>
        <v>#DIV/0!</v>
      </c>
      <c r="S324" s="113" t="e">
        <f t="shared" si="50"/>
        <v>#DIV/0!</v>
      </c>
      <c r="T324" s="43">
        <f t="shared" si="43"/>
        <v>0</v>
      </c>
      <c r="U324" s="43"/>
      <c r="V324" s="525" t="e">
        <f>P324*('upper bound Kenaga'!$F$36/100)</f>
        <v>#DIV/0!</v>
      </c>
      <c r="W324" s="43"/>
      <c r="X324" s="525" t="e">
        <f>P324*('upper bound Kenaga'!$F$96/100)</f>
        <v>#DIV/0!</v>
      </c>
      <c r="Y324" s="43"/>
      <c r="Z324" s="43"/>
      <c r="AA324" s="43"/>
      <c r="AB324" s="43"/>
      <c r="AC324" s="43"/>
      <c r="AD324" s="43"/>
    </row>
    <row r="325" spans="11:30" ht="12.75">
      <c r="K325" s="43"/>
      <c r="L325" s="43"/>
      <c r="M325" s="43">
        <f t="shared" si="44"/>
        <v>304</v>
      </c>
      <c r="N325" s="43">
        <f t="shared" si="45"/>
        <v>1</v>
      </c>
      <c r="O325" s="43">
        <f t="shared" si="46"/>
        <v>0</v>
      </c>
      <c r="P325" s="113" t="e">
        <f t="shared" si="47"/>
        <v>#DIV/0!</v>
      </c>
      <c r="Q325" s="113" t="e">
        <f t="shared" si="48"/>
        <v>#DIV/0!</v>
      </c>
      <c r="R325" s="113" t="e">
        <f t="shared" si="49"/>
        <v>#DIV/0!</v>
      </c>
      <c r="S325" s="113" t="e">
        <f t="shared" si="50"/>
        <v>#DIV/0!</v>
      </c>
      <c r="T325" s="43">
        <f t="shared" si="43"/>
        <v>0</v>
      </c>
      <c r="U325" s="43"/>
      <c r="V325" s="525" t="e">
        <f>P325*('upper bound Kenaga'!$F$36/100)</f>
        <v>#DIV/0!</v>
      </c>
      <c r="W325" s="43"/>
      <c r="X325" s="525" t="e">
        <f>P325*('upper bound Kenaga'!$F$96/100)</f>
        <v>#DIV/0!</v>
      </c>
      <c r="Y325" s="43"/>
      <c r="Z325" s="43"/>
      <c r="AA325" s="43"/>
      <c r="AB325" s="43"/>
      <c r="AC325" s="43"/>
      <c r="AD325" s="43"/>
    </row>
    <row r="326" spans="11:30" ht="12.75">
      <c r="K326" s="43"/>
      <c r="L326" s="43"/>
      <c r="M326" s="43">
        <f t="shared" si="44"/>
        <v>305</v>
      </c>
      <c r="N326" s="43">
        <f t="shared" si="45"/>
        <v>1</v>
      </c>
      <c r="O326" s="43">
        <f t="shared" si="46"/>
        <v>0</v>
      </c>
      <c r="P326" s="113" t="e">
        <f t="shared" si="47"/>
        <v>#DIV/0!</v>
      </c>
      <c r="Q326" s="113" t="e">
        <f t="shared" si="48"/>
        <v>#DIV/0!</v>
      </c>
      <c r="R326" s="113" t="e">
        <f t="shared" si="49"/>
        <v>#DIV/0!</v>
      </c>
      <c r="S326" s="113" t="e">
        <f t="shared" si="50"/>
        <v>#DIV/0!</v>
      </c>
      <c r="T326" s="43">
        <f t="shared" si="43"/>
        <v>0</v>
      </c>
      <c r="U326" s="43"/>
      <c r="V326" s="525" t="e">
        <f>P326*('upper bound Kenaga'!$F$36/100)</f>
        <v>#DIV/0!</v>
      </c>
      <c r="W326" s="43"/>
      <c r="X326" s="525" t="e">
        <f>P326*('upper bound Kenaga'!$F$96/100)</f>
        <v>#DIV/0!</v>
      </c>
      <c r="Y326" s="43"/>
      <c r="Z326" s="43"/>
      <c r="AA326" s="43"/>
      <c r="AB326" s="43"/>
      <c r="AC326" s="43"/>
      <c r="AD326" s="43"/>
    </row>
    <row r="327" spans="11:30" ht="12.75">
      <c r="K327" s="43"/>
      <c r="L327" s="43"/>
      <c r="M327" s="43">
        <f t="shared" si="44"/>
        <v>306</v>
      </c>
      <c r="N327" s="43">
        <f t="shared" si="45"/>
        <v>1</v>
      </c>
      <c r="O327" s="43">
        <f t="shared" si="46"/>
        <v>0</v>
      </c>
      <c r="P327" s="113" t="e">
        <f t="shared" si="47"/>
        <v>#DIV/0!</v>
      </c>
      <c r="Q327" s="113" t="e">
        <f t="shared" si="48"/>
        <v>#DIV/0!</v>
      </c>
      <c r="R327" s="113" t="e">
        <f t="shared" si="49"/>
        <v>#DIV/0!</v>
      </c>
      <c r="S327" s="113" t="e">
        <f t="shared" si="50"/>
        <v>#DIV/0!</v>
      </c>
      <c r="T327" s="43">
        <f t="shared" si="43"/>
        <v>0</v>
      </c>
      <c r="U327" s="43"/>
      <c r="V327" s="525" t="e">
        <f>P327*('upper bound Kenaga'!$F$36/100)</f>
        <v>#DIV/0!</v>
      </c>
      <c r="W327" s="43"/>
      <c r="X327" s="525" t="e">
        <f>P327*('upper bound Kenaga'!$F$96/100)</f>
        <v>#DIV/0!</v>
      </c>
      <c r="Y327" s="43"/>
      <c r="Z327" s="43"/>
      <c r="AA327" s="43"/>
      <c r="AB327" s="43"/>
      <c r="AC327" s="43"/>
      <c r="AD327" s="43"/>
    </row>
    <row r="328" spans="11:30" ht="12.75">
      <c r="K328" s="43"/>
      <c r="L328" s="43"/>
      <c r="M328" s="43">
        <f t="shared" si="44"/>
        <v>307</v>
      </c>
      <c r="N328" s="43">
        <f t="shared" si="45"/>
        <v>1</v>
      </c>
      <c r="O328" s="43">
        <f t="shared" si="46"/>
        <v>0</v>
      </c>
      <c r="P328" s="113" t="e">
        <f t="shared" si="47"/>
        <v>#DIV/0!</v>
      </c>
      <c r="Q328" s="113" t="e">
        <f t="shared" si="48"/>
        <v>#DIV/0!</v>
      </c>
      <c r="R328" s="113" t="e">
        <f t="shared" si="49"/>
        <v>#DIV/0!</v>
      </c>
      <c r="S328" s="113" t="e">
        <f t="shared" si="50"/>
        <v>#DIV/0!</v>
      </c>
      <c r="T328" s="43">
        <f t="shared" si="43"/>
        <v>0</v>
      </c>
      <c r="U328" s="43"/>
      <c r="V328" s="525" t="e">
        <f>P328*('upper bound Kenaga'!$F$36/100)</f>
        <v>#DIV/0!</v>
      </c>
      <c r="W328" s="43"/>
      <c r="X328" s="525" t="e">
        <f>P328*('upper bound Kenaga'!$F$96/100)</f>
        <v>#DIV/0!</v>
      </c>
      <c r="Y328" s="43"/>
      <c r="Z328" s="43"/>
      <c r="AA328" s="43"/>
      <c r="AB328" s="43"/>
      <c r="AC328" s="43"/>
      <c r="AD328" s="43"/>
    </row>
    <row r="329" spans="11:30" ht="12.75">
      <c r="K329" s="43"/>
      <c r="L329" s="43"/>
      <c r="M329" s="43">
        <f t="shared" si="44"/>
        <v>308</v>
      </c>
      <c r="N329" s="43">
        <f t="shared" si="45"/>
        <v>1</v>
      </c>
      <c r="O329" s="43">
        <f t="shared" si="46"/>
        <v>0</v>
      </c>
      <c r="P329" s="113" t="e">
        <f t="shared" si="47"/>
        <v>#DIV/0!</v>
      </c>
      <c r="Q329" s="113" t="e">
        <f t="shared" si="48"/>
        <v>#DIV/0!</v>
      </c>
      <c r="R329" s="113" t="e">
        <f t="shared" si="49"/>
        <v>#DIV/0!</v>
      </c>
      <c r="S329" s="113" t="e">
        <f t="shared" si="50"/>
        <v>#DIV/0!</v>
      </c>
      <c r="T329" s="43">
        <f t="shared" si="43"/>
        <v>0</v>
      </c>
      <c r="U329" s="43"/>
      <c r="V329" s="525" t="e">
        <f>P329*('upper bound Kenaga'!$F$36/100)</f>
        <v>#DIV/0!</v>
      </c>
      <c r="W329" s="43"/>
      <c r="X329" s="525" t="e">
        <f>P329*('upper bound Kenaga'!$F$96/100)</f>
        <v>#DIV/0!</v>
      </c>
      <c r="Y329" s="43"/>
      <c r="Z329" s="43"/>
      <c r="AA329" s="43"/>
      <c r="AB329" s="43"/>
      <c r="AC329" s="43"/>
      <c r="AD329" s="43"/>
    </row>
    <row r="330" spans="11:30" ht="12.75">
      <c r="K330" s="43"/>
      <c r="L330" s="43"/>
      <c r="M330" s="43">
        <f t="shared" si="44"/>
        <v>309</v>
      </c>
      <c r="N330" s="43">
        <f t="shared" si="45"/>
        <v>1</v>
      </c>
      <c r="O330" s="43">
        <f t="shared" si="46"/>
        <v>0</v>
      </c>
      <c r="P330" s="113" t="e">
        <f t="shared" si="47"/>
        <v>#DIV/0!</v>
      </c>
      <c r="Q330" s="113" t="e">
        <f t="shared" si="48"/>
        <v>#DIV/0!</v>
      </c>
      <c r="R330" s="113" t="e">
        <f t="shared" si="49"/>
        <v>#DIV/0!</v>
      </c>
      <c r="S330" s="113" t="e">
        <f t="shared" si="50"/>
        <v>#DIV/0!</v>
      </c>
      <c r="T330" s="43">
        <f t="shared" si="43"/>
        <v>0</v>
      </c>
      <c r="U330" s="43"/>
      <c r="V330" s="525" t="e">
        <f>P330*('upper bound Kenaga'!$F$36/100)</f>
        <v>#DIV/0!</v>
      </c>
      <c r="W330" s="43"/>
      <c r="X330" s="525" t="e">
        <f>P330*('upper bound Kenaga'!$F$96/100)</f>
        <v>#DIV/0!</v>
      </c>
      <c r="Y330" s="43"/>
      <c r="Z330" s="43"/>
      <c r="AA330" s="43"/>
      <c r="AB330" s="43"/>
      <c r="AC330" s="43"/>
      <c r="AD330" s="43"/>
    </row>
    <row r="331" spans="11:30" ht="12.75">
      <c r="K331" s="43"/>
      <c r="L331" s="43"/>
      <c r="M331" s="43">
        <f t="shared" si="44"/>
        <v>310</v>
      </c>
      <c r="N331" s="43">
        <f t="shared" si="45"/>
        <v>1</v>
      </c>
      <c r="O331" s="43">
        <f t="shared" si="46"/>
        <v>0</v>
      </c>
      <c r="P331" s="113" t="e">
        <f t="shared" si="47"/>
        <v>#DIV/0!</v>
      </c>
      <c r="Q331" s="113" t="e">
        <f t="shared" si="48"/>
        <v>#DIV/0!</v>
      </c>
      <c r="R331" s="113" t="e">
        <f t="shared" si="49"/>
        <v>#DIV/0!</v>
      </c>
      <c r="S331" s="113" t="e">
        <f t="shared" si="50"/>
        <v>#DIV/0!</v>
      </c>
      <c r="T331" s="43">
        <f t="shared" si="43"/>
        <v>0</v>
      </c>
      <c r="U331" s="43"/>
      <c r="V331" s="525" t="e">
        <f>P331*('upper bound Kenaga'!$F$36/100)</f>
        <v>#DIV/0!</v>
      </c>
      <c r="W331" s="43"/>
      <c r="X331" s="525" t="e">
        <f>P331*('upper bound Kenaga'!$F$96/100)</f>
        <v>#DIV/0!</v>
      </c>
      <c r="Y331" s="43"/>
      <c r="Z331" s="43"/>
      <c r="AA331" s="43"/>
      <c r="AB331" s="43"/>
      <c r="AC331" s="43"/>
      <c r="AD331" s="43"/>
    </row>
    <row r="332" spans="11:30" ht="12.75">
      <c r="K332" s="43"/>
      <c r="L332" s="43"/>
      <c r="M332" s="43">
        <f t="shared" si="44"/>
        <v>311</v>
      </c>
      <c r="N332" s="43">
        <f t="shared" si="45"/>
        <v>1</v>
      </c>
      <c r="O332" s="43">
        <f t="shared" si="46"/>
        <v>0</v>
      </c>
      <c r="P332" s="113" t="e">
        <f t="shared" si="47"/>
        <v>#DIV/0!</v>
      </c>
      <c r="Q332" s="113" t="e">
        <f t="shared" si="48"/>
        <v>#DIV/0!</v>
      </c>
      <c r="R332" s="113" t="e">
        <f t="shared" si="49"/>
        <v>#DIV/0!</v>
      </c>
      <c r="S332" s="113" t="e">
        <f t="shared" si="50"/>
        <v>#DIV/0!</v>
      </c>
      <c r="T332" s="43">
        <f t="shared" si="43"/>
        <v>0</v>
      </c>
      <c r="U332" s="43"/>
      <c r="V332" s="525" t="e">
        <f>P332*('upper bound Kenaga'!$F$36/100)</f>
        <v>#DIV/0!</v>
      </c>
      <c r="W332" s="43"/>
      <c r="X332" s="525" t="e">
        <f>P332*('upper bound Kenaga'!$F$96/100)</f>
        <v>#DIV/0!</v>
      </c>
      <c r="Y332" s="43"/>
      <c r="Z332" s="43"/>
      <c r="AA332" s="43"/>
      <c r="AB332" s="43"/>
      <c r="AC332" s="43"/>
      <c r="AD332" s="43"/>
    </row>
    <row r="333" spans="11:30" ht="12.75">
      <c r="K333" s="43"/>
      <c r="L333" s="43"/>
      <c r="M333" s="43">
        <f t="shared" si="44"/>
        <v>312</v>
      </c>
      <c r="N333" s="43">
        <f t="shared" si="45"/>
        <v>1</v>
      </c>
      <c r="O333" s="43">
        <f t="shared" si="46"/>
        <v>0</v>
      </c>
      <c r="P333" s="113" t="e">
        <f t="shared" si="47"/>
        <v>#DIV/0!</v>
      </c>
      <c r="Q333" s="113" t="e">
        <f t="shared" si="48"/>
        <v>#DIV/0!</v>
      </c>
      <c r="R333" s="113" t="e">
        <f t="shared" si="49"/>
        <v>#DIV/0!</v>
      </c>
      <c r="S333" s="113" t="e">
        <f t="shared" si="50"/>
        <v>#DIV/0!</v>
      </c>
      <c r="T333" s="43">
        <f t="shared" si="43"/>
        <v>0</v>
      </c>
      <c r="U333" s="43"/>
      <c r="V333" s="525" t="e">
        <f>P333*('upper bound Kenaga'!$F$36/100)</f>
        <v>#DIV/0!</v>
      </c>
      <c r="W333" s="43"/>
      <c r="X333" s="525" t="e">
        <f>P333*('upper bound Kenaga'!$F$96/100)</f>
        <v>#DIV/0!</v>
      </c>
      <c r="Y333" s="43"/>
      <c r="Z333" s="43"/>
      <c r="AA333" s="43"/>
      <c r="AB333" s="43"/>
      <c r="AC333" s="43"/>
      <c r="AD333" s="43"/>
    </row>
    <row r="334" spans="11:30" ht="12.75">
      <c r="K334" s="43"/>
      <c r="L334" s="43"/>
      <c r="M334" s="43">
        <f t="shared" si="44"/>
        <v>313</v>
      </c>
      <c r="N334" s="43">
        <f t="shared" si="45"/>
        <v>1</v>
      </c>
      <c r="O334" s="43">
        <f t="shared" si="46"/>
        <v>0</v>
      </c>
      <c r="P334" s="113" t="e">
        <f t="shared" si="47"/>
        <v>#DIV/0!</v>
      </c>
      <c r="Q334" s="113" t="e">
        <f t="shared" si="48"/>
        <v>#DIV/0!</v>
      </c>
      <c r="R334" s="113" t="e">
        <f t="shared" si="49"/>
        <v>#DIV/0!</v>
      </c>
      <c r="S334" s="113" t="e">
        <f t="shared" si="50"/>
        <v>#DIV/0!</v>
      </c>
      <c r="T334" s="43">
        <f t="shared" si="43"/>
        <v>0</v>
      </c>
      <c r="U334" s="43"/>
      <c r="V334" s="525" t="e">
        <f>P334*('upper bound Kenaga'!$F$36/100)</f>
        <v>#DIV/0!</v>
      </c>
      <c r="W334" s="43"/>
      <c r="X334" s="525" t="e">
        <f>P334*('upper bound Kenaga'!$F$96/100)</f>
        <v>#DIV/0!</v>
      </c>
      <c r="Y334" s="43"/>
      <c r="Z334" s="43"/>
      <c r="AA334" s="43"/>
      <c r="AB334" s="43"/>
      <c r="AC334" s="43"/>
      <c r="AD334" s="43"/>
    </row>
    <row r="335" spans="11:30" ht="12.75">
      <c r="K335" s="43"/>
      <c r="L335" s="43"/>
      <c r="M335" s="43">
        <f t="shared" si="44"/>
        <v>314</v>
      </c>
      <c r="N335" s="43">
        <f t="shared" si="45"/>
        <v>1</v>
      </c>
      <c r="O335" s="43">
        <f t="shared" si="46"/>
        <v>0</v>
      </c>
      <c r="P335" s="113" t="e">
        <f t="shared" si="47"/>
        <v>#DIV/0!</v>
      </c>
      <c r="Q335" s="113" t="e">
        <f t="shared" si="48"/>
        <v>#DIV/0!</v>
      </c>
      <c r="R335" s="113" t="e">
        <f t="shared" si="49"/>
        <v>#DIV/0!</v>
      </c>
      <c r="S335" s="113" t="e">
        <f t="shared" si="50"/>
        <v>#DIV/0!</v>
      </c>
      <c r="T335" s="43">
        <f t="shared" si="43"/>
        <v>0</v>
      </c>
      <c r="U335" s="43"/>
      <c r="V335" s="525" t="e">
        <f>P335*('upper bound Kenaga'!$F$36/100)</f>
        <v>#DIV/0!</v>
      </c>
      <c r="W335" s="43"/>
      <c r="X335" s="525" t="e">
        <f>P335*('upper bound Kenaga'!$F$96/100)</f>
        <v>#DIV/0!</v>
      </c>
      <c r="Y335" s="43"/>
      <c r="Z335" s="43"/>
      <c r="AA335" s="43"/>
      <c r="AB335" s="43"/>
      <c r="AC335" s="43"/>
      <c r="AD335" s="43"/>
    </row>
    <row r="336" spans="11:30" ht="12.75">
      <c r="K336" s="43"/>
      <c r="L336" s="43"/>
      <c r="M336" s="43">
        <f t="shared" si="44"/>
        <v>315</v>
      </c>
      <c r="N336" s="43">
        <f t="shared" si="45"/>
        <v>1</v>
      </c>
      <c r="O336" s="43">
        <f t="shared" si="46"/>
        <v>0</v>
      </c>
      <c r="P336" s="113" t="e">
        <f t="shared" si="47"/>
        <v>#DIV/0!</v>
      </c>
      <c r="Q336" s="113" t="e">
        <f t="shared" si="48"/>
        <v>#DIV/0!</v>
      </c>
      <c r="R336" s="113" t="e">
        <f t="shared" si="49"/>
        <v>#DIV/0!</v>
      </c>
      <c r="S336" s="113" t="e">
        <f t="shared" si="50"/>
        <v>#DIV/0!</v>
      </c>
      <c r="T336" s="43">
        <f t="shared" si="43"/>
        <v>0</v>
      </c>
      <c r="U336" s="43"/>
      <c r="V336" s="525" t="e">
        <f>P336*('upper bound Kenaga'!$F$36/100)</f>
        <v>#DIV/0!</v>
      </c>
      <c r="W336" s="43"/>
      <c r="X336" s="525" t="e">
        <f>P336*('upper bound Kenaga'!$F$96/100)</f>
        <v>#DIV/0!</v>
      </c>
      <c r="Y336" s="43"/>
      <c r="Z336" s="43"/>
      <c r="AA336" s="43"/>
      <c r="AB336" s="43"/>
      <c r="AC336" s="43"/>
      <c r="AD336" s="43"/>
    </row>
    <row r="337" spans="11:30" ht="12.75">
      <c r="K337" s="43"/>
      <c r="L337" s="43"/>
      <c r="M337" s="43">
        <f t="shared" si="44"/>
        <v>316</v>
      </c>
      <c r="N337" s="43">
        <f t="shared" si="45"/>
        <v>1</v>
      </c>
      <c r="O337" s="43">
        <f t="shared" si="46"/>
        <v>0</v>
      </c>
      <c r="P337" s="113" t="e">
        <f t="shared" si="47"/>
        <v>#DIV/0!</v>
      </c>
      <c r="Q337" s="113" t="e">
        <f t="shared" si="48"/>
        <v>#DIV/0!</v>
      </c>
      <c r="R337" s="113" t="e">
        <f t="shared" si="49"/>
        <v>#DIV/0!</v>
      </c>
      <c r="S337" s="113" t="e">
        <f t="shared" si="50"/>
        <v>#DIV/0!</v>
      </c>
      <c r="T337" s="43">
        <f t="shared" si="43"/>
        <v>0</v>
      </c>
      <c r="U337" s="43"/>
      <c r="V337" s="525" t="e">
        <f>P337*('upper bound Kenaga'!$F$36/100)</f>
        <v>#DIV/0!</v>
      </c>
      <c r="W337" s="43"/>
      <c r="X337" s="525" t="e">
        <f>P337*('upper bound Kenaga'!$F$96/100)</f>
        <v>#DIV/0!</v>
      </c>
      <c r="Y337" s="43"/>
      <c r="Z337" s="43"/>
      <c r="AA337" s="43"/>
      <c r="AB337" s="43"/>
      <c r="AC337" s="43"/>
      <c r="AD337" s="43"/>
    </row>
    <row r="338" spans="11:30" ht="12.75">
      <c r="K338" s="43"/>
      <c r="L338" s="43"/>
      <c r="M338" s="43">
        <f t="shared" si="44"/>
        <v>317</v>
      </c>
      <c r="N338" s="43">
        <f t="shared" si="45"/>
        <v>1</v>
      </c>
      <c r="O338" s="43">
        <f t="shared" si="46"/>
        <v>0</v>
      </c>
      <c r="P338" s="113" t="e">
        <f t="shared" si="47"/>
        <v>#DIV/0!</v>
      </c>
      <c r="Q338" s="113" t="e">
        <f t="shared" si="48"/>
        <v>#DIV/0!</v>
      </c>
      <c r="R338" s="113" t="e">
        <f t="shared" si="49"/>
        <v>#DIV/0!</v>
      </c>
      <c r="S338" s="113" t="e">
        <f t="shared" si="50"/>
        <v>#DIV/0!</v>
      </c>
      <c r="T338" s="43">
        <f t="shared" si="43"/>
        <v>0</v>
      </c>
      <c r="U338" s="43"/>
      <c r="V338" s="525" t="e">
        <f>P338*('upper bound Kenaga'!$F$36/100)</f>
        <v>#DIV/0!</v>
      </c>
      <c r="W338" s="43"/>
      <c r="X338" s="525" t="e">
        <f>P338*('upper bound Kenaga'!$F$96/100)</f>
        <v>#DIV/0!</v>
      </c>
      <c r="Y338" s="43"/>
      <c r="Z338" s="43"/>
      <c r="AA338" s="43"/>
      <c r="AB338" s="43"/>
      <c r="AC338" s="43"/>
      <c r="AD338" s="43"/>
    </row>
    <row r="339" spans="11:30" ht="12.75">
      <c r="K339" s="43"/>
      <c r="L339" s="43"/>
      <c r="M339" s="43">
        <f t="shared" si="44"/>
        <v>318</v>
      </c>
      <c r="N339" s="43">
        <f t="shared" si="45"/>
        <v>1</v>
      </c>
      <c r="O339" s="43">
        <f t="shared" si="46"/>
        <v>0</v>
      </c>
      <c r="P339" s="113" t="e">
        <f t="shared" si="47"/>
        <v>#DIV/0!</v>
      </c>
      <c r="Q339" s="113" t="e">
        <f t="shared" si="48"/>
        <v>#DIV/0!</v>
      </c>
      <c r="R339" s="113" t="e">
        <f t="shared" si="49"/>
        <v>#DIV/0!</v>
      </c>
      <c r="S339" s="113" t="e">
        <f t="shared" si="50"/>
        <v>#DIV/0!</v>
      </c>
      <c r="T339" s="43">
        <f t="shared" si="43"/>
        <v>0</v>
      </c>
      <c r="U339" s="43"/>
      <c r="V339" s="525" t="e">
        <f>P339*('upper bound Kenaga'!$F$36/100)</f>
        <v>#DIV/0!</v>
      </c>
      <c r="W339" s="43"/>
      <c r="X339" s="525" t="e">
        <f>P339*('upper bound Kenaga'!$F$96/100)</f>
        <v>#DIV/0!</v>
      </c>
      <c r="Y339" s="43"/>
      <c r="Z339" s="43"/>
      <c r="AA339" s="43"/>
      <c r="AB339" s="43"/>
      <c r="AC339" s="43"/>
      <c r="AD339" s="43"/>
    </row>
    <row r="340" spans="11:30" ht="12.75">
      <c r="K340" s="43"/>
      <c r="L340" s="43"/>
      <c r="M340" s="43">
        <f t="shared" si="44"/>
        <v>319</v>
      </c>
      <c r="N340" s="43">
        <f t="shared" si="45"/>
        <v>1</v>
      </c>
      <c r="O340" s="43">
        <f t="shared" si="46"/>
        <v>0</v>
      </c>
      <c r="P340" s="113" t="e">
        <f t="shared" si="47"/>
        <v>#DIV/0!</v>
      </c>
      <c r="Q340" s="113" t="e">
        <f t="shared" si="48"/>
        <v>#DIV/0!</v>
      </c>
      <c r="R340" s="113" t="e">
        <f t="shared" si="49"/>
        <v>#DIV/0!</v>
      </c>
      <c r="S340" s="113" t="e">
        <f t="shared" si="50"/>
        <v>#DIV/0!</v>
      </c>
      <c r="T340" s="43">
        <f t="shared" si="43"/>
        <v>0</v>
      </c>
      <c r="U340" s="43"/>
      <c r="V340" s="525" t="e">
        <f>P340*('upper bound Kenaga'!$F$36/100)</f>
        <v>#DIV/0!</v>
      </c>
      <c r="W340" s="43"/>
      <c r="X340" s="525" t="e">
        <f>P340*('upper bound Kenaga'!$F$96/100)</f>
        <v>#DIV/0!</v>
      </c>
      <c r="Y340" s="43"/>
      <c r="Z340" s="43"/>
      <c r="AA340" s="43"/>
      <c r="AB340" s="43"/>
      <c r="AC340" s="43"/>
      <c r="AD340" s="43"/>
    </row>
    <row r="341" spans="11:30" ht="12.75">
      <c r="K341" s="43"/>
      <c r="L341" s="43"/>
      <c r="M341" s="43">
        <f t="shared" si="44"/>
        <v>320</v>
      </c>
      <c r="N341" s="43">
        <f t="shared" si="45"/>
        <v>1</v>
      </c>
      <c r="O341" s="43">
        <f t="shared" si="46"/>
        <v>0</v>
      </c>
      <c r="P341" s="113" t="e">
        <f t="shared" si="47"/>
        <v>#DIV/0!</v>
      </c>
      <c r="Q341" s="113" t="e">
        <f t="shared" si="48"/>
        <v>#DIV/0!</v>
      </c>
      <c r="R341" s="113" t="e">
        <f t="shared" si="49"/>
        <v>#DIV/0!</v>
      </c>
      <c r="S341" s="113" t="e">
        <f t="shared" si="50"/>
        <v>#DIV/0!</v>
      </c>
      <c r="T341" s="43">
        <f t="shared" si="43"/>
        <v>0</v>
      </c>
      <c r="U341" s="43"/>
      <c r="V341" s="525" t="e">
        <f>P341*('upper bound Kenaga'!$F$36/100)</f>
        <v>#DIV/0!</v>
      </c>
      <c r="W341" s="43"/>
      <c r="X341" s="525" t="e">
        <f>P341*('upper bound Kenaga'!$F$96/100)</f>
        <v>#DIV/0!</v>
      </c>
      <c r="Y341" s="43"/>
      <c r="Z341" s="43"/>
      <c r="AA341" s="43"/>
      <c r="AB341" s="43"/>
      <c r="AC341" s="43"/>
      <c r="AD341" s="43"/>
    </row>
    <row r="342" spans="11:30" ht="12.75">
      <c r="K342" s="43"/>
      <c r="L342" s="43"/>
      <c r="M342" s="43">
        <f t="shared" si="44"/>
        <v>321</v>
      </c>
      <c r="N342" s="43">
        <f t="shared" si="45"/>
        <v>1</v>
      </c>
      <c r="O342" s="43">
        <f t="shared" si="46"/>
        <v>0</v>
      </c>
      <c r="P342" s="113" t="e">
        <f t="shared" si="47"/>
        <v>#DIV/0!</v>
      </c>
      <c r="Q342" s="113" t="e">
        <f t="shared" si="48"/>
        <v>#DIV/0!</v>
      </c>
      <c r="R342" s="113" t="e">
        <f t="shared" si="49"/>
        <v>#DIV/0!</v>
      </c>
      <c r="S342" s="113" t="e">
        <f t="shared" si="50"/>
        <v>#DIV/0!</v>
      </c>
      <c r="T342" s="43">
        <f t="shared" si="43"/>
        <v>0</v>
      </c>
      <c r="U342" s="43"/>
      <c r="V342" s="525" t="e">
        <f>P342*('upper bound Kenaga'!$F$36/100)</f>
        <v>#DIV/0!</v>
      </c>
      <c r="W342" s="43"/>
      <c r="X342" s="525" t="e">
        <f>P342*('upper bound Kenaga'!$F$96/100)</f>
        <v>#DIV/0!</v>
      </c>
      <c r="Y342" s="43"/>
      <c r="Z342" s="43"/>
      <c r="AA342" s="43"/>
      <c r="AB342" s="43"/>
      <c r="AC342" s="43"/>
      <c r="AD342" s="43"/>
    </row>
    <row r="343" spans="11:30" ht="12.75">
      <c r="K343" s="43"/>
      <c r="L343" s="43"/>
      <c r="M343" s="43">
        <f t="shared" si="44"/>
        <v>322</v>
      </c>
      <c r="N343" s="43">
        <f t="shared" si="45"/>
        <v>1</v>
      </c>
      <c r="O343" s="43">
        <f t="shared" si="46"/>
        <v>0</v>
      </c>
      <c r="P343" s="113" t="e">
        <f t="shared" si="47"/>
        <v>#DIV/0!</v>
      </c>
      <c r="Q343" s="113" t="e">
        <f t="shared" si="48"/>
        <v>#DIV/0!</v>
      </c>
      <c r="R343" s="113" t="e">
        <f t="shared" si="49"/>
        <v>#DIV/0!</v>
      </c>
      <c r="S343" s="113" t="e">
        <f t="shared" si="50"/>
        <v>#DIV/0!</v>
      </c>
      <c r="T343" s="43">
        <f t="shared" si="43"/>
        <v>0</v>
      </c>
      <c r="U343" s="43"/>
      <c r="V343" s="525" t="e">
        <f>P343*('upper bound Kenaga'!$F$36/100)</f>
        <v>#DIV/0!</v>
      </c>
      <c r="W343" s="43"/>
      <c r="X343" s="525" t="e">
        <f>P343*('upper bound Kenaga'!$F$96/100)</f>
        <v>#DIV/0!</v>
      </c>
      <c r="Y343" s="43"/>
      <c r="Z343" s="43"/>
      <c r="AA343" s="43"/>
      <c r="AB343" s="43"/>
      <c r="AC343" s="43"/>
      <c r="AD343" s="43"/>
    </row>
    <row r="344" spans="11:30" ht="12.75">
      <c r="K344" s="43"/>
      <c r="L344" s="43"/>
      <c r="M344" s="43">
        <f t="shared" si="44"/>
        <v>323</v>
      </c>
      <c r="N344" s="43">
        <f t="shared" si="45"/>
        <v>1</v>
      </c>
      <c r="O344" s="43">
        <f t="shared" si="46"/>
        <v>0</v>
      </c>
      <c r="P344" s="113" t="e">
        <f t="shared" si="47"/>
        <v>#DIV/0!</v>
      </c>
      <c r="Q344" s="113" t="e">
        <f t="shared" si="48"/>
        <v>#DIV/0!</v>
      </c>
      <c r="R344" s="113" t="e">
        <f t="shared" si="49"/>
        <v>#DIV/0!</v>
      </c>
      <c r="S344" s="113" t="e">
        <f t="shared" si="50"/>
        <v>#DIV/0!</v>
      </c>
      <c r="T344" s="43">
        <f t="shared" si="43"/>
        <v>0</v>
      </c>
      <c r="U344" s="43"/>
      <c r="V344" s="525" t="e">
        <f>P344*('upper bound Kenaga'!$F$36/100)</f>
        <v>#DIV/0!</v>
      </c>
      <c r="W344" s="43"/>
      <c r="X344" s="525" t="e">
        <f>P344*('upper bound Kenaga'!$F$96/100)</f>
        <v>#DIV/0!</v>
      </c>
      <c r="Y344" s="43"/>
      <c r="Z344" s="43"/>
      <c r="AA344" s="43"/>
      <c r="AB344" s="43"/>
      <c r="AC344" s="43"/>
      <c r="AD344" s="43"/>
    </row>
    <row r="345" spans="11:30" ht="12.75">
      <c r="K345" s="43"/>
      <c r="L345" s="43"/>
      <c r="M345" s="43">
        <f t="shared" si="44"/>
        <v>324</v>
      </c>
      <c r="N345" s="43">
        <f t="shared" si="45"/>
        <v>1</v>
      </c>
      <c r="O345" s="43">
        <f t="shared" si="46"/>
        <v>0</v>
      </c>
      <c r="P345" s="113" t="e">
        <f t="shared" si="47"/>
        <v>#DIV/0!</v>
      </c>
      <c r="Q345" s="113" t="e">
        <f t="shared" si="48"/>
        <v>#DIV/0!</v>
      </c>
      <c r="R345" s="113" t="e">
        <f t="shared" si="49"/>
        <v>#DIV/0!</v>
      </c>
      <c r="S345" s="113" t="e">
        <f t="shared" si="50"/>
        <v>#DIV/0!</v>
      </c>
      <c r="T345" s="43">
        <f t="shared" si="43"/>
        <v>0</v>
      </c>
      <c r="U345" s="43"/>
      <c r="V345" s="525" t="e">
        <f>P345*('upper bound Kenaga'!$F$36/100)</f>
        <v>#DIV/0!</v>
      </c>
      <c r="W345" s="43"/>
      <c r="X345" s="525" t="e">
        <f>P345*('upper bound Kenaga'!$F$96/100)</f>
        <v>#DIV/0!</v>
      </c>
      <c r="Y345" s="43"/>
      <c r="Z345" s="43"/>
      <c r="AA345" s="43"/>
      <c r="AB345" s="43"/>
      <c r="AC345" s="43"/>
      <c r="AD345" s="43"/>
    </row>
    <row r="346" spans="11:30" ht="12.75">
      <c r="K346" s="43"/>
      <c r="L346" s="43"/>
      <c r="M346" s="43">
        <f t="shared" si="44"/>
        <v>325</v>
      </c>
      <c r="N346" s="43">
        <f t="shared" si="45"/>
        <v>1</v>
      </c>
      <c r="O346" s="43">
        <f t="shared" si="46"/>
        <v>0</v>
      </c>
      <c r="P346" s="113" t="e">
        <f t="shared" si="47"/>
        <v>#DIV/0!</v>
      </c>
      <c r="Q346" s="113" t="e">
        <f t="shared" si="48"/>
        <v>#DIV/0!</v>
      </c>
      <c r="R346" s="113" t="e">
        <f t="shared" si="49"/>
        <v>#DIV/0!</v>
      </c>
      <c r="S346" s="113" t="e">
        <f t="shared" si="50"/>
        <v>#DIV/0!</v>
      </c>
      <c r="T346" s="43">
        <f aca="true" t="shared" si="51" ref="T346:T391">$B$11</f>
        <v>0</v>
      </c>
      <c r="U346" s="43"/>
      <c r="V346" s="525" t="e">
        <f>P346*('upper bound Kenaga'!$F$36/100)</f>
        <v>#DIV/0!</v>
      </c>
      <c r="W346" s="43"/>
      <c r="X346" s="525" t="e">
        <f>P346*('upper bound Kenaga'!$F$96/100)</f>
        <v>#DIV/0!</v>
      </c>
      <c r="Y346" s="43"/>
      <c r="Z346" s="43"/>
      <c r="AA346" s="43"/>
      <c r="AB346" s="43"/>
      <c r="AC346" s="43"/>
      <c r="AD346" s="43"/>
    </row>
    <row r="347" spans="11:30" ht="12.75">
      <c r="K347" s="43"/>
      <c r="L347" s="43"/>
      <c r="M347" s="43">
        <f aca="true" t="shared" si="52" ref="M347:M391">(M346+1)</f>
        <v>326</v>
      </c>
      <c r="N347" s="43">
        <f aca="true" t="shared" si="53" ref="N347:N391">IF($B$9&gt;N346,IF(O346=($B$8-1),(N346+1),(N346)),(N346))</f>
        <v>1</v>
      </c>
      <c r="O347" s="43">
        <f aca="true" t="shared" si="54" ref="O347:O391">IF(O346&lt;($B$8-1),(1+O346),0)</f>
        <v>0</v>
      </c>
      <c r="P347" s="113" t="e">
        <f t="shared" si="47"/>
        <v>#DIV/0!</v>
      </c>
      <c r="Q347" s="113" t="e">
        <f t="shared" si="48"/>
        <v>#DIV/0!</v>
      </c>
      <c r="R347" s="113" t="e">
        <f t="shared" si="49"/>
        <v>#DIV/0!</v>
      </c>
      <c r="S347" s="113" t="e">
        <f t="shared" si="50"/>
        <v>#DIV/0!</v>
      </c>
      <c r="T347" s="43">
        <f t="shared" si="51"/>
        <v>0</v>
      </c>
      <c r="U347" s="43"/>
      <c r="V347" s="525" t="e">
        <f>P347*('upper bound Kenaga'!$F$36/100)</f>
        <v>#DIV/0!</v>
      </c>
      <c r="W347" s="43"/>
      <c r="X347" s="525" t="e">
        <f>P347*('upper bound Kenaga'!$F$96/100)</f>
        <v>#DIV/0!</v>
      </c>
      <c r="Y347" s="43"/>
      <c r="Z347" s="43"/>
      <c r="AA347" s="43"/>
      <c r="AB347" s="43"/>
      <c r="AC347" s="43"/>
      <c r="AD347" s="43"/>
    </row>
    <row r="348" spans="11:30" ht="12.75">
      <c r="K348" s="43"/>
      <c r="L348" s="43"/>
      <c r="M348" s="43">
        <f t="shared" si="52"/>
        <v>327</v>
      </c>
      <c r="N348" s="43">
        <f t="shared" si="53"/>
        <v>1</v>
      </c>
      <c r="O348" s="43">
        <f t="shared" si="54"/>
        <v>0</v>
      </c>
      <c r="P348" s="113" t="e">
        <f t="shared" si="47"/>
        <v>#DIV/0!</v>
      </c>
      <c r="Q348" s="113" t="e">
        <f t="shared" si="48"/>
        <v>#DIV/0!</v>
      </c>
      <c r="R348" s="113" t="e">
        <f t="shared" si="49"/>
        <v>#DIV/0!</v>
      </c>
      <c r="S348" s="113" t="e">
        <f t="shared" si="50"/>
        <v>#DIV/0!</v>
      </c>
      <c r="T348" s="43">
        <f t="shared" si="51"/>
        <v>0</v>
      </c>
      <c r="U348" s="43"/>
      <c r="V348" s="525" t="e">
        <f>P348*('upper bound Kenaga'!$F$36/100)</f>
        <v>#DIV/0!</v>
      </c>
      <c r="W348" s="43"/>
      <c r="X348" s="525" t="e">
        <f>P348*('upper bound Kenaga'!$F$96/100)</f>
        <v>#DIV/0!</v>
      </c>
      <c r="Y348" s="43"/>
      <c r="Z348" s="43"/>
      <c r="AA348" s="43"/>
      <c r="AB348" s="43"/>
      <c r="AC348" s="43"/>
      <c r="AD348" s="43"/>
    </row>
    <row r="349" spans="11:30" ht="12.75">
      <c r="K349" s="43"/>
      <c r="L349" s="43"/>
      <c r="M349" s="43">
        <f t="shared" si="52"/>
        <v>328</v>
      </c>
      <c r="N349" s="43">
        <f t="shared" si="53"/>
        <v>1</v>
      </c>
      <c r="O349" s="43">
        <f t="shared" si="54"/>
        <v>0</v>
      </c>
      <c r="P349" s="113" t="e">
        <f t="shared" si="47"/>
        <v>#DIV/0!</v>
      </c>
      <c r="Q349" s="113" t="e">
        <f t="shared" si="48"/>
        <v>#DIV/0!</v>
      </c>
      <c r="R349" s="113" t="e">
        <f t="shared" si="49"/>
        <v>#DIV/0!</v>
      </c>
      <c r="S349" s="113" t="e">
        <f t="shared" si="50"/>
        <v>#DIV/0!</v>
      </c>
      <c r="T349" s="43">
        <f t="shared" si="51"/>
        <v>0</v>
      </c>
      <c r="U349" s="43"/>
      <c r="V349" s="525" t="e">
        <f>P349*('upper bound Kenaga'!$F$36/100)</f>
        <v>#DIV/0!</v>
      </c>
      <c r="W349" s="43"/>
      <c r="X349" s="525" t="e">
        <f>P349*('upper bound Kenaga'!$F$96/100)</f>
        <v>#DIV/0!</v>
      </c>
      <c r="Y349" s="43"/>
      <c r="Z349" s="43"/>
      <c r="AA349" s="43"/>
      <c r="AB349" s="43"/>
      <c r="AC349" s="43"/>
      <c r="AD349" s="43"/>
    </row>
    <row r="350" spans="11:30" ht="12.75">
      <c r="K350" s="43"/>
      <c r="L350" s="43"/>
      <c r="M350" s="43">
        <f t="shared" si="52"/>
        <v>329</v>
      </c>
      <c r="N350" s="43">
        <f t="shared" si="53"/>
        <v>1</v>
      </c>
      <c r="O350" s="43">
        <f t="shared" si="54"/>
        <v>0</v>
      </c>
      <c r="P350" s="113" t="e">
        <f t="shared" si="47"/>
        <v>#DIV/0!</v>
      </c>
      <c r="Q350" s="113" t="e">
        <f t="shared" si="48"/>
        <v>#DIV/0!</v>
      </c>
      <c r="R350" s="113" t="e">
        <f t="shared" si="49"/>
        <v>#DIV/0!</v>
      </c>
      <c r="S350" s="113" t="e">
        <f t="shared" si="50"/>
        <v>#DIV/0!</v>
      </c>
      <c r="T350" s="43">
        <f t="shared" si="51"/>
        <v>0</v>
      </c>
      <c r="U350" s="43"/>
      <c r="V350" s="525" t="e">
        <f>P350*('upper bound Kenaga'!$F$36/100)</f>
        <v>#DIV/0!</v>
      </c>
      <c r="W350" s="43"/>
      <c r="X350" s="525" t="e">
        <f>P350*('upper bound Kenaga'!$F$96/100)</f>
        <v>#DIV/0!</v>
      </c>
      <c r="Y350" s="43"/>
      <c r="Z350" s="43"/>
      <c r="AA350" s="43"/>
      <c r="AB350" s="43"/>
      <c r="AC350" s="43"/>
      <c r="AD350" s="43"/>
    </row>
    <row r="351" spans="11:30" ht="12.75">
      <c r="K351" s="43"/>
      <c r="L351" s="43"/>
      <c r="M351" s="43">
        <f t="shared" si="52"/>
        <v>330</v>
      </c>
      <c r="N351" s="43">
        <f t="shared" si="53"/>
        <v>1</v>
      </c>
      <c r="O351" s="43">
        <f t="shared" si="54"/>
        <v>0</v>
      </c>
      <c r="P351" s="113" t="e">
        <f t="shared" si="47"/>
        <v>#DIV/0!</v>
      </c>
      <c r="Q351" s="113" t="e">
        <f t="shared" si="48"/>
        <v>#DIV/0!</v>
      </c>
      <c r="R351" s="113" t="e">
        <f t="shared" si="49"/>
        <v>#DIV/0!</v>
      </c>
      <c r="S351" s="113" t="e">
        <f t="shared" si="50"/>
        <v>#DIV/0!</v>
      </c>
      <c r="T351" s="43">
        <f t="shared" si="51"/>
        <v>0</v>
      </c>
      <c r="U351" s="43"/>
      <c r="V351" s="525" t="e">
        <f>P351*('upper bound Kenaga'!$F$36/100)</f>
        <v>#DIV/0!</v>
      </c>
      <c r="W351" s="43"/>
      <c r="X351" s="525" t="e">
        <f>P351*('upper bound Kenaga'!$F$96/100)</f>
        <v>#DIV/0!</v>
      </c>
      <c r="Y351" s="43"/>
      <c r="Z351" s="43"/>
      <c r="AA351" s="43"/>
      <c r="AB351" s="43"/>
      <c r="AC351" s="43"/>
      <c r="AD351" s="43"/>
    </row>
    <row r="352" spans="11:30" ht="12.75">
      <c r="K352" s="43"/>
      <c r="L352" s="43"/>
      <c r="M352" s="43">
        <f t="shared" si="52"/>
        <v>331</v>
      </c>
      <c r="N352" s="43">
        <f t="shared" si="53"/>
        <v>1</v>
      </c>
      <c r="O352" s="43">
        <f t="shared" si="54"/>
        <v>0</v>
      </c>
      <c r="P352" s="113" t="e">
        <f t="shared" si="47"/>
        <v>#DIV/0!</v>
      </c>
      <c r="Q352" s="113" t="e">
        <f t="shared" si="48"/>
        <v>#DIV/0!</v>
      </c>
      <c r="R352" s="113" t="e">
        <f t="shared" si="49"/>
        <v>#DIV/0!</v>
      </c>
      <c r="S352" s="113" t="e">
        <f t="shared" si="50"/>
        <v>#DIV/0!</v>
      </c>
      <c r="T352" s="43">
        <f t="shared" si="51"/>
        <v>0</v>
      </c>
      <c r="U352" s="43"/>
      <c r="V352" s="525" t="e">
        <f>P352*('upper bound Kenaga'!$F$36/100)</f>
        <v>#DIV/0!</v>
      </c>
      <c r="W352" s="43"/>
      <c r="X352" s="525" t="e">
        <f>P352*('upper bound Kenaga'!$F$96/100)</f>
        <v>#DIV/0!</v>
      </c>
      <c r="Y352" s="43"/>
      <c r="Z352" s="43"/>
      <c r="AA352" s="43"/>
      <c r="AB352" s="43"/>
      <c r="AC352" s="43"/>
      <c r="AD352" s="43"/>
    </row>
    <row r="353" spans="11:30" ht="12.75">
      <c r="K353" s="43"/>
      <c r="L353" s="43"/>
      <c r="M353" s="43">
        <f t="shared" si="52"/>
        <v>332</v>
      </c>
      <c r="N353" s="43">
        <f t="shared" si="53"/>
        <v>1</v>
      </c>
      <c r="O353" s="43">
        <f t="shared" si="54"/>
        <v>0</v>
      </c>
      <c r="P353" s="113" t="e">
        <f t="shared" si="47"/>
        <v>#DIV/0!</v>
      </c>
      <c r="Q353" s="113" t="e">
        <f t="shared" si="48"/>
        <v>#DIV/0!</v>
      </c>
      <c r="R353" s="113" t="e">
        <f t="shared" si="49"/>
        <v>#DIV/0!</v>
      </c>
      <c r="S353" s="113" t="e">
        <f t="shared" si="50"/>
        <v>#DIV/0!</v>
      </c>
      <c r="T353" s="43">
        <f t="shared" si="51"/>
        <v>0</v>
      </c>
      <c r="U353" s="43"/>
      <c r="V353" s="525" t="e">
        <f>P353*('upper bound Kenaga'!$F$36/100)</f>
        <v>#DIV/0!</v>
      </c>
      <c r="W353" s="43"/>
      <c r="X353" s="525" t="e">
        <f>P353*('upper bound Kenaga'!$F$96/100)</f>
        <v>#DIV/0!</v>
      </c>
      <c r="Y353" s="43"/>
      <c r="Z353" s="43"/>
      <c r="AA353" s="43"/>
      <c r="AB353" s="43"/>
      <c r="AC353" s="43"/>
      <c r="AD353" s="43"/>
    </row>
    <row r="354" spans="11:30" ht="12.75">
      <c r="K354" s="43"/>
      <c r="L354" s="43"/>
      <c r="M354" s="43">
        <f t="shared" si="52"/>
        <v>333</v>
      </c>
      <c r="N354" s="43">
        <f t="shared" si="53"/>
        <v>1</v>
      </c>
      <c r="O354" s="43">
        <f t="shared" si="54"/>
        <v>0</v>
      </c>
      <c r="P354" s="113" t="e">
        <f t="shared" si="47"/>
        <v>#DIV/0!</v>
      </c>
      <c r="Q354" s="113" t="e">
        <f t="shared" si="48"/>
        <v>#DIV/0!</v>
      </c>
      <c r="R354" s="113" t="e">
        <f t="shared" si="49"/>
        <v>#DIV/0!</v>
      </c>
      <c r="S354" s="113" t="e">
        <f t="shared" si="50"/>
        <v>#DIV/0!</v>
      </c>
      <c r="T354" s="43">
        <f t="shared" si="51"/>
        <v>0</v>
      </c>
      <c r="U354" s="43"/>
      <c r="V354" s="525" t="e">
        <f>P354*('upper bound Kenaga'!$F$36/100)</f>
        <v>#DIV/0!</v>
      </c>
      <c r="W354" s="43"/>
      <c r="X354" s="525" t="e">
        <f>P354*('upper bound Kenaga'!$F$96/100)</f>
        <v>#DIV/0!</v>
      </c>
      <c r="Y354" s="43"/>
      <c r="Z354" s="43"/>
      <c r="AA354" s="43"/>
      <c r="AB354" s="43"/>
      <c r="AC354" s="43"/>
      <c r="AD354" s="43"/>
    </row>
    <row r="355" spans="11:30" ht="12.75">
      <c r="K355" s="43"/>
      <c r="L355" s="43"/>
      <c r="M355" s="43">
        <f t="shared" si="52"/>
        <v>334</v>
      </c>
      <c r="N355" s="43">
        <f t="shared" si="53"/>
        <v>1</v>
      </c>
      <c r="O355" s="43">
        <f t="shared" si="54"/>
        <v>0</v>
      </c>
      <c r="P355" s="113" t="e">
        <f t="shared" si="47"/>
        <v>#DIV/0!</v>
      </c>
      <c r="Q355" s="113" t="e">
        <f t="shared" si="48"/>
        <v>#DIV/0!</v>
      </c>
      <c r="R355" s="113" t="e">
        <f t="shared" si="49"/>
        <v>#DIV/0!</v>
      </c>
      <c r="S355" s="113" t="e">
        <f t="shared" si="50"/>
        <v>#DIV/0!</v>
      </c>
      <c r="T355" s="43">
        <f t="shared" si="51"/>
        <v>0</v>
      </c>
      <c r="U355" s="43"/>
      <c r="V355" s="525" t="e">
        <f>P355*('upper bound Kenaga'!$F$36/100)</f>
        <v>#DIV/0!</v>
      </c>
      <c r="W355" s="43"/>
      <c r="X355" s="525" t="e">
        <f>P355*('upper bound Kenaga'!$F$96/100)</f>
        <v>#DIV/0!</v>
      </c>
      <c r="Y355" s="43"/>
      <c r="Z355" s="43"/>
      <c r="AA355" s="43"/>
      <c r="AB355" s="43"/>
      <c r="AC355" s="43"/>
      <c r="AD355" s="43"/>
    </row>
    <row r="356" spans="11:30" ht="12.75">
      <c r="K356" s="43"/>
      <c r="L356" s="43"/>
      <c r="M356" s="43">
        <f t="shared" si="52"/>
        <v>335</v>
      </c>
      <c r="N356" s="43">
        <f t="shared" si="53"/>
        <v>1</v>
      </c>
      <c r="O356" s="43">
        <f t="shared" si="54"/>
        <v>0</v>
      </c>
      <c r="P356" s="113" t="e">
        <f t="shared" si="47"/>
        <v>#DIV/0!</v>
      </c>
      <c r="Q356" s="113" t="e">
        <f t="shared" si="48"/>
        <v>#DIV/0!</v>
      </c>
      <c r="R356" s="113" t="e">
        <f t="shared" si="49"/>
        <v>#DIV/0!</v>
      </c>
      <c r="S356" s="113" t="e">
        <f t="shared" si="50"/>
        <v>#DIV/0!</v>
      </c>
      <c r="T356" s="43">
        <f t="shared" si="51"/>
        <v>0</v>
      </c>
      <c r="U356" s="43"/>
      <c r="V356" s="525" t="e">
        <f>P356*('upper bound Kenaga'!$F$36/100)</f>
        <v>#DIV/0!</v>
      </c>
      <c r="W356" s="43"/>
      <c r="X356" s="525" t="e">
        <f>P356*('upper bound Kenaga'!$F$96/100)</f>
        <v>#DIV/0!</v>
      </c>
      <c r="Y356" s="43"/>
      <c r="Z356" s="43"/>
      <c r="AA356" s="43"/>
      <c r="AB356" s="43"/>
      <c r="AC356" s="43"/>
      <c r="AD356" s="43"/>
    </row>
    <row r="357" spans="11:30" ht="12.75">
      <c r="K357" s="43"/>
      <c r="L357" s="43"/>
      <c r="M357" s="43">
        <f t="shared" si="52"/>
        <v>336</v>
      </c>
      <c r="N357" s="43">
        <f t="shared" si="53"/>
        <v>1</v>
      </c>
      <c r="O357" s="43">
        <f t="shared" si="54"/>
        <v>0</v>
      </c>
      <c r="P357" s="113" t="e">
        <f t="shared" si="47"/>
        <v>#DIV/0!</v>
      </c>
      <c r="Q357" s="113" t="e">
        <f t="shared" si="48"/>
        <v>#DIV/0!</v>
      </c>
      <c r="R357" s="113" t="e">
        <f t="shared" si="49"/>
        <v>#DIV/0!</v>
      </c>
      <c r="S357" s="113" t="e">
        <f t="shared" si="50"/>
        <v>#DIV/0!</v>
      </c>
      <c r="T357" s="43">
        <f t="shared" si="51"/>
        <v>0</v>
      </c>
      <c r="U357" s="43"/>
      <c r="V357" s="525" t="e">
        <f>P357*('upper bound Kenaga'!$F$36/100)</f>
        <v>#DIV/0!</v>
      </c>
      <c r="W357" s="43"/>
      <c r="X357" s="525" t="e">
        <f>P357*('upper bound Kenaga'!$F$96/100)</f>
        <v>#DIV/0!</v>
      </c>
      <c r="Y357" s="43"/>
      <c r="Z357" s="43"/>
      <c r="AA357" s="43"/>
      <c r="AB357" s="43"/>
      <c r="AC357" s="43"/>
      <c r="AD357" s="43"/>
    </row>
    <row r="358" spans="11:30" ht="12.75">
      <c r="K358" s="43"/>
      <c r="L358" s="43"/>
      <c r="M358" s="43">
        <f t="shared" si="52"/>
        <v>337</v>
      </c>
      <c r="N358" s="43">
        <f t="shared" si="53"/>
        <v>1</v>
      </c>
      <c r="O358" s="43">
        <f t="shared" si="54"/>
        <v>0</v>
      </c>
      <c r="P358" s="113" t="e">
        <f t="shared" si="47"/>
        <v>#DIV/0!</v>
      </c>
      <c r="Q358" s="113" t="e">
        <f t="shared" si="48"/>
        <v>#DIV/0!</v>
      </c>
      <c r="R358" s="113" t="e">
        <f t="shared" si="49"/>
        <v>#DIV/0!</v>
      </c>
      <c r="S358" s="113" t="e">
        <f t="shared" si="50"/>
        <v>#DIV/0!</v>
      </c>
      <c r="T358" s="43">
        <f t="shared" si="51"/>
        <v>0</v>
      </c>
      <c r="U358" s="43"/>
      <c r="V358" s="525" t="e">
        <f>P358*('upper bound Kenaga'!$F$36/100)</f>
        <v>#DIV/0!</v>
      </c>
      <c r="W358" s="43"/>
      <c r="X358" s="525" t="e">
        <f>P358*('upper bound Kenaga'!$F$96/100)</f>
        <v>#DIV/0!</v>
      </c>
      <c r="Y358" s="43"/>
      <c r="Z358" s="43"/>
      <c r="AA358" s="43"/>
      <c r="AB358" s="43"/>
      <c r="AC358" s="43"/>
      <c r="AD358" s="43"/>
    </row>
    <row r="359" spans="11:30" ht="12.75">
      <c r="K359" s="43"/>
      <c r="L359" s="43"/>
      <c r="M359" s="43">
        <f t="shared" si="52"/>
        <v>338</v>
      </c>
      <c r="N359" s="43">
        <f t="shared" si="53"/>
        <v>1</v>
      </c>
      <c r="O359" s="43">
        <f t="shared" si="54"/>
        <v>0</v>
      </c>
      <c r="P359" s="113" t="e">
        <f t="shared" si="47"/>
        <v>#DIV/0!</v>
      </c>
      <c r="Q359" s="113" t="e">
        <f t="shared" si="48"/>
        <v>#DIV/0!</v>
      </c>
      <c r="R359" s="113" t="e">
        <f t="shared" si="49"/>
        <v>#DIV/0!</v>
      </c>
      <c r="S359" s="113" t="e">
        <f t="shared" si="50"/>
        <v>#DIV/0!</v>
      </c>
      <c r="T359" s="43">
        <f t="shared" si="51"/>
        <v>0</v>
      </c>
      <c r="U359" s="43"/>
      <c r="V359" s="525" t="e">
        <f>P359*('upper bound Kenaga'!$F$36/100)</f>
        <v>#DIV/0!</v>
      </c>
      <c r="W359" s="43"/>
      <c r="X359" s="525" t="e">
        <f>P359*('upper bound Kenaga'!$F$96/100)</f>
        <v>#DIV/0!</v>
      </c>
      <c r="Y359" s="43"/>
      <c r="Z359" s="43"/>
      <c r="AA359" s="43"/>
      <c r="AB359" s="43"/>
      <c r="AC359" s="43"/>
      <c r="AD359" s="43"/>
    </row>
    <row r="360" spans="11:30" ht="12.75">
      <c r="K360" s="43"/>
      <c r="L360" s="43"/>
      <c r="M360" s="43">
        <f t="shared" si="52"/>
        <v>339</v>
      </c>
      <c r="N360" s="43">
        <f t="shared" si="53"/>
        <v>1</v>
      </c>
      <c r="O360" s="43">
        <f t="shared" si="54"/>
        <v>0</v>
      </c>
      <c r="P360" s="113" t="e">
        <f t="shared" si="47"/>
        <v>#DIV/0!</v>
      </c>
      <c r="Q360" s="113" t="e">
        <f t="shared" si="48"/>
        <v>#DIV/0!</v>
      </c>
      <c r="R360" s="113" t="e">
        <f t="shared" si="49"/>
        <v>#DIV/0!</v>
      </c>
      <c r="S360" s="113" t="e">
        <f t="shared" si="50"/>
        <v>#DIV/0!</v>
      </c>
      <c r="T360" s="43">
        <f t="shared" si="51"/>
        <v>0</v>
      </c>
      <c r="U360" s="43"/>
      <c r="V360" s="525" t="e">
        <f>P360*('upper bound Kenaga'!$F$36/100)</f>
        <v>#DIV/0!</v>
      </c>
      <c r="W360" s="43"/>
      <c r="X360" s="525" t="e">
        <f>P360*('upper bound Kenaga'!$F$96/100)</f>
        <v>#DIV/0!</v>
      </c>
      <c r="Y360" s="43"/>
      <c r="Z360" s="43"/>
      <c r="AA360" s="43"/>
      <c r="AB360" s="43"/>
      <c r="AC360" s="43"/>
      <c r="AD360" s="43"/>
    </row>
    <row r="361" spans="11:30" ht="12.75">
      <c r="K361" s="43"/>
      <c r="L361" s="43"/>
      <c r="M361" s="43">
        <f t="shared" si="52"/>
        <v>340</v>
      </c>
      <c r="N361" s="43">
        <f t="shared" si="53"/>
        <v>1</v>
      </c>
      <c r="O361" s="43">
        <f t="shared" si="54"/>
        <v>0</v>
      </c>
      <c r="P361" s="113" t="e">
        <f t="shared" si="47"/>
        <v>#DIV/0!</v>
      </c>
      <c r="Q361" s="113" t="e">
        <f t="shared" si="48"/>
        <v>#DIV/0!</v>
      </c>
      <c r="R361" s="113" t="e">
        <f t="shared" si="49"/>
        <v>#DIV/0!</v>
      </c>
      <c r="S361" s="113" t="e">
        <f t="shared" si="50"/>
        <v>#DIV/0!</v>
      </c>
      <c r="T361" s="43">
        <f t="shared" si="51"/>
        <v>0</v>
      </c>
      <c r="U361" s="43"/>
      <c r="V361" s="525" t="e">
        <f>P361*('upper bound Kenaga'!$F$36/100)</f>
        <v>#DIV/0!</v>
      </c>
      <c r="W361" s="43"/>
      <c r="X361" s="525" t="e">
        <f>P361*('upper bound Kenaga'!$F$96/100)</f>
        <v>#DIV/0!</v>
      </c>
      <c r="Y361" s="43"/>
      <c r="Z361" s="43"/>
      <c r="AA361" s="43"/>
      <c r="AB361" s="43"/>
      <c r="AC361" s="43"/>
      <c r="AD361" s="43"/>
    </row>
    <row r="362" spans="11:30" ht="12.75">
      <c r="K362" s="43"/>
      <c r="L362" s="43"/>
      <c r="M362" s="43">
        <f t="shared" si="52"/>
        <v>341</v>
      </c>
      <c r="N362" s="43">
        <f t="shared" si="53"/>
        <v>1</v>
      </c>
      <c r="O362" s="43">
        <f t="shared" si="54"/>
        <v>0</v>
      </c>
      <c r="P362" s="113" t="e">
        <f aca="true" t="shared" si="55" ref="P362:P391">IF((N362&gt;N361),(EXP(-$Q$16)*(P361)+$Q$11),((EXP(-$Q$16)*(P361))))</f>
        <v>#DIV/0!</v>
      </c>
      <c r="Q362" s="113" t="e">
        <f aca="true" t="shared" si="56" ref="Q362:Q391">IF((N362&gt;N361),(EXP(-$Q$16)*(Q361)+$Q$12),((EXP(-$Q$16)*(Q361))))</f>
        <v>#DIV/0!</v>
      </c>
      <c r="R362" s="113" t="e">
        <f aca="true" t="shared" si="57" ref="R362:R391">IF((N362&gt;N361),(EXP(-$Q$16)*(R361)+$Q$13),((EXP(-$Q$16)*(R361))))</f>
        <v>#DIV/0!</v>
      </c>
      <c r="S362" s="113" t="e">
        <f aca="true" t="shared" si="58" ref="S362:S391">IF((N362&gt;N361),(EXP(-$Q$16)*(S361)+$Q$14),((EXP(-$Q$16)*(S361))))</f>
        <v>#DIV/0!</v>
      </c>
      <c r="T362" s="43">
        <f t="shared" si="51"/>
        <v>0</v>
      </c>
      <c r="U362" s="43"/>
      <c r="V362" s="525" t="e">
        <f>P362*('upper bound Kenaga'!$F$36/100)</f>
        <v>#DIV/0!</v>
      </c>
      <c r="W362" s="43"/>
      <c r="X362" s="525" t="e">
        <f>P362*('upper bound Kenaga'!$F$96/100)</f>
        <v>#DIV/0!</v>
      </c>
      <c r="Y362" s="43"/>
      <c r="Z362" s="43"/>
      <c r="AA362" s="43"/>
      <c r="AB362" s="43"/>
      <c r="AC362" s="43"/>
      <c r="AD362" s="43"/>
    </row>
    <row r="363" spans="11:30" ht="12.75">
      <c r="K363" s="43"/>
      <c r="L363" s="43"/>
      <c r="M363" s="43">
        <f t="shared" si="52"/>
        <v>342</v>
      </c>
      <c r="N363" s="43">
        <f t="shared" si="53"/>
        <v>1</v>
      </c>
      <c r="O363" s="43">
        <f t="shared" si="54"/>
        <v>0</v>
      </c>
      <c r="P363" s="113" t="e">
        <f t="shared" si="55"/>
        <v>#DIV/0!</v>
      </c>
      <c r="Q363" s="113" t="e">
        <f t="shared" si="56"/>
        <v>#DIV/0!</v>
      </c>
      <c r="R363" s="113" t="e">
        <f t="shared" si="57"/>
        <v>#DIV/0!</v>
      </c>
      <c r="S363" s="113" t="e">
        <f t="shared" si="58"/>
        <v>#DIV/0!</v>
      </c>
      <c r="T363" s="43">
        <f t="shared" si="51"/>
        <v>0</v>
      </c>
      <c r="U363" s="43"/>
      <c r="V363" s="525" t="e">
        <f>P363*('upper bound Kenaga'!$F$36/100)</f>
        <v>#DIV/0!</v>
      </c>
      <c r="W363" s="43"/>
      <c r="X363" s="525" t="e">
        <f>P363*('upper bound Kenaga'!$F$96/100)</f>
        <v>#DIV/0!</v>
      </c>
      <c r="Y363" s="43"/>
      <c r="Z363" s="43"/>
      <c r="AA363" s="43"/>
      <c r="AB363" s="43"/>
      <c r="AC363" s="43"/>
      <c r="AD363" s="43"/>
    </row>
    <row r="364" spans="11:30" ht="12.75">
      <c r="K364" s="43"/>
      <c r="L364" s="43"/>
      <c r="M364" s="43">
        <f t="shared" si="52"/>
        <v>343</v>
      </c>
      <c r="N364" s="43">
        <f t="shared" si="53"/>
        <v>1</v>
      </c>
      <c r="O364" s="43">
        <f t="shared" si="54"/>
        <v>0</v>
      </c>
      <c r="P364" s="113" t="e">
        <f t="shared" si="55"/>
        <v>#DIV/0!</v>
      </c>
      <c r="Q364" s="113" t="e">
        <f t="shared" si="56"/>
        <v>#DIV/0!</v>
      </c>
      <c r="R364" s="113" t="e">
        <f t="shared" si="57"/>
        <v>#DIV/0!</v>
      </c>
      <c r="S364" s="113" t="e">
        <f t="shared" si="58"/>
        <v>#DIV/0!</v>
      </c>
      <c r="T364" s="43">
        <f t="shared" si="51"/>
        <v>0</v>
      </c>
      <c r="U364" s="43"/>
      <c r="V364" s="525" t="e">
        <f>P364*('upper bound Kenaga'!$F$36/100)</f>
        <v>#DIV/0!</v>
      </c>
      <c r="W364" s="43"/>
      <c r="X364" s="525" t="e">
        <f>P364*('upper bound Kenaga'!$F$96/100)</f>
        <v>#DIV/0!</v>
      </c>
      <c r="Y364" s="43"/>
      <c r="Z364" s="43"/>
      <c r="AA364" s="43"/>
      <c r="AB364" s="43"/>
      <c r="AC364" s="43"/>
      <c r="AD364" s="43"/>
    </row>
    <row r="365" spans="11:30" ht="12.75">
      <c r="K365" s="43"/>
      <c r="L365" s="43"/>
      <c r="M365" s="43">
        <f t="shared" si="52"/>
        <v>344</v>
      </c>
      <c r="N365" s="43">
        <f t="shared" si="53"/>
        <v>1</v>
      </c>
      <c r="O365" s="43">
        <f t="shared" si="54"/>
        <v>0</v>
      </c>
      <c r="P365" s="113" t="e">
        <f t="shared" si="55"/>
        <v>#DIV/0!</v>
      </c>
      <c r="Q365" s="113" t="e">
        <f t="shared" si="56"/>
        <v>#DIV/0!</v>
      </c>
      <c r="R365" s="113" t="e">
        <f t="shared" si="57"/>
        <v>#DIV/0!</v>
      </c>
      <c r="S365" s="113" t="e">
        <f t="shared" si="58"/>
        <v>#DIV/0!</v>
      </c>
      <c r="T365" s="43">
        <f t="shared" si="51"/>
        <v>0</v>
      </c>
      <c r="U365" s="43"/>
      <c r="V365" s="525" t="e">
        <f>P365*('upper bound Kenaga'!$F$36/100)</f>
        <v>#DIV/0!</v>
      </c>
      <c r="W365" s="43"/>
      <c r="X365" s="525" t="e">
        <f>P365*('upper bound Kenaga'!$F$96/100)</f>
        <v>#DIV/0!</v>
      </c>
      <c r="Y365" s="43"/>
      <c r="Z365" s="43"/>
      <c r="AA365" s="43"/>
      <c r="AB365" s="43"/>
      <c r="AC365" s="43"/>
      <c r="AD365" s="43"/>
    </row>
    <row r="366" spans="11:30" ht="12.75">
      <c r="K366" s="43"/>
      <c r="L366" s="43"/>
      <c r="M366" s="43">
        <f t="shared" si="52"/>
        <v>345</v>
      </c>
      <c r="N366" s="43">
        <f t="shared" si="53"/>
        <v>1</v>
      </c>
      <c r="O366" s="43">
        <f t="shared" si="54"/>
        <v>0</v>
      </c>
      <c r="P366" s="113" t="e">
        <f t="shared" si="55"/>
        <v>#DIV/0!</v>
      </c>
      <c r="Q366" s="113" t="e">
        <f t="shared" si="56"/>
        <v>#DIV/0!</v>
      </c>
      <c r="R366" s="113" t="e">
        <f t="shared" si="57"/>
        <v>#DIV/0!</v>
      </c>
      <c r="S366" s="113" t="e">
        <f t="shared" si="58"/>
        <v>#DIV/0!</v>
      </c>
      <c r="T366" s="43">
        <f t="shared" si="51"/>
        <v>0</v>
      </c>
      <c r="U366" s="43"/>
      <c r="V366" s="525" t="e">
        <f>P366*('upper bound Kenaga'!$F$36/100)</f>
        <v>#DIV/0!</v>
      </c>
      <c r="W366" s="43"/>
      <c r="X366" s="525" t="e">
        <f>P366*('upper bound Kenaga'!$F$96/100)</f>
        <v>#DIV/0!</v>
      </c>
      <c r="Y366" s="43"/>
      <c r="Z366" s="43"/>
      <c r="AA366" s="43"/>
      <c r="AB366" s="43"/>
      <c r="AC366" s="43"/>
      <c r="AD366" s="43"/>
    </row>
    <row r="367" spans="11:30" ht="12.75">
      <c r="K367" s="43"/>
      <c r="L367" s="43"/>
      <c r="M367" s="43">
        <f t="shared" si="52"/>
        <v>346</v>
      </c>
      <c r="N367" s="43">
        <f t="shared" si="53"/>
        <v>1</v>
      </c>
      <c r="O367" s="43">
        <f t="shared" si="54"/>
        <v>0</v>
      </c>
      <c r="P367" s="113" t="e">
        <f t="shared" si="55"/>
        <v>#DIV/0!</v>
      </c>
      <c r="Q367" s="113" t="e">
        <f t="shared" si="56"/>
        <v>#DIV/0!</v>
      </c>
      <c r="R367" s="113" t="e">
        <f t="shared" si="57"/>
        <v>#DIV/0!</v>
      </c>
      <c r="S367" s="113" t="e">
        <f t="shared" si="58"/>
        <v>#DIV/0!</v>
      </c>
      <c r="T367" s="43">
        <f t="shared" si="51"/>
        <v>0</v>
      </c>
      <c r="U367" s="43"/>
      <c r="V367" s="525" t="e">
        <f>P367*('upper bound Kenaga'!$F$36/100)</f>
        <v>#DIV/0!</v>
      </c>
      <c r="W367" s="43"/>
      <c r="X367" s="525" t="e">
        <f>P367*('upper bound Kenaga'!$F$96/100)</f>
        <v>#DIV/0!</v>
      </c>
      <c r="Y367" s="43"/>
      <c r="Z367" s="43"/>
      <c r="AA367" s="43"/>
      <c r="AB367" s="43"/>
      <c r="AC367" s="43"/>
      <c r="AD367" s="43"/>
    </row>
    <row r="368" spans="11:30" ht="12.75">
      <c r="K368" s="43"/>
      <c r="L368" s="43"/>
      <c r="M368" s="43">
        <f t="shared" si="52"/>
        <v>347</v>
      </c>
      <c r="N368" s="43">
        <f t="shared" si="53"/>
        <v>1</v>
      </c>
      <c r="O368" s="43">
        <f t="shared" si="54"/>
        <v>0</v>
      </c>
      <c r="P368" s="113" t="e">
        <f t="shared" si="55"/>
        <v>#DIV/0!</v>
      </c>
      <c r="Q368" s="113" t="e">
        <f t="shared" si="56"/>
        <v>#DIV/0!</v>
      </c>
      <c r="R368" s="113" t="e">
        <f t="shared" si="57"/>
        <v>#DIV/0!</v>
      </c>
      <c r="S368" s="113" t="e">
        <f t="shared" si="58"/>
        <v>#DIV/0!</v>
      </c>
      <c r="T368" s="43">
        <f t="shared" si="51"/>
        <v>0</v>
      </c>
      <c r="U368" s="43"/>
      <c r="V368" s="525" t="e">
        <f>P368*('upper bound Kenaga'!$F$36/100)</f>
        <v>#DIV/0!</v>
      </c>
      <c r="W368" s="43"/>
      <c r="X368" s="525" t="e">
        <f>P368*('upper bound Kenaga'!$F$96/100)</f>
        <v>#DIV/0!</v>
      </c>
      <c r="Y368" s="43"/>
      <c r="Z368" s="43"/>
      <c r="AA368" s="43"/>
      <c r="AB368" s="43"/>
      <c r="AC368" s="43"/>
      <c r="AD368" s="43"/>
    </row>
    <row r="369" spans="11:30" ht="12.75">
      <c r="K369" s="43"/>
      <c r="L369" s="43"/>
      <c r="M369" s="43">
        <f t="shared" si="52"/>
        <v>348</v>
      </c>
      <c r="N369" s="43">
        <f t="shared" si="53"/>
        <v>1</v>
      </c>
      <c r="O369" s="43">
        <f t="shared" si="54"/>
        <v>0</v>
      </c>
      <c r="P369" s="113" t="e">
        <f t="shared" si="55"/>
        <v>#DIV/0!</v>
      </c>
      <c r="Q369" s="113" t="e">
        <f t="shared" si="56"/>
        <v>#DIV/0!</v>
      </c>
      <c r="R369" s="113" t="e">
        <f t="shared" si="57"/>
        <v>#DIV/0!</v>
      </c>
      <c r="S369" s="113" t="e">
        <f t="shared" si="58"/>
        <v>#DIV/0!</v>
      </c>
      <c r="T369" s="43">
        <f t="shared" si="51"/>
        <v>0</v>
      </c>
      <c r="U369" s="43"/>
      <c r="V369" s="525" t="e">
        <f>P369*('upper bound Kenaga'!$F$36/100)</f>
        <v>#DIV/0!</v>
      </c>
      <c r="W369" s="43"/>
      <c r="X369" s="525" t="e">
        <f>P369*('upper bound Kenaga'!$F$96/100)</f>
        <v>#DIV/0!</v>
      </c>
      <c r="Y369" s="43"/>
      <c r="Z369" s="43"/>
      <c r="AA369" s="43"/>
      <c r="AB369" s="43"/>
      <c r="AC369" s="43"/>
      <c r="AD369" s="43"/>
    </row>
    <row r="370" spans="11:30" ht="12.75">
      <c r="K370" s="43"/>
      <c r="L370" s="43"/>
      <c r="M370" s="43">
        <f t="shared" si="52"/>
        <v>349</v>
      </c>
      <c r="N370" s="43">
        <f t="shared" si="53"/>
        <v>1</v>
      </c>
      <c r="O370" s="43">
        <f t="shared" si="54"/>
        <v>0</v>
      </c>
      <c r="P370" s="113" t="e">
        <f t="shared" si="55"/>
        <v>#DIV/0!</v>
      </c>
      <c r="Q370" s="113" t="e">
        <f t="shared" si="56"/>
        <v>#DIV/0!</v>
      </c>
      <c r="R370" s="113" t="e">
        <f t="shared" si="57"/>
        <v>#DIV/0!</v>
      </c>
      <c r="S370" s="113" t="e">
        <f t="shared" si="58"/>
        <v>#DIV/0!</v>
      </c>
      <c r="T370" s="43">
        <f t="shared" si="51"/>
        <v>0</v>
      </c>
      <c r="U370" s="43"/>
      <c r="V370" s="525" t="e">
        <f>P370*('upper bound Kenaga'!$F$36/100)</f>
        <v>#DIV/0!</v>
      </c>
      <c r="W370" s="43"/>
      <c r="X370" s="525" t="e">
        <f>P370*('upper bound Kenaga'!$F$96/100)</f>
        <v>#DIV/0!</v>
      </c>
      <c r="Y370" s="43"/>
      <c r="Z370" s="43"/>
      <c r="AA370" s="43"/>
      <c r="AB370" s="43"/>
      <c r="AC370" s="43"/>
      <c r="AD370" s="43"/>
    </row>
    <row r="371" spans="11:30" ht="12.75">
      <c r="K371" s="43"/>
      <c r="L371" s="43"/>
      <c r="M371" s="43">
        <f t="shared" si="52"/>
        <v>350</v>
      </c>
      <c r="N371" s="43">
        <f t="shared" si="53"/>
        <v>1</v>
      </c>
      <c r="O371" s="43">
        <f t="shared" si="54"/>
        <v>0</v>
      </c>
      <c r="P371" s="113" t="e">
        <f t="shared" si="55"/>
        <v>#DIV/0!</v>
      </c>
      <c r="Q371" s="113" t="e">
        <f t="shared" si="56"/>
        <v>#DIV/0!</v>
      </c>
      <c r="R371" s="113" t="e">
        <f t="shared" si="57"/>
        <v>#DIV/0!</v>
      </c>
      <c r="S371" s="113" t="e">
        <f t="shared" si="58"/>
        <v>#DIV/0!</v>
      </c>
      <c r="T371" s="43">
        <f t="shared" si="51"/>
        <v>0</v>
      </c>
      <c r="U371" s="43"/>
      <c r="V371" s="525" t="e">
        <f>P371*('upper bound Kenaga'!$F$36/100)</f>
        <v>#DIV/0!</v>
      </c>
      <c r="W371" s="43"/>
      <c r="X371" s="525" t="e">
        <f>P371*('upper bound Kenaga'!$F$96/100)</f>
        <v>#DIV/0!</v>
      </c>
      <c r="Y371" s="43"/>
      <c r="Z371" s="43"/>
      <c r="AA371" s="43"/>
      <c r="AB371" s="43"/>
      <c r="AC371" s="43"/>
      <c r="AD371" s="43"/>
    </row>
    <row r="372" spans="11:30" ht="12.75">
      <c r="K372" s="43"/>
      <c r="L372" s="43"/>
      <c r="M372" s="43">
        <f t="shared" si="52"/>
        <v>351</v>
      </c>
      <c r="N372" s="43">
        <f t="shared" si="53"/>
        <v>1</v>
      </c>
      <c r="O372" s="43">
        <f t="shared" si="54"/>
        <v>0</v>
      </c>
      <c r="P372" s="113" t="e">
        <f t="shared" si="55"/>
        <v>#DIV/0!</v>
      </c>
      <c r="Q372" s="113" t="e">
        <f t="shared" si="56"/>
        <v>#DIV/0!</v>
      </c>
      <c r="R372" s="113" t="e">
        <f t="shared" si="57"/>
        <v>#DIV/0!</v>
      </c>
      <c r="S372" s="113" t="e">
        <f t="shared" si="58"/>
        <v>#DIV/0!</v>
      </c>
      <c r="T372" s="43">
        <f t="shared" si="51"/>
        <v>0</v>
      </c>
      <c r="U372" s="43"/>
      <c r="V372" s="525" t="e">
        <f>P372*('upper bound Kenaga'!$F$36/100)</f>
        <v>#DIV/0!</v>
      </c>
      <c r="W372" s="43"/>
      <c r="X372" s="525" t="e">
        <f>P372*('upper bound Kenaga'!$F$96/100)</f>
        <v>#DIV/0!</v>
      </c>
      <c r="Y372" s="43"/>
      <c r="Z372" s="43"/>
      <c r="AA372" s="43"/>
      <c r="AB372" s="43"/>
      <c r="AC372" s="43"/>
      <c r="AD372" s="43"/>
    </row>
    <row r="373" spans="11:30" ht="12.75">
      <c r="K373" s="43"/>
      <c r="L373" s="43"/>
      <c r="M373" s="43">
        <f t="shared" si="52"/>
        <v>352</v>
      </c>
      <c r="N373" s="43">
        <f t="shared" si="53"/>
        <v>1</v>
      </c>
      <c r="O373" s="43">
        <f t="shared" si="54"/>
        <v>0</v>
      </c>
      <c r="P373" s="113" t="e">
        <f t="shared" si="55"/>
        <v>#DIV/0!</v>
      </c>
      <c r="Q373" s="113" t="e">
        <f t="shared" si="56"/>
        <v>#DIV/0!</v>
      </c>
      <c r="R373" s="113" t="e">
        <f t="shared" si="57"/>
        <v>#DIV/0!</v>
      </c>
      <c r="S373" s="113" t="e">
        <f t="shared" si="58"/>
        <v>#DIV/0!</v>
      </c>
      <c r="T373" s="43">
        <f t="shared" si="51"/>
        <v>0</v>
      </c>
      <c r="U373" s="43"/>
      <c r="V373" s="525" t="e">
        <f>P373*('upper bound Kenaga'!$F$36/100)</f>
        <v>#DIV/0!</v>
      </c>
      <c r="W373" s="43"/>
      <c r="X373" s="525" t="e">
        <f>P373*('upper bound Kenaga'!$F$96/100)</f>
        <v>#DIV/0!</v>
      </c>
      <c r="Y373" s="43"/>
      <c r="Z373" s="43"/>
      <c r="AA373" s="43"/>
      <c r="AB373" s="43"/>
      <c r="AC373" s="43"/>
      <c r="AD373" s="43"/>
    </row>
    <row r="374" spans="11:30" ht="12.75">
      <c r="K374" s="43"/>
      <c r="L374" s="43"/>
      <c r="M374" s="43">
        <f t="shared" si="52"/>
        <v>353</v>
      </c>
      <c r="N374" s="43">
        <f t="shared" si="53"/>
        <v>1</v>
      </c>
      <c r="O374" s="43">
        <f t="shared" si="54"/>
        <v>0</v>
      </c>
      <c r="P374" s="113" t="e">
        <f t="shared" si="55"/>
        <v>#DIV/0!</v>
      </c>
      <c r="Q374" s="113" t="e">
        <f t="shared" si="56"/>
        <v>#DIV/0!</v>
      </c>
      <c r="R374" s="113" t="e">
        <f t="shared" si="57"/>
        <v>#DIV/0!</v>
      </c>
      <c r="S374" s="113" t="e">
        <f t="shared" si="58"/>
        <v>#DIV/0!</v>
      </c>
      <c r="T374" s="43">
        <f t="shared" si="51"/>
        <v>0</v>
      </c>
      <c r="U374" s="43"/>
      <c r="V374" s="525" t="e">
        <f>P374*('upper bound Kenaga'!$F$36/100)</f>
        <v>#DIV/0!</v>
      </c>
      <c r="W374" s="43"/>
      <c r="X374" s="525" t="e">
        <f>P374*('upper bound Kenaga'!$F$96/100)</f>
        <v>#DIV/0!</v>
      </c>
      <c r="Y374" s="43"/>
      <c r="Z374" s="43"/>
      <c r="AA374" s="43"/>
      <c r="AB374" s="43"/>
      <c r="AC374" s="43"/>
      <c r="AD374" s="43"/>
    </row>
    <row r="375" spans="11:30" ht="12.75">
      <c r="K375" s="43"/>
      <c r="L375" s="43"/>
      <c r="M375" s="43">
        <f t="shared" si="52"/>
        <v>354</v>
      </c>
      <c r="N375" s="43">
        <f t="shared" si="53"/>
        <v>1</v>
      </c>
      <c r="O375" s="43">
        <f t="shared" si="54"/>
        <v>0</v>
      </c>
      <c r="P375" s="113" t="e">
        <f t="shared" si="55"/>
        <v>#DIV/0!</v>
      </c>
      <c r="Q375" s="113" t="e">
        <f t="shared" si="56"/>
        <v>#DIV/0!</v>
      </c>
      <c r="R375" s="113" t="e">
        <f t="shared" si="57"/>
        <v>#DIV/0!</v>
      </c>
      <c r="S375" s="113" t="e">
        <f t="shared" si="58"/>
        <v>#DIV/0!</v>
      </c>
      <c r="T375" s="43">
        <f t="shared" si="51"/>
        <v>0</v>
      </c>
      <c r="U375" s="43"/>
      <c r="V375" s="525" t="e">
        <f>P375*('upper bound Kenaga'!$F$36/100)</f>
        <v>#DIV/0!</v>
      </c>
      <c r="W375" s="43"/>
      <c r="X375" s="525" t="e">
        <f>P375*('upper bound Kenaga'!$F$96/100)</f>
        <v>#DIV/0!</v>
      </c>
      <c r="Y375" s="43"/>
      <c r="Z375" s="43"/>
      <c r="AA375" s="43"/>
      <c r="AB375" s="43"/>
      <c r="AC375" s="43"/>
      <c r="AD375" s="43"/>
    </row>
    <row r="376" spans="11:30" ht="12.75">
      <c r="K376" s="43"/>
      <c r="L376" s="43"/>
      <c r="M376" s="43">
        <f t="shared" si="52"/>
        <v>355</v>
      </c>
      <c r="N376" s="43">
        <f t="shared" si="53"/>
        <v>1</v>
      </c>
      <c r="O376" s="43">
        <f t="shared" si="54"/>
        <v>0</v>
      </c>
      <c r="P376" s="113" t="e">
        <f t="shared" si="55"/>
        <v>#DIV/0!</v>
      </c>
      <c r="Q376" s="113" t="e">
        <f t="shared" si="56"/>
        <v>#DIV/0!</v>
      </c>
      <c r="R376" s="113" t="e">
        <f t="shared" si="57"/>
        <v>#DIV/0!</v>
      </c>
      <c r="S376" s="113" t="e">
        <f t="shared" si="58"/>
        <v>#DIV/0!</v>
      </c>
      <c r="T376" s="43">
        <f t="shared" si="51"/>
        <v>0</v>
      </c>
      <c r="U376" s="43"/>
      <c r="V376" s="525" t="e">
        <f>P376*('upper bound Kenaga'!$F$36/100)</f>
        <v>#DIV/0!</v>
      </c>
      <c r="W376" s="43"/>
      <c r="X376" s="525" t="e">
        <f>P376*('upper bound Kenaga'!$F$96/100)</f>
        <v>#DIV/0!</v>
      </c>
      <c r="Y376" s="43"/>
      <c r="Z376" s="43"/>
      <c r="AA376" s="43"/>
      <c r="AB376" s="43"/>
      <c r="AC376" s="43"/>
      <c r="AD376" s="43"/>
    </row>
    <row r="377" spans="11:30" ht="12.75">
      <c r="K377" s="43"/>
      <c r="L377" s="43"/>
      <c r="M377" s="43">
        <f t="shared" si="52"/>
        <v>356</v>
      </c>
      <c r="N377" s="43">
        <f t="shared" si="53"/>
        <v>1</v>
      </c>
      <c r="O377" s="43">
        <f t="shared" si="54"/>
        <v>0</v>
      </c>
      <c r="P377" s="113" t="e">
        <f t="shared" si="55"/>
        <v>#DIV/0!</v>
      </c>
      <c r="Q377" s="113" t="e">
        <f t="shared" si="56"/>
        <v>#DIV/0!</v>
      </c>
      <c r="R377" s="113" t="e">
        <f t="shared" si="57"/>
        <v>#DIV/0!</v>
      </c>
      <c r="S377" s="113" t="e">
        <f t="shared" si="58"/>
        <v>#DIV/0!</v>
      </c>
      <c r="T377" s="43">
        <f t="shared" si="51"/>
        <v>0</v>
      </c>
      <c r="U377" s="43"/>
      <c r="V377" s="525" t="e">
        <f>P377*('upper bound Kenaga'!$F$36/100)</f>
        <v>#DIV/0!</v>
      </c>
      <c r="W377" s="43"/>
      <c r="X377" s="525" t="e">
        <f>P377*('upper bound Kenaga'!$F$96/100)</f>
        <v>#DIV/0!</v>
      </c>
      <c r="Y377" s="43"/>
      <c r="Z377" s="43"/>
      <c r="AA377" s="43"/>
      <c r="AB377" s="43"/>
      <c r="AC377" s="43"/>
      <c r="AD377" s="43"/>
    </row>
    <row r="378" spans="11:30" ht="12.75">
      <c r="K378" s="43"/>
      <c r="L378" s="43"/>
      <c r="M378" s="43">
        <f t="shared" si="52"/>
        <v>357</v>
      </c>
      <c r="N378" s="43">
        <f t="shared" si="53"/>
        <v>1</v>
      </c>
      <c r="O378" s="43">
        <f t="shared" si="54"/>
        <v>0</v>
      </c>
      <c r="P378" s="113" t="e">
        <f t="shared" si="55"/>
        <v>#DIV/0!</v>
      </c>
      <c r="Q378" s="113" t="e">
        <f t="shared" si="56"/>
        <v>#DIV/0!</v>
      </c>
      <c r="R378" s="113" t="e">
        <f t="shared" si="57"/>
        <v>#DIV/0!</v>
      </c>
      <c r="S378" s="113" t="e">
        <f t="shared" si="58"/>
        <v>#DIV/0!</v>
      </c>
      <c r="T378" s="43">
        <f t="shared" si="51"/>
        <v>0</v>
      </c>
      <c r="U378" s="43"/>
      <c r="V378" s="525" t="e">
        <f>P378*('upper bound Kenaga'!$F$36/100)</f>
        <v>#DIV/0!</v>
      </c>
      <c r="W378" s="43"/>
      <c r="X378" s="525" t="e">
        <f>P378*('upper bound Kenaga'!$F$96/100)</f>
        <v>#DIV/0!</v>
      </c>
      <c r="Y378" s="43"/>
      <c r="Z378" s="43"/>
      <c r="AA378" s="43"/>
      <c r="AB378" s="43"/>
      <c r="AC378" s="43"/>
      <c r="AD378" s="43"/>
    </row>
    <row r="379" spans="11:30" ht="12.75">
      <c r="K379" s="43"/>
      <c r="L379" s="43"/>
      <c r="M379" s="43">
        <f t="shared" si="52"/>
        <v>358</v>
      </c>
      <c r="N379" s="43">
        <f t="shared" si="53"/>
        <v>1</v>
      </c>
      <c r="O379" s="43">
        <f t="shared" si="54"/>
        <v>0</v>
      </c>
      <c r="P379" s="113" t="e">
        <f t="shared" si="55"/>
        <v>#DIV/0!</v>
      </c>
      <c r="Q379" s="113" t="e">
        <f t="shared" si="56"/>
        <v>#DIV/0!</v>
      </c>
      <c r="R379" s="113" t="e">
        <f t="shared" si="57"/>
        <v>#DIV/0!</v>
      </c>
      <c r="S379" s="113" t="e">
        <f t="shared" si="58"/>
        <v>#DIV/0!</v>
      </c>
      <c r="T379" s="43">
        <f t="shared" si="51"/>
        <v>0</v>
      </c>
      <c r="U379" s="43"/>
      <c r="V379" s="525" t="e">
        <f>P379*('upper bound Kenaga'!$F$36/100)</f>
        <v>#DIV/0!</v>
      </c>
      <c r="W379" s="43"/>
      <c r="X379" s="525" t="e">
        <f>P379*('upper bound Kenaga'!$F$96/100)</f>
        <v>#DIV/0!</v>
      </c>
      <c r="Y379" s="43"/>
      <c r="Z379" s="43"/>
      <c r="AA379" s="43"/>
      <c r="AB379" s="43"/>
      <c r="AC379" s="43"/>
      <c r="AD379" s="43"/>
    </row>
    <row r="380" spans="11:30" ht="12.75">
      <c r="K380" s="43"/>
      <c r="L380" s="43"/>
      <c r="M380" s="43">
        <f t="shared" si="52"/>
        <v>359</v>
      </c>
      <c r="N380" s="43">
        <f t="shared" si="53"/>
        <v>1</v>
      </c>
      <c r="O380" s="43">
        <f t="shared" si="54"/>
        <v>0</v>
      </c>
      <c r="P380" s="113" t="e">
        <f t="shared" si="55"/>
        <v>#DIV/0!</v>
      </c>
      <c r="Q380" s="113" t="e">
        <f t="shared" si="56"/>
        <v>#DIV/0!</v>
      </c>
      <c r="R380" s="113" t="e">
        <f t="shared" si="57"/>
        <v>#DIV/0!</v>
      </c>
      <c r="S380" s="113" t="e">
        <f t="shared" si="58"/>
        <v>#DIV/0!</v>
      </c>
      <c r="T380" s="43">
        <f t="shared" si="51"/>
        <v>0</v>
      </c>
      <c r="U380" s="43"/>
      <c r="V380" s="525" t="e">
        <f>P380*('upper bound Kenaga'!$F$36/100)</f>
        <v>#DIV/0!</v>
      </c>
      <c r="W380" s="43"/>
      <c r="X380" s="525" t="e">
        <f>P380*('upper bound Kenaga'!$F$96/100)</f>
        <v>#DIV/0!</v>
      </c>
      <c r="Y380" s="43"/>
      <c r="Z380" s="43"/>
      <c r="AA380" s="43"/>
      <c r="AB380" s="43"/>
      <c r="AC380" s="43"/>
      <c r="AD380" s="43"/>
    </row>
    <row r="381" spans="11:30" ht="12.75">
      <c r="K381" s="43"/>
      <c r="L381" s="43"/>
      <c r="M381" s="43">
        <f t="shared" si="52"/>
        <v>360</v>
      </c>
      <c r="N381" s="43">
        <f t="shared" si="53"/>
        <v>1</v>
      </c>
      <c r="O381" s="43">
        <f t="shared" si="54"/>
        <v>0</v>
      </c>
      <c r="P381" s="113" t="e">
        <f t="shared" si="55"/>
        <v>#DIV/0!</v>
      </c>
      <c r="Q381" s="113" t="e">
        <f t="shared" si="56"/>
        <v>#DIV/0!</v>
      </c>
      <c r="R381" s="113" t="e">
        <f t="shared" si="57"/>
        <v>#DIV/0!</v>
      </c>
      <c r="S381" s="113" t="e">
        <f t="shared" si="58"/>
        <v>#DIV/0!</v>
      </c>
      <c r="T381" s="43">
        <f t="shared" si="51"/>
        <v>0</v>
      </c>
      <c r="U381" s="43"/>
      <c r="V381" s="525" t="e">
        <f>P381*('upper bound Kenaga'!$F$36/100)</f>
        <v>#DIV/0!</v>
      </c>
      <c r="W381" s="43"/>
      <c r="X381" s="525" t="e">
        <f>P381*('upper bound Kenaga'!$F$96/100)</f>
        <v>#DIV/0!</v>
      </c>
      <c r="Y381" s="43"/>
      <c r="Z381" s="43"/>
      <c r="AA381" s="43"/>
      <c r="AB381" s="43"/>
      <c r="AC381" s="43"/>
      <c r="AD381" s="43"/>
    </row>
    <row r="382" spans="11:30" ht="12.75">
      <c r="K382" s="43"/>
      <c r="L382" s="43"/>
      <c r="M382" s="43">
        <f t="shared" si="52"/>
        <v>361</v>
      </c>
      <c r="N382" s="43">
        <f t="shared" si="53"/>
        <v>1</v>
      </c>
      <c r="O382" s="43">
        <f t="shared" si="54"/>
        <v>0</v>
      </c>
      <c r="P382" s="113" t="e">
        <f t="shared" si="55"/>
        <v>#DIV/0!</v>
      </c>
      <c r="Q382" s="113" t="e">
        <f t="shared" si="56"/>
        <v>#DIV/0!</v>
      </c>
      <c r="R382" s="113" t="e">
        <f t="shared" si="57"/>
        <v>#DIV/0!</v>
      </c>
      <c r="S382" s="113" t="e">
        <f t="shared" si="58"/>
        <v>#DIV/0!</v>
      </c>
      <c r="T382" s="43">
        <f t="shared" si="51"/>
        <v>0</v>
      </c>
      <c r="U382" s="43"/>
      <c r="V382" s="525" t="e">
        <f>P382*('upper bound Kenaga'!$F$36/100)</f>
        <v>#DIV/0!</v>
      </c>
      <c r="W382" s="43"/>
      <c r="X382" s="525" t="e">
        <f>P382*('upper bound Kenaga'!$F$96/100)</f>
        <v>#DIV/0!</v>
      </c>
      <c r="Y382" s="43"/>
      <c r="Z382" s="43"/>
      <c r="AA382" s="43"/>
      <c r="AB382" s="43"/>
      <c r="AC382" s="43"/>
      <c r="AD382" s="43"/>
    </row>
    <row r="383" spans="11:30" ht="12.75">
      <c r="K383" s="43"/>
      <c r="L383" s="43"/>
      <c r="M383" s="43">
        <f t="shared" si="52"/>
        <v>362</v>
      </c>
      <c r="N383" s="43">
        <f t="shared" si="53"/>
        <v>1</v>
      </c>
      <c r="O383" s="43">
        <f t="shared" si="54"/>
        <v>0</v>
      </c>
      <c r="P383" s="113" t="e">
        <f t="shared" si="55"/>
        <v>#DIV/0!</v>
      </c>
      <c r="Q383" s="113" t="e">
        <f t="shared" si="56"/>
        <v>#DIV/0!</v>
      </c>
      <c r="R383" s="113" t="e">
        <f t="shared" si="57"/>
        <v>#DIV/0!</v>
      </c>
      <c r="S383" s="113" t="e">
        <f t="shared" si="58"/>
        <v>#DIV/0!</v>
      </c>
      <c r="T383" s="43">
        <f t="shared" si="51"/>
        <v>0</v>
      </c>
      <c r="U383" s="43"/>
      <c r="V383" s="525" t="e">
        <f>P383*('upper bound Kenaga'!$F$36/100)</f>
        <v>#DIV/0!</v>
      </c>
      <c r="W383" s="43"/>
      <c r="X383" s="525" t="e">
        <f>P383*('upper bound Kenaga'!$F$96/100)</f>
        <v>#DIV/0!</v>
      </c>
      <c r="Y383" s="43"/>
      <c r="Z383" s="43"/>
      <c r="AA383" s="43"/>
      <c r="AB383" s="43"/>
      <c r="AC383" s="43"/>
      <c r="AD383" s="43"/>
    </row>
    <row r="384" spans="11:30" ht="12.75">
      <c r="K384" s="43"/>
      <c r="L384" s="43"/>
      <c r="M384" s="43">
        <f t="shared" si="52"/>
        <v>363</v>
      </c>
      <c r="N384" s="43">
        <f t="shared" si="53"/>
        <v>1</v>
      </c>
      <c r="O384" s="43">
        <f t="shared" si="54"/>
        <v>0</v>
      </c>
      <c r="P384" s="113" t="e">
        <f t="shared" si="55"/>
        <v>#DIV/0!</v>
      </c>
      <c r="Q384" s="113" t="e">
        <f t="shared" si="56"/>
        <v>#DIV/0!</v>
      </c>
      <c r="R384" s="113" t="e">
        <f t="shared" si="57"/>
        <v>#DIV/0!</v>
      </c>
      <c r="S384" s="113" t="e">
        <f t="shared" si="58"/>
        <v>#DIV/0!</v>
      </c>
      <c r="T384" s="43">
        <f t="shared" si="51"/>
        <v>0</v>
      </c>
      <c r="U384" s="43"/>
      <c r="V384" s="525" t="e">
        <f>P384*('upper bound Kenaga'!$F$36/100)</f>
        <v>#DIV/0!</v>
      </c>
      <c r="W384" s="43"/>
      <c r="X384" s="525" t="e">
        <f>P384*('upper bound Kenaga'!$F$96/100)</f>
        <v>#DIV/0!</v>
      </c>
      <c r="Y384" s="43"/>
      <c r="Z384" s="43"/>
      <c r="AA384" s="43"/>
      <c r="AB384" s="43"/>
      <c r="AC384" s="43"/>
      <c r="AD384" s="43"/>
    </row>
    <row r="385" spans="11:30" ht="12.75">
      <c r="K385" s="43"/>
      <c r="L385" s="43"/>
      <c r="M385" s="43">
        <f t="shared" si="52"/>
        <v>364</v>
      </c>
      <c r="N385" s="43">
        <f t="shared" si="53"/>
        <v>1</v>
      </c>
      <c r="O385" s="43">
        <f t="shared" si="54"/>
        <v>0</v>
      </c>
      <c r="P385" s="113" t="e">
        <f t="shared" si="55"/>
        <v>#DIV/0!</v>
      </c>
      <c r="Q385" s="113" t="e">
        <f t="shared" si="56"/>
        <v>#DIV/0!</v>
      </c>
      <c r="R385" s="113" t="e">
        <f t="shared" si="57"/>
        <v>#DIV/0!</v>
      </c>
      <c r="S385" s="113" t="e">
        <f t="shared" si="58"/>
        <v>#DIV/0!</v>
      </c>
      <c r="T385" s="43">
        <f t="shared" si="51"/>
        <v>0</v>
      </c>
      <c r="U385" s="43"/>
      <c r="V385" s="525" t="e">
        <f>P385*('upper bound Kenaga'!$F$36/100)</f>
        <v>#DIV/0!</v>
      </c>
      <c r="W385" s="43"/>
      <c r="X385" s="525" t="e">
        <f>P385*('upper bound Kenaga'!$F$96/100)</f>
        <v>#DIV/0!</v>
      </c>
      <c r="Y385" s="43"/>
      <c r="Z385" s="43"/>
      <c r="AA385" s="43"/>
      <c r="AB385" s="43"/>
      <c r="AC385" s="43"/>
      <c r="AD385" s="43"/>
    </row>
    <row r="386" spans="11:30" ht="12.75">
      <c r="K386" s="43"/>
      <c r="L386" s="43"/>
      <c r="M386" s="43">
        <f t="shared" si="52"/>
        <v>365</v>
      </c>
      <c r="N386" s="43">
        <f t="shared" si="53"/>
        <v>1</v>
      </c>
      <c r="O386" s="43">
        <f t="shared" si="54"/>
        <v>0</v>
      </c>
      <c r="P386" s="113" t="e">
        <f t="shared" si="55"/>
        <v>#DIV/0!</v>
      </c>
      <c r="Q386" s="113" t="e">
        <f t="shared" si="56"/>
        <v>#DIV/0!</v>
      </c>
      <c r="R386" s="113" t="e">
        <f t="shared" si="57"/>
        <v>#DIV/0!</v>
      </c>
      <c r="S386" s="113" t="e">
        <f t="shared" si="58"/>
        <v>#DIV/0!</v>
      </c>
      <c r="T386" s="43">
        <f t="shared" si="51"/>
        <v>0</v>
      </c>
      <c r="U386" s="43"/>
      <c r="V386" s="525" t="e">
        <f>P386*('upper bound Kenaga'!$F$36/100)</f>
        <v>#DIV/0!</v>
      </c>
      <c r="W386" s="43"/>
      <c r="X386" s="525" t="e">
        <f>P386*('upper bound Kenaga'!$F$96/100)</f>
        <v>#DIV/0!</v>
      </c>
      <c r="Y386" s="43"/>
      <c r="Z386" s="43"/>
      <c r="AA386" s="43"/>
      <c r="AB386" s="43"/>
      <c r="AC386" s="43"/>
      <c r="AD386" s="43"/>
    </row>
    <row r="387" spans="11:30" ht="12.75">
      <c r="K387" s="43"/>
      <c r="L387" s="43"/>
      <c r="M387" s="43">
        <f t="shared" si="52"/>
        <v>366</v>
      </c>
      <c r="N387" s="43">
        <f t="shared" si="53"/>
        <v>1</v>
      </c>
      <c r="O387" s="43">
        <f t="shared" si="54"/>
        <v>0</v>
      </c>
      <c r="P387" s="113" t="e">
        <f t="shared" si="55"/>
        <v>#DIV/0!</v>
      </c>
      <c r="Q387" s="113" t="e">
        <f t="shared" si="56"/>
        <v>#DIV/0!</v>
      </c>
      <c r="R387" s="113" t="e">
        <f t="shared" si="57"/>
        <v>#DIV/0!</v>
      </c>
      <c r="S387" s="113" t="e">
        <f t="shared" si="58"/>
        <v>#DIV/0!</v>
      </c>
      <c r="T387" s="43">
        <f t="shared" si="51"/>
        <v>0</v>
      </c>
      <c r="U387" s="43"/>
      <c r="V387" s="525" t="e">
        <f>P387*('upper bound Kenaga'!$F$36/100)</f>
        <v>#DIV/0!</v>
      </c>
      <c r="W387" s="43"/>
      <c r="X387" s="525" t="e">
        <f>P387*('upper bound Kenaga'!$F$96/100)</f>
        <v>#DIV/0!</v>
      </c>
      <c r="Y387" s="43"/>
      <c r="Z387" s="43"/>
      <c r="AA387" s="43"/>
      <c r="AB387" s="43"/>
      <c r="AC387" s="43"/>
      <c r="AD387" s="43"/>
    </row>
    <row r="388" spans="11:30" ht="12.75">
      <c r="K388" s="43"/>
      <c r="L388" s="43"/>
      <c r="M388" s="43">
        <f t="shared" si="52"/>
        <v>367</v>
      </c>
      <c r="N388" s="43">
        <f t="shared" si="53"/>
        <v>1</v>
      </c>
      <c r="O388" s="43">
        <f t="shared" si="54"/>
        <v>0</v>
      </c>
      <c r="P388" s="113" t="e">
        <f t="shared" si="55"/>
        <v>#DIV/0!</v>
      </c>
      <c r="Q388" s="113" t="e">
        <f t="shared" si="56"/>
        <v>#DIV/0!</v>
      </c>
      <c r="R388" s="113" t="e">
        <f t="shared" si="57"/>
        <v>#DIV/0!</v>
      </c>
      <c r="S388" s="113" t="e">
        <f t="shared" si="58"/>
        <v>#DIV/0!</v>
      </c>
      <c r="T388" s="43">
        <f t="shared" si="51"/>
        <v>0</v>
      </c>
      <c r="U388" s="43"/>
      <c r="V388" s="525" t="e">
        <f>P388*('upper bound Kenaga'!$F$36/100)</f>
        <v>#DIV/0!</v>
      </c>
      <c r="W388" s="43"/>
      <c r="X388" s="525" t="e">
        <f>P388*('upper bound Kenaga'!$F$96/100)</f>
        <v>#DIV/0!</v>
      </c>
      <c r="Y388" s="43"/>
      <c r="Z388" s="43"/>
      <c r="AA388" s="43"/>
      <c r="AB388" s="43"/>
      <c r="AC388" s="43"/>
      <c r="AD388" s="43"/>
    </row>
    <row r="389" spans="11:30" ht="12.75">
      <c r="K389" s="43"/>
      <c r="L389" s="43"/>
      <c r="M389" s="43">
        <f t="shared" si="52"/>
        <v>368</v>
      </c>
      <c r="N389" s="43">
        <f t="shared" si="53"/>
        <v>1</v>
      </c>
      <c r="O389" s="43">
        <f t="shared" si="54"/>
        <v>0</v>
      </c>
      <c r="P389" s="113" t="e">
        <f t="shared" si="55"/>
        <v>#DIV/0!</v>
      </c>
      <c r="Q389" s="113" t="e">
        <f t="shared" si="56"/>
        <v>#DIV/0!</v>
      </c>
      <c r="R389" s="113" t="e">
        <f t="shared" si="57"/>
        <v>#DIV/0!</v>
      </c>
      <c r="S389" s="113" t="e">
        <f t="shared" si="58"/>
        <v>#DIV/0!</v>
      </c>
      <c r="T389" s="43">
        <f t="shared" si="51"/>
        <v>0</v>
      </c>
      <c r="U389" s="43"/>
      <c r="V389" s="525" t="e">
        <f>P389*('upper bound Kenaga'!$F$36/100)</f>
        <v>#DIV/0!</v>
      </c>
      <c r="W389" s="43"/>
      <c r="X389" s="525" t="e">
        <f>P389*('upper bound Kenaga'!$F$96/100)</f>
        <v>#DIV/0!</v>
      </c>
      <c r="Y389" s="43"/>
      <c r="Z389" s="43"/>
      <c r="AA389" s="43"/>
      <c r="AB389" s="43"/>
      <c r="AC389" s="43"/>
      <c r="AD389" s="43"/>
    </row>
    <row r="390" spans="11:30" ht="12.75">
      <c r="K390" s="43"/>
      <c r="L390" s="43"/>
      <c r="M390" s="43">
        <f t="shared" si="52"/>
        <v>369</v>
      </c>
      <c r="N390" s="43">
        <f t="shared" si="53"/>
        <v>1</v>
      </c>
      <c r="O390" s="43">
        <f t="shared" si="54"/>
        <v>0</v>
      </c>
      <c r="P390" s="113" t="e">
        <f t="shared" si="55"/>
        <v>#DIV/0!</v>
      </c>
      <c r="Q390" s="113" t="e">
        <f t="shared" si="56"/>
        <v>#DIV/0!</v>
      </c>
      <c r="R390" s="113" t="e">
        <f t="shared" si="57"/>
        <v>#DIV/0!</v>
      </c>
      <c r="S390" s="113" t="e">
        <f t="shared" si="58"/>
        <v>#DIV/0!</v>
      </c>
      <c r="T390" s="43">
        <f t="shared" si="51"/>
        <v>0</v>
      </c>
      <c r="U390" s="43"/>
      <c r="V390" s="525" t="e">
        <f>P390*('upper bound Kenaga'!$F$36/100)</f>
        <v>#DIV/0!</v>
      </c>
      <c r="W390" s="43"/>
      <c r="X390" s="525" t="e">
        <f>P390*('upper bound Kenaga'!$F$96/100)</f>
        <v>#DIV/0!</v>
      </c>
      <c r="Y390" s="43"/>
      <c r="Z390" s="43"/>
      <c r="AA390" s="43"/>
      <c r="AB390" s="43"/>
      <c r="AC390" s="43"/>
      <c r="AD390" s="43"/>
    </row>
    <row r="391" spans="11:30" ht="12.75">
      <c r="K391" s="43"/>
      <c r="L391" s="43"/>
      <c r="M391" s="43">
        <f t="shared" si="52"/>
        <v>370</v>
      </c>
      <c r="N391" s="43">
        <f t="shared" si="53"/>
        <v>1</v>
      </c>
      <c r="O391" s="43">
        <f t="shared" si="54"/>
        <v>0</v>
      </c>
      <c r="P391" s="113" t="e">
        <f t="shared" si="55"/>
        <v>#DIV/0!</v>
      </c>
      <c r="Q391" s="113" t="e">
        <f t="shared" si="56"/>
        <v>#DIV/0!</v>
      </c>
      <c r="R391" s="113" t="e">
        <f t="shared" si="57"/>
        <v>#DIV/0!</v>
      </c>
      <c r="S391" s="113" t="e">
        <f t="shared" si="58"/>
        <v>#DIV/0!</v>
      </c>
      <c r="T391" s="43">
        <f t="shared" si="51"/>
        <v>0</v>
      </c>
      <c r="U391" s="43"/>
      <c r="V391" s="525" t="e">
        <f>P391*('upper bound Kenaga'!$F$36/100)</f>
        <v>#DIV/0!</v>
      </c>
      <c r="W391" s="43"/>
      <c r="X391" s="525" t="e">
        <f>P391*('upper bound Kenaga'!$F$96/100)</f>
        <v>#DIV/0!</v>
      </c>
      <c r="Y391" s="43"/>
      <c r="Z391" s="43"/>
      <c r="AA391" s="43"/>
      <c r="AB391" s="43"/>
      <c r="AC391" s="43"/>
      <c r="AD391" s="43"/>
    </row>
    <row r="392" spans="21:26" ht="12.75">
      <c r="U392" s="43"/>
      <c r="V392" s="43"/>
      <c r="W392" s="43"/>
      <c r="X392" s="43"/>
      <c r="Y392" s="43"/>
      <c r="Z392" s="43"/>
    </row>
  </sheetData>
  <sheetProtection password="F155" sheet="1" objects="1" scenarios="1" formatCells="0" formatColumns="0" formatRows="0"/>
  <mergeCells count="40">
    <mergeCell ref="A137:A139"/>
    <mergeCell ref="B137:C137"/>
    <mergeCell ref="D137:E137"/>
    <mergeCell ref="F137:G137"/>
    <mergeCell ref="B121:D121"/>
    <mergeCell ref="E121:G121"/>
    <mergeCell ref="A120:A122"/>
    <mergeCell ref="B128:C128"/>
    <mergeCell ref="D128:E128"/>
    <mergeCell ref="F128:G128"/>
    <mergeCell ref="A128:A130"/>
    <mergeCell ref="B120:G120"/>
    <mergeCell ref="B66:D66"/>
    <mergeCell ref="A66:A67"/>
    <mergeCell ref="E113:G113"/>
    <mergeCell ref="B112:G112"/>
    <mergeCell ref="A112:A114"/>
    <mergeCell ref="B113:D113"/>
    <mergeCell ref="B74:C75"/>
    <mergeCell ref="A74:A76"/>
    <mergeCell ref="B5:C5"/>
    <mergeCell ref="B12:C12"/>
    <mergeCell ref="F58:G58"/>
    <mergeCell ref="A50:A52"/>
    <mergeCell ref="A58:A60"/>
    <mergeCell ref="B58:D58"/>
    <mergeCell ref="A13:D14"/>
    <mergeCell ref="B21:C21"/>
    <mergeCell ref="A15:A18"/>
    <mergeCell ref="E51:G51"/>
    <mergeCell ref="B50:G50"/>
    <mergeCell ref="U15:Z15"/>
    <mergeCell ref="A1:C2"/>
    <mergeCell ref="A25:A26"/>
    <mergeCell ref="B22:C22"/>
    <mergeCell ref="B23:C23"/>
    <mergeCell ref="A20:A23"/>
    <mergeCell ref="B20:C20"/>
    <mergeCell ref="B3:C3"/>
    <mergeCell ref="B4:C4"/>
  </mergeCells>
  <printOptions/>
  <pageMargins left="0.75" right="0.75" top="0.5" bottom="0.76" header="0.28" footer="0.26"/>
  <pageSetup fitToHeight="3" horizontalDpi="600" verticalDpi="600" orientation="portrait" scale="54" r:id="rId4"/>
  <headerFooter alignWithMargins="0">
    <oddHeader>&amp;C&amp;Z&amp;F</oddHeader>
    <oddFooter>&amp;C&amp;A&amp;RPage &amp;P</oddFooter>
  </headerFooter>
  <rowBreaks count="2" manualBreakCount="2">
    <brk id="89" min="1" max="7" man="1"/>
    <brk id="180" min="1" max="7" man="1"/>
  </rowBreaks>
  <drawing r:id="rId3"/>
  <legacyDrawing r:id="rId2"/>
</worksheet>
</file>

<file path=xl/worksheets/sheet5.xml><?xml version="1.0" encoding="utf-8"?>
<worksheet xmlns="http://schemas.openxmlformats.org/spreadsheetml/2006/main" xmlns:r="http://schemas.openxmlformats.org/officeDocument/2006/relationships">
  <sheetPr codeName="Sheet9">
    <tabColor indexed="12"/>
  </sheetPr>
  <dimension ref="A1:AA390"/>
  <sheetViews>
    <sheetView showGridLines="0" view="pageBreakPreview" zoomScale="75" zoomScaleNormal="70" zoomScaleSheetLayoutView="75" workbookViewId="0" topLeftCell="A1">
      <selection activeCell="Z21" sqref="Z21"/>
    </sheetView>
  </sheetViews>
  <sheetFormatPr defaultColWidth="9.140625" defaultRowHeight="12.75"/>
  <cols>
    <col min="1" max="1" width="39.00390625" style="1" customWidth="1"/>
    <col min="2" max="2" width="19.57421875" style="1" customWidth="1"/>
    <col min="3" max="3" width="19.8515625" style="1" customWidth="1"/>
    <col min="4" max="4" width="15.28125" style="3" customWidth="1"/>
    <col min="5" max="5" width="15.8515625" style="1" customWidth="1"/>
    <col min="6" max="6" width="14.7109375" style="1" customWidth="1"/>
    <col min="7" max="7" width="14.57421875" style="1" customWidth="1"/>
    <col min="8" max="8" width="17.140625" style="1" customWidth="1"/>
    <col min="9" max="9" width="14.57421875" style="1" customWidth="1"/>
    <col min="10" max="10" width="14.421875" style="1" customWidth="1"/>
    <col min="11" max="11" width="19.421875" style="0" customWidth="1"/>
    <col min="12" max="13" width="14.421875" style="1" customWidth="1"/>
    <col min="14" max="14" width="8.421875" style="1" customWidth="1"/>
    <col min="15" max="15" width="8.28125" style="1" customWidth="1"/>
    <col min="16" max="16" width="24.7109375" style="1" customWidth="1"/>
    <col min="17" max="17" width="10.28125" style="1" customWidth="1"/>
    <col min="18" max="18" width="14.421875" style="1" customWidth="1"/>
    <col min="19" max="19" width="8.421875" style="1" customWidth="1"/>
    <col min="20" max="20" width="5.421875" style="1" customWidth="1"/>
    <col min="21" max="21" width="19.57421875" style="1" customWidth="1"/>
    <col min="22" max="22" width="1.57421875" style="1" customWidth="1"/>
    <col min="23" max="23" width="25.7109375" style="1" customWidth="1"/>
    <col min="24" max="24" width="1.1484375" style="1" customWidth="1"/>
    <col min="25" max="25" width="21.7109375" style="1" customWidth="1"/>
    <col min="26" max="26" width="25.28125" style="1" customWidth="1"/>
    <col min="27" max="31" width="8.421875" style="1" customWidth="1"/>
    <col min="32" max="32" width="11.57421875" style="1" customWidth="1"/>
    <col min="33" max="16384" width="8.421875" style="1" customWidth="1"/>
  </cols>
  <sheetData>
    <row r="1" spans="1:3" ht="12.75">
      <c r="A1" s="830" t="s">
        <v>208</v>
      </c>
      <c r="B1" s="831"/>
      <c r="C1" s="831"/>
    </row>
    <row r="2" spans="1:5" ht="19.5" customHeight="1" thickBot="1">
      <c r="A2" s="832"/>
      <c r="B2" s="832"/>
      <c r="C2" s="832"/>
      <c r="E2" s="203" t="s">
        <v>77</v>
      </c>
    </row>
    <row r="3" spans="1:5" ht="20.25" customHeight="1">
      <c r="A3" s="534" t="s">
        <v>0</v>
      </c>
      <c r="B3" s="844">
        <f>INPUTS!B6</f>
        <v>0</v>
      </c>
      <c r="C3" s="845"/>
      <c r="E3" s="204" t="s">
        <v>310</v>
      </c>
    </row>
    <row r="4" spans="1:11" ht="15" customHeight="1">
      <c r="A4" s="535" t="s">
        <v>1</v>
      </c>
      <c r="B4" s="846">
        <f>INPUTS!B7</f>
        <v>0</v>
      </c>
      <c r="C4" s="847"/>
      <c r="E4" s="204" t="s">
        <v>311</v>
      </c>
      <c r="K4" s="1"/>
    </row>
    <row r="5" spans="1:16" ht="15" customHeight="1">
      <c r="A5" s="536" t="s">
        <v>2</v>
      </c>
      <c r="B5" s="846">
        <f>INPUTS!B8</f>
        <v>0</v>
      </c>
      <c r="C5" s="847"/>
      <c r="E5" s="204" t="s">
        <v>309</v>
      </c>
      <c r="P5" s="1" t="s">
        <v>3</v>
      </c>
    </row>
    <row r="6" spans="1:5" ht="15" customHeight="1">
      <c r="A6" s="536" t="s">
        <v>4</v>
      </c>
      <c r="B6" s="368">
        <f>INPUTS!B10*INPUTS!B9</f>
        <v>0</v>
      </c>
      <c r="C6" s="369" t="s">
        <v>5</v>
      </c>
      <c r="E6" s="205" t="s">
        <v>312</v>
      </c>
    </row>
    <row r="7" spans="1:3" ht="15" customHeight="1">
      <c r="A7" s="536" t="s">
        <v>8</v>
      </c>
      <c r="B7" s="368">
        <f>INPUTS!B11</f>
        <v>0</v>
      </c>
      <c r="C7" s="369" t="s">
        <v>9</v>
      </c>
    </row>
    <row r="8" spans="1:17" ht="15" customHeight="1">
      <c r="A8" s="537" t="s">
        <v>59</v>
      </c>
      <c r="B8" s="368">
        <f>INPUTS!B12</f>
        <v>0</v>
      </c>
      <c r="C8" s="369" t="s">
        <v>10</v>
      </c>
      <c r="P8" s="5" t="s">
        <v>6</v>
      </c>
      <c r="Q8" s="5" t="s">
        <v>7</v>
      </c>
    </row>
    <row r="9" spans="1:3" ht="15" customHeight="1">
      <c r="A9" s="536" t="s">
        <v>11</v>
      </c>
      <c r="B9" s="370">
        <f>INPUTS!B13</f>
        <v>0</v>
      </c>
      <c r="C9" s="371"/>
    </row>
    <row r="10" spans="1:3" ht="15" customHeight="1" thickBot="1">
      <c r="A10" s="538" t="s">
        <v>35</v>
      </c>
      <c r="B10" s="372">
        <v>1</v>
      </c>
      <c r="C10" s="373" t="s">
        <v>64</v>
      </c>
    </row>
    <row r="11" spans="1:17" ht="15" customHeight="1">
      <c r="A11" s="243"/>
      <c r="B11" s="232"/>
      <c r="C11" s="233"/>
      <c r="P11" s="1" t="s">
        <v>44</v>
      </c>
      <c r="Q11" s="43">
        <f>(B6*85)</f>
        <v>0</v>
      </c>
    </row>
    <row r="12" spans="1:17" ht="15" customHeight="1" thickBot="1">
      <c r="A12" s="242"/>
      <c r="B12" s="848"/>
      <c r="C12" s="848"/>
      <c r="P12" s="1" t="s">
        <v>45</v>
      </c>
      <c r="Q12" s="43">
        <f>(B6*36)</f>
        <v>0</v>
      </c>
    </row>
    <row r="13" spans="1:17" ht="15" customHeight="1">
      <c r="A13" s="928" t="s">
        <v>460</v>
      </c>
      <c r="B13" s="929"/>
      <c r="C13" s="929"/>
      <c r="D13" s="930"/>
      <c r="P13" s="1" t="s">
        <v>46</v>
      </c>
      <c r="Q13" s="43">
        <f>(B6*45)</f>
        <v>0</v>
      </c>
    </row>
    <row r="14" spans="1:27" ht="16.5" thickBot="1">
      <c r="A14" s="931"/>
      <c r="B14" s="932"/>
      <c r="C14" s="932"/>
      <c r="D14" s="933"/>
      <c r="P14" s="1" t="s">
        <v>47</v>
      </c>
      <c r="Q14" s="43">
        <f>(B6*7)</f>
        <v>0</v>
      </c>
      <c r="U14" s="918" t="s">
        <v>459</v>
      </c>
      <c r="V14" s="918"/>
      <c r="W14" s="918"/>
      <c r="X14" s="918"/>
      <c r="Y14" s="918"/>
      <c r="Z14" s="569"/>
      <c r="AA14" s="569"/>
    </row>
    <row r="15" spans="1:26" ht="32.25" customHeight="1">
      <c r="A15" s="952" t="s">
        <v>19</v>
      </c>
      <c r="B15" s="374" t="str">
        <f>IF(INPUTS!D24=3,INPUTS!G24,IF(INPUTS!D24=1,"Bobwhite quail ","Mallard duck "))</f>
        <v>Mallard duck </v>
      </c>
      <c r="C15" s="375" t="s">
        <v>191</v>
      </c>
      <c r="D15" s="376">
        <f>INPUTS!C24</f>
        <v>0</v>
      </c>
      <c r="E15" s="17"/>
      <c r="Q15" s="43"/>
      <c r="U15" s="524" t="s">
        <v>461</v>
      </c>
      <c r="V15" s="524"/>
      <c r="W15" s="524" t="s">
        <v>457</v>
      </c>
      <c r="Y15" s="524" t="s">
        <v>458</v>
      </c>
      <c r="Z15" s="524" t="s">
        <v>463</v>
      </c>
    </row>
    <row r="16" spans="1:17" ht="15" customHeight="1">
      <c r="A16" s="953"/>
      <c r="B16" s="377" t="str">
        <f>IF(INPUTS!D25=3,INPUTS!G25,IF(INPUTS!D25=1,"Bobwhite quail ","Mallard duck)"))</f>
        <v>Bobwhite quail </v>
      </c>
      <c r="C16" s="378" t="s">
        <v>190</v>
      </c>
      <c r="D16" s="379">
        <f>INPUTS!C25</f>
        <v>0</v>
      </c>
      <c r="E16" s="17"/>
      <c r="P16" s="1" t="s">
        <v>17</v>
      </c>
      <c r="Q16" s="112" t="e">
        <f>(LN(2)/B7)</f>
        <v>#DIV/0!</v>
      </c>
    </row>
    <row r="17" spans="1:27" ht="15" customHeight="1">
      <c r="A17" s="953"/>
      <c r="B17" s="377" t="str">
        <f>IF(INPUTS!D26=3,INPUTS!G26,IF(INPUTS!D26=1,"Bobwhite quail)","Mallard duck"))</f>
        <v>Mallard duck</v>
      </c>
      <c r="C17" s="378" t="s">
        <v>192</v>
      </c>
      <c r="D17" s="380">
        <f>INPUTS!C26</f>
        <v>0</v>
      </c>
      <c r="E17" s="17"/>
      <c r="U17" s="4" t="s">
        <v>19</v>
      </c>
      <c r="V17" s="4"/>
      <c r="W17" s="4" t="s">
        <v>19</v>
      </c>
      <c r="X17" s="4"/>
      <c r="Y17" s="4" t="s">
        <v>20</v>
      </c>
      <c r="Z17" s="4" t="s">
        <v>20</v>
      </c>
      <c r="AA17" s="4"/>
    </row>
    <row r="18" spans="1:27" ht="15" customHeight="1" thickBot="1">
      <c r="A18" s="954"/>
      <c r="B18" s="381" t="str">
        <f>IF(INPUTS!D27=3,INPUTS!G27,IF(INPUTS!D27=1,"Bobwhite quail ","Mallard duck"))</f>
        <v>Bobwhite quail </v>
      </c>
      <c r="C18" s="382" t="s">
        <v>189</v>
      </c>
      <c r="D18" s="383">
        <f>INPUTS!C27</f>
        <v>0</v>
      </c>
      <c r="Q18" s="4" t="s">
        <v>16</v>
      </c>
      <c r="T18" s="1" t="s">
        <v>22</v>
      </c>
      <c r="U18" s="4" t="s">
        <v>23</v>
      </c>
      <c r="V18" s="4"/>
      <c r="W18" s="4" t="s">
        <v>24</v>
      </c>
      <c r="X18" s="4"/>
      <c r="Y18" s="4" t="s">
        <v>23</v>
      </c>
      <c r="Z18" s="4" t="s">
        <v>24</v>
      </c>
      <c r="AA18" s="4"/>
    </row>
    <row r="19" spans="1:27" ht="15" customHeight="1" thickBot="1">
      <c r="A19" s="539"/>
      <c r="B19" s="540"/>
      <c r="C19" s="540"/>
      <c r="D19" s="541"/>
      <c r="M19" s="4" t="s">
        <v>25</v>
      </c>
      <c r="N19" s="4" t="s">
        <v>26</v>
      </c>
      <c r="O19" s="4" t="s">
        <v>27</v>
      </c>
      <c r="P19" s="4" t="s">
        <v>18</v>
      </c>
      <c r="Q19" s="4" t="s">
        <v>28</v>
      </c>
      <c r="R19" s="4" t="s">
        <v>29</v>
      </c>
      <c r="S19" s="7" t="s">
        <v>39</v>
      </c>
      <c r="T19" s="1" t="s">
        <v>30</v>
      </c>
      <c r="U19" s="4" t="s">
        <v>31</v>
      </c>
      <c r="V19" s="4"/>
      <c r="W19" s="4" t="s">
        <v>31</v>
      </c>
      <c r="X19" s="4"/>
      <c r="Y19" s="4" t="s">
        <v>31</v>
      </c>
      <c r="Z19" s="4" t="s">
        <v>31</v>
      </c>
      <c r="AA19" s="4"/>
    </row>
    <row r="20" spans="1:27" ht="15" customHeight="1">
      <c r="A20" s="948" t="s">
        <v>62</v>
      </c>
      <c r="B20" s="934" t="s">
        <v>191</v>
      </c>
      <c r="C20" s="935"/>
      <c r="D20" s="384">
        <f>INPUTS!C33</f>
        <v>0</v>
      </c>
      <c r="E20" s="17"/>
      <c r="M20" s="5" t="s">
        <v>16</v>
      </c>
      <c r="N20" s="5" t="s">
        <v>16</v>
      </c>
      <c r="O20" s="5" t="s">
        <v>32</v>
      </c>
      <c r="P20" s="5" t="s">
        <v>16</v>
      </c>
      <c r="Q20" s="5" t="s">
        <v>16</v>
      </c>
      <c r="R20" s="6" t="s">
        <v>38</v>
      </c>
      <c r="S20" s="6" t="s">
        <v>40</v>
      </c>
      <c r="T20" s="1" t="s">
        <v>16</v>
      </c>
      <c r="U20" s="4" t="s">
        <v>33</v>
      </c>
      <c r="V20" s="568" t="s">
        <v>464</v>
      </c>
      <c r="W20" s="4" t="s">
        <v>33</v>
      </c>
      <c r="X20" s="7" t="s">
        <v>465</v>
      </c>
      <c r="Y20" s="4" t="s">
        <v>33</v>
      </c>
      <c r="Z20" s="4" t="s">
        <v>33</v>
      </c>
      <c r="AA20" s="4"/>
    </row>
    <row r="21" spans="1:27" ht="12.75">
      <c r="A21" s="949"/>
      <c r="B21" s="944" t="s">
        <v>190</v>
      </c>
      <c r="C21" s="951"/>
      <c r="D21" s="385">
        <f>INPUTS!C34</f>
        <v>0</v>
      </c>
      <c r="E21" s="17"/>
      <c r="M21" s="43">
        <v>0</v>
      </c>
      <c r="N21" s="43">
        <v>1</v>
      </c>
      <c r="O21" s="43">
        <v>0</v>
      </c>
      <c r="P21" s="113">
        <f>(Q11)</f>
        <v>0</v>
      </c>
      <c r="Q21" s="43">
        <f>(Q12)</f>
        <v>0</v>
      </c>
      <c r="R21" s="43">
        <f>(Q13)</f>
        <v>0</v>
      </c>
      <c r="S21" s="43">
        <f>(Q14)</f>
        <v>0</v>
      </c>
      <c r="T21" s="43">
        <f aca="true" t="shared" si="0" ref="T21:T84">$B$11</f>
        <v>0</v>
      </c>
      <c r="U21" s="526">
        <f>COUNTIF(P21:P76,"&gt;"&amp;INPUTS!C27)</f>
        <v>0</v>
      </c>
      <c r="V21" s="525">
        <f>P21*('upper bound Kenaga'!$F$36/100)</f>
        <v>0</v>
      </c>
      <c r="W21" s="183">
        <f>COUNTIF(V21:V76,"&gt;="&amp;(E36*0.1))</f>
        <v>1</v>
      </c>
      <c r="X21" s="525">
        <f>P21*('upper bound Kenaga'!$F$96/100)</f>
        <v>0</v>
      </c>
      <c r="Y21" s="183">
        <f>COUNTIF(X21:X76,"&gt;="&amp;(F97))</f>
        <v>1</v>
      </c>
      <c r="Z21" s="183">
        <f>COUNTIF(X21:X76,"&gt;="&amp;(E97*0.1))</f>
        <v>1</v>
      </c>
      <c r="AA21" s="43"/>
    </row>
    <row r="22" spans="1:27" ht="12.75">
      <c r="A22" s="949"/>
      <c r="B22" s="944" t="s">
        <v>192</v>
      </c>
      <c r="C22" s="945"/>
      <c r="D22" s="379">
        <f>IF(INPUTS!D35=2,INPUTS!C38,INPUTS!C35)</f>
        <v>0</v>
      </c>
      <c r="E22" s="17"/>
      <c r="M22" s="43">
        <f aca="true" t="shared" si="1" ref="M22:M85">(M21+1)</f>
        <v>1</v>
      </c>
      <c r="N22" s="43">
        <f aca="true" t="shared" si="2" ref="N22:N85">IF($B$9&gt;N21,IF(O21=($B$8-1),(N21+1),(N21)),(N21))</f>
        <v>1</v>
      </c>
      <c r="O22" s="43">
        <f aca="true" t="shared" si="3" ref="O22:O85">IF(O21&lt;($B$8-1),(1+O21),0)</f>
        <v>0</v>
      </c>
      <c r="P22" s="113" t="e">
        <f aca="true" t="shared" si="4" ref="P22:P85">IF((N22&gt;N21),(EXP(-$Q$16)*(P21)+$Q$11),((EXP(-$Q$16)*(P21))))</f>
        <v>#DIV/0!</v>
      </c>
      <c r="Q22" s="113" t="e">
        <f aca="true" t="shared" si="5" ref="Q22:Q85">IF((N22&gt;N21),(EXP(-$Q$16)*(Q21)+$Q$12),((EXP(-$Q$16)*(Q21))))</f>
        <v>#DIV/0!</v>
      </c>
      <c r="R22" s="113" t="e">
        <f aca="true" t="shared" si="6" ref="R22:R85">IF((N22&gt;N21),(EXP(-$Q$16)*(R21)+$Q$13),((EXP(-$Q$16)*(R21))))</f>
        <v>#DIV/0!</v>
      </c>
      <c r="S22" s="113" t="e">
        <f aca="true" t="shared" si="7" ref="S22:S85">IF((N22&gt;N21),(EXP(-$Q$16)*(S21)+$Q$14),((EXP(-$Q$16)*(S21))))</f>
        <v>#DIV/0!</v>
      </c>
      <c r="T22" s="43">
        <f t="shared" si="0"/>
        <v>0</v>
      </c>
      <c r="U22" s="43"/>
      <c r="V22" s="525" t="e">
        <f>P22*('upper bound Kenaga'!$F$36/100)</f>
        <v>#DIV/0!</v>
      </c>
      <c r="W22" s="43"/>
      <c r="X22" s="525" t="e">
        <f>P22*('upper bound Kenaga'!$F$96/100)</f>
        <v>#DIV/0!</v>
      </c>
      <c r="Y22" s="43"/>
      <c r="Z22" s="43"/>
      <c r="AA22" s="43"/>
    </row>
    <row r="23" spans="1:27" ht="13.5" thickBot="1">
      <c r="A23" s="950"/>
      <c r="B23" s="946" t="s">
        <v>189</v>
      </c>
      <c r="C23" s="947"/>
      <c r="D23" s="386">
        <f>IF(INPUTS!D35=1,INPUTS!C38,INPUTS!C35)</f>
        <v>0</v>
      </c>
      <c r="E23" s="17"/>
      <c r="I23" s="14"/>
      <c r="M23" s="43">
        <f t="shared" si="1"/>
        <v>2</v>
      </c>
      <c r="N23" s="43">
        <f t="shared" si="2"/>
        <v>1</v>
      </c>
      <c r="O23" s="43">
        <f t="shared" si="3"/>
        <v>0</v>
      </c>
      <c r="P23" s="113" t="e">
        <f t="shared" si="4"/>
        <v>#DIV/0!</v>
      </c>
      <c r="Q23" s="113" t="e">
        <f t="shared" si="5"/>
        <v>#DIV/0!</v>
      </c>
      <c r="R23" s="113" t="e">
        <f t="shared" si="6"/>
        <v>#DIV/0!</v>
      </c>
      <c r="S23" s="113" t="e">
        <f t="shared" si="7"/>
        <v>#DIV/0!</v>
      </c>
      <c r="T23" s="43">
        <f t="shared" si="0"/>
        <v>0</v>
      </c>
      <c r="U23" s="43"/>
      <c r="V23" s="525" t="e">
        <f>P23*('upper bound Kenaga'!$F$36/100)</f>
        <v>#DIV/0!</v>
      </c>
      <c r="W23" s="43"/>
      <c r="X23" s="525" t="e">
        <f>P23*('upper bound Kenaga'!$F$96/100)</f>
        <v>#DIV/0!</v>
      </c>
      <c r="Y23" s="43"/>
      <c r="Z23" s="43"/>
      <c r="AA23" s="43"/>
    </row>
    <row r="24" spans="3:27" ht="12" customHeight="1" thickBot="1">
      <c r="C24" s="244"/>
      <c r="D24" s="245"/>
      <c r="I24" s="14"/>
      <c r="M24" s="43">
        <f t="shared" si="1"/>
        <v>3</v>
      </c>
      <c r="N24" s="43">
        <f t="shared" si="2"/>
        <v>1</v>
      </c>
      <c r="O24" s="43">
        <f t="shared" si="3"/>
        <v>0</v>
      </c>
      <c r="P24" s="113" t="e">
        <f t="shared" si="4"/>
        <v>#DIV/0!</v>
      </c>
      <c r="Q24" s="113" t="e">
        <f t="shared" si="5"/>
        <v>#DIV/0!</v>
      </c>
      <c r="R24" s="113" t="e">
        <f t="shared" si="6"/>
        <v>#DIV/0!</v>
      </c>
      <c r="S24" s="113" t="e">
        <f t="shared" si="7"/>
        <v>#DIV/0!</v>
      </c>
      <c r="T24" s="43">
        <f t="shared" si="0"/>
        <v>0</v>
      </c>
      <c r="U24" s="43"/>
      <c r="V24" s="525" t="e">
        <f>P24*('upper bound Kenaga'!$F$36/100)</f>
        <v>#DIV/0!</v>
      </c>
      <c r="W24" s="43"/>
      <c r="X24" s="525" t="e">
        <f>P24*('upper bound Kenaga'!$F$96/100)</f>
        <v>#DIV/0!</v>
      </c>
      <c r="Y24" s="43"/>
      <c r="Z24" s="43"/>
      <c r="AA24" s="43"/>
    </row>
    <row r="25" spans="1:27" ht="18.75" customHeight="1">
      <c r="A25" s="942" t="s">
        <v>344</v>
      </c>
      <c r="B25" s="408" t="s">
        <v>345</v>
      </c>
      <c r="I25" s="14"/>
      <c r="M25" s="43">
        <f t="shared" si="1"/>
        <v>4</v>
      </c>
      <c r="N25" s="43">
        <f t="shared" si="2"/>
        <v>1</v>
      </c>
      <c r="O25" s="43">
        <f t="shared" si="3"/>
        <v>0</v>
      </c>
      <c r="P25" s="113" t="e">
        <f t="shared" si="4"/>
        <v>#DIV/0!</v>
      </c>
      <c r="Q25" s="113" t="e">
        <f t="shared" si="5"/>
        <v>#DIV/0!</v>
      </c>
      <c r="R25" s="113" t="e">
        <f t="shared" si="6"/>
        <v>#DIV/0!</v>
      </c>
      <c r="S25" s="113" t="e">
        <f t="shared" si="7"/>
        <v>#DIV/0!</v>
      </c>
      <c r="T25" s="43">
        <f t="shared" si="0"/>
        <v>0</v>
      </c>
      <c r="U25" s="43"/>
      <c r="V25" s="525" t="e">
        <f>P25*('upper bound Kenaga'!$F$36/100)</f>
        <v>#DIV/0!</v>
      </c>
      <c r="W25" s="43"/>
      <c r="X25" s="525" t="e">
        <f>P25*('upper bound Kenaga'!$F$96/100)</f>
        <v>#DIV/0!</v>
      </c>
      <c r="Y25" s="43"/>
      <c r="Z25" s="43"/>
      <c r="AA25" s="43"/>
    </row>
    <row r="26" spans="1:27" ht="21" customHeight="1">
      <c r="A26" s="943"/>
      <c r="B26" s="409"/>
      <c r="I26" s="14"/>
      <c r="M26" s="43">
        <f t="shared" si="1"/>
        <v>5</v>
      </c>
      <c r="N26" s="43">
        <f t="shared" si="2"/>
        <v>1</v>
      </c>
      <c r="O26" s="43">
        <f t="shared" si="3"/>
        <v>0</v>
      </c>
      <c r="P26" s="113" t="e">
        <f t="shared" si="4"/>
        <v>#DIV/0!</v>
      </c>
      <c r="Q26" s="113" t="e">
        <f t="shared" si="5"/>
        <v>#DIV/0!</v>
      </c>
      <c r="R26" s="113" t="e">
        <f t="shared" si="6"/>
        <v>#DIV/0!</v>
      </c>
      <c r="S26" s="113" t="e">
        <f t="shared" si="7"/>
        <v>#DIV/0!</v>
      </c>
      <c r="T26" s="43">
        <f t="shared" si="0"/>
        <v>0</v>
      </c>
      <c r="U26" s="43"/>
      <c r="V26" s="525" t="e">
        <f>P26*('upper bound Kenaga'!$F$36/100)</f>
        <v>#DIV/0!</v>
      </c>
      <c r="W26" s="43"/>
      <c r="X26" s="525" t="e">
        <f>P26*('upper bound Kenaga'!$F$96/100)</f>
        <v>#DIV/0!</v>
      </c>
      <c r="Y26" s="43"/>
      <c r="Z26" s="43"/>
      <c r="AA26" s="43"/>
    </row>
    <row r="27" spans="1:27" ht="12.75">
      <c r="A27" s="387" t="s">
        <v>18</v>
      </c>
      <c r="B27" s="388" t="e">
        <f>MAX(P21:P386)</f>
        <v>#DIV/0!</v>
      </c>
      <c r="I27" s="14"/>
      <c r="M27" s="43">
        <f t="shared" si="1"/>
        <v>6</v>
      </c>
      <c r="N27" s="43">
        <f t="shared" si="2"/>
        <v>1</v>
      </c>
      <c r="O27" s="43">
        <f t="shared" si="3"/>
        <v>0</v>
      </c>
      <c r="P27" s="113" t="e">
        <f t="shared" si="4"/>
        <v>#DIV/0!</v>
      </c>
      <c r="Q27" s="113" t="e">
        <f t="shared" si="5"/>
        <v>#DIV/0!</v>
      </c>
      <c r="R27" s="113" t="e">
        <f t="shared" si="6"/>
        <v>#DIV/0!</v>
      </c>
      <c r="S27" s="113" t="e">
        <f t="shared" si="7"/>
        <v>#DIV/0!</v>
      </c>
      <c r="T27" s="43">
        <f t="shared" si="0"/>
        <v>0</v>
      </c>
      <c r="U27" s="43"/>
      <c r="V27" s="525" t="e">
        <f>P27*('upper bound Kenaga'!$F$36/100)</f>
        <v>#DIV/0!</v>
      </c>
      <c r="W27" s="43"/>
      <c r="X27" s="525" t="e">
        <f>P27*('upper bound Kenaga'!$F$96/100)</f>
        <v>#DIV/0!</v>
      </c>
      <c r="Y27" s="43"/>
      <c r="Z27" s="43"/>
      <c r="AA27" s="43"/>
    </row>
    <row r="28" spans="1:27" ht="12.75">
      <c r="A28" s="387" t="s">
        <v>21</v>
      </c>
      <c r="B28" s="388" t="e">
        <f>MAX(Q21:Q386)</f>
        <v>#DIV/0!</v>
      </c>
      <c r="I28" s="14"/>
      <c r="M28" s="43">
        <f t="shared" si="1"/>
        <v>7</v>
      </c>
      <c r="N28" s="43">
        <f t="shared" si="2"/>
        <v>1</v>
      </c>
      <c r="O28" s="43">
        <f t="shared" si="3"/>
        <v>0</v>
      </c>
      <c r="P28" s="113" t="e">
        <f t="shared" si="4"/>
        <v>#DIV/0!</v>
      </c>
      <c r="Q28" s="113" t="e">
        <f t="shared" si="5"/>
        <v>#DIV/0!</v>
      </c>
      <c r="R28" s="113" t="e">
        <f t="shared" si="6"/>
        <v>#DIV/0!</v>
      </c>
      <c r="S28" s="113" t="e">
        <f t="shared" si="7"/>
        <v>#DIV/0!</v>
      </c>
      <c r="T28" s="43">
        <f t="shared" si="0"/>
        <v>0</v>
      </c>
      <c r="U28" s="43"/>
      <c r="V28" s="525" t="e">
        <f>P28*('upper bound Kenaga'!$F$36/100)</f>
        <v>#DIV/0!</v>
      </c>
      <c r="W28" s="43"/>
      <c r="X28" s="525" t="e">
        <f>P28*('upper bound Kenaga'!$F$96/100)</f>
        <v>#DIV/0!</v>
      </c>
      <c r="Y28" s="43"/>
      <c r="Z28" s="43"/>
      <c r="AA28" s="43"/>
    </row>
    <row r="29" spans="1:27" ht="12.75">
      <c r="A29" s="387" t="s">
        <v>37</v>
      </c>
      <c r="B29" s="388" t="e">
        <f>MAX(R21:R386)</f>
        <v>#DIV/0!</v>
      </c>
      <c r="I29" s="14"/>
      <c r="M29" s="43">
        <f t="shared" si="1"/>
        <v>8</v>
      </c>
      <c r="N29" s="43">
        <f t="shared" si="2"/>
        <v>1</v>
      </c>
      <c r="O29" s="43">
        <f t="shared" si="3"/>
        <v>0</v>
      </c>
      <c r="P29" s="113" t="e">
        <f t="shared" si="4"/>
        <v>#DIV/0!</v>
      </c>
      <c r="Q29" s="113" t="e">
        <f t="shared" si="5"/>
        <v>#DIV/0!</v>
      </c>
      <c r="R29" s="113" t="e">
        <f t="shared" si="6"/>
        <v>#DIV/0!</v>
      </c>
      <c r="S29" s="113" t="e">
        <f t="shared" si="7"/>
        <v>#DIV/0!</v>
      </c>
      <c r="T29" s="43">
        <f t="shared" si="0"/>
        <v>0</v>
      </c>
      <c r="U29" s="43"/>
      <c r="V29" s="525" t="e">
        <f>P29*('upper bound Kenaga'!$F$36/100)</f>
        <v>#DIV/0!</v>
      </c>
      <c r="W29" s="43"/>
      <c r="X29" s="525" t="e">
        <f>P29*('upper bound Kenaga'!$F$96/100)</f>
        <v>#DIV/0!</v>
      </c>
      <c r="Y29" s="43"/>
      <c r="Z29" s="43"/>
      <c r="AA29" s="43"/>
    </row>
    <row r="30" spans="1:27" ht="13.5" thickBot="1">
      <c r="A30" s="389" t="s">
        <v>194</v>
      </c>
      <c r="B30" s="390" t="e">
        <f>MAX(S21:S386)</f>
        <v>#DIV/0!</v>
      </c>
      <c r="I30" s="14"/>
      <c r="M30" s="43">
        <f t="shared" si="1"/>
        <v>9</v>
      </c>
      <c r="N30" s="43">
        <f t="shared" si="2"/>
        <v>1</v>
      </c>
      <c r="O30" s="43">
        <f t="shared" si="3"/>
        <v>0</v>
      </c>
      <c r="P30" s="113" t="e">
        <f t="shared" si="4"/>
        <v>#DIV/0!</v>
      </c>
      <c r="Q30" s="113" t="e">
        <f t="shared" si="5"/>
        <v>#DIV/0!</v>
      </c>
      <c r="R30" s="113" t="e">
        <f t="shared" si="6"/>
        <v>#DIV/0!</v>
      </c>
      <c r="S30" s="113" t="e">
        <f t="shared" si="7"/>
        <v>#DIV/0!</v>
      </c>
      <c r="T30" s="43">
        <f t="shared" si="0"/>
        <v>0</v>
      </c>
      <c r="U30" s="43"/>
      <c r="V30" s="525" t="e">
        <f>P30*('upper bound Kenaga'!$F$36/100)</f>
        <v>#DIV/0!</v>
      </c>
      <c r="W30" s="43"/>
      <c r="X30" s="525" t="e">
        <f>P30*('upper bound Kenaga'!$F$96/100)</f>
        <v>#DIV/0!</v>
      </c>
      <c r="Y30" s="43"/>
      <c r="Z30" s="43"/>
      <c r="AA30" s="43"/>
    </row>
    <row r="31" spans="9:27" ht="12.75">
      <c r="I31" s="14"/>
      <c r="M31" s="43">
        <f t="shared" si="1"/>
        <v>10</v>
      </c>
      <c r="N31" s="43">
        <f t="shared" si="2"/>
        <v>1</v>
      </c>
      <c r="O31" s="43">
        <f t="shared" si="3"/>
        <v>0</v>
      </c>
      <c r="P31" s="113" t="e">
        <f t="shared" si="4"/>
        <v>#DIV/0!</v>
      </c>
      <c r="Q31" s="113" t="e">
        <f t="shared" si="5"/>
        <v>#DIV/0!</v>
      </c>
      <c r="R31" s="113" t="e">
        <f t="shared" si="6"/>
        <v>#DIV/0!</v>
      </c>
      <c r="S31" s="113" t="e">
        <f t="shared" si="7"/>
        <v>#DIV/0!</v>
      </c>
      <c r="T31" s="43">
        <f t="shared" si="0"/>
        <v>0</v>
      </c>
      <c r="U31" s="43"/>
      <c r="V31" s="525" t="e">
        <f>P31*('upper bound Kenaga'!$F$36/100)</f>
        <v>#DIV/0!</v>
      </c>
      <c r="W31" s="43"/>
      <c r="X31" s="525" t="e">
        <f>P31*('upper bound Kenaga'!$F$96/100)</f>
        <v>#DIV/0!</v>
      </c>
      <c r="Y31" s="43"/>
      <c r="Z31" s="43"/>
      <c r="AA31" s="43"/>
    </row>
    <row r="32" spans="1:27" ht="21" thickBot="1">
      <c r="A32" s="18" t="s">
        <v>65</v>
      </c>
      <c r="B32" s="19"/>
      <c r="C32" s="19"/>
      <c r="D32" s="20"/>
      <c r="E32" s="19"/>
      <c r="F32" s="19"/>
      <c r="G32" s="19"/>
      <c r="H32" s="19"/>
      <c r="I32" s="14"/>
      <c r="M32" s="43">
        <f t="shared" si="1"/>
        <v>11</v>
      </c>
      <c r="N32" s="43">
        <f t="shared" si="2"/>
        <v>1</v>
      </c>
      <c r="O32" s="43">
        <f t="shared" si="3"/>
        <v>0</v>
      </c>
      <c r="P32" s="113" t="e">
        <f t="shared" si="4"/>
        <v>#DIV/0!</v>
      </c>
      <c r="Q32" s="113" t="e">
        <f t="shared" si="5"/>
        <v>#DIV/0!</v>
      </c>
      <c r="R32" s="113" t="e">
        <f t="shared" si="6"/>
        <v>#DIV/0!</v>
      </c>
      <c r="S32" s="113" t="e">
        <f t="shared" si="7"/>
        <v>#DIV/0!</v>
      </c>
      <c r="T32" s="43">
        <f t="shared" si="0"/>
        <v>0</v>
      </c>
      <c r="U32" s="43"/>
      <c r="V32" s="525" t="e">
        <f>P32*('upper bound Kenaga'!$F$36/100)</f>
        <v>#DIV/0!</v>
      </c>
      <c r="W32" s="43"/>
      <c r="X32" s="525" t="e">
        <f>P32*('upper bound Kenaga'!$F$96/100)</f>
        <v>#DIV/0!</v>
      </c>
      <c r="Y32" s="43"/>
      <c r="Z32" s="43"/>
      <c r="AA32" s="43"/>
    </row>
    <row r="33" spans="2:27" ht="24.75" thickBot="1" thickTop="1">
      <c r="B33" s="254">
        <f>IF(INPUTS!$D$28="","Warning! You Have Failed to Enter a Toxicity Scaling Factor on the Inputs Page","")</f>
      </c>
      <c r="I33" s="14"/>
      <c r="M33" s="43">
        <f t="shared" si="1"/>
        <v>12</v>
      </c>
      <c r="N33" s="43">
        <f t="shared" si="2"/>
        <v>1</v>
      </c>
      <c r="O33" s="43">
        <f t="shared" si="3"/>
        <v>0</v>
      </c>
      <c r="P33" s="113" t="e">
        <f t="shared" si="4"/>
        <v>#DIV/0!</v>
      </c>
      <c r="Q33" s="113" t="e">
        <f t="shared" si="5"/>
        <v>#DIV/0!</v>
      </c>
      <c r="R33" s="113" t="e">
        <f t="shared" si="6"/>
        <v>#DIV/0!</v>
      </c>
      <c r="S33" s="113" t="e">
        <f t="shared" si="7"/>
        <v>#DIV/0!</v>
      </c>
      <c r="T33" s="43">
        <f t="shared" si="0"/>
        <v>0</v>
      </c>
      <c r="U33" s="43"/>
      <c r="V33" s="525" t="e">
        <f>P33*('upper bound Kenaga'!$F$36/100)</f>
        <v>#DIV/0!</v>
      </c>
      <c r="W33" s="43"/>
      <c r="X33" s="525" t="e">
        <f>P33*('upper bound Kenaga'!$F$96/100)</f>
        <v>#DIV/0!</v>
      </c>
      <c r="Y33" s="43"/>
      <c r="Z33" s="43"/>
      <c r="AA33" s="43"/>
    </row>
    <row r="34" spans="2:27" ht="12.75">
      <c r="B34" s="410" t="s">
        <v>19</v>
      </c>
      <c r="C34" s="505" t="s">
        <v>52</v>
      </c>
      <c r="D34" s="505" t="s">
        <v>54</v>
      </c>
      <c r="E34" s="500" t="s">
        <v>195</v>
      </c>
      <c r="M34" s="43">
        <f t="shared" si="1"/>
        <v>13</v>
      </c>
      <c r="N34" s="43">
        <f t="shared" si="2"/>
        <v>1</v>
      </c>
      <c r="O34" s="43">
        <f t="shared" si="3"/>
        <v>0</v>
      </c>
      <c r="P34" s="113" t="e">
        <f t="shared" si="4"/>
        <v>#DIV/0!</v>
      </c>
      <c r="Q34" s="113" t="e">
        <f t="shared" si="5"/>
        <v>#DIV/0!</v>
      </c>
      <c r="R34" s="113" t="e">
        <f t="shared" si="6"/>
        <v>#DIV/0!</v>
      </c>
      <c r="S34" s="113" t="e">
        <f t="shared" si="7"/>
        <v>#DIV/0!</v>
      </c>
      <c r="T34" s="43">
        <f t="shared" si="0"/>
        <v>0</v>
      </c>
      <c r="U34" s="43"/>
      <c r="V34" s="525" t="e">
        <f>P34*('upper bound Kenaga'!$F$36/100)</f>
        <v>#DIV/0!</v>
      </c>
      <c r="W34" s="43"/>
      <c r="X34" s="525" t="e">
        <f>P34*('upper bound Kenaga'!$F$96/100)</f>
        <v>#DIV/0!</v>
      </c>
      <c r="Y34" s="43"/>
      <c r="Z34" s="43"/>
      <c r="AA34" s="43"/>
    </row>
    <row r="35" spans="2:27" ht="12.75">
      <c r="B35" s="414" t="s">
        <v>51</v>
      </c>
      <c r="C35" s="508" t="s">
        <v>53</v>
      </c>
      <c r="D35" s="508" t="s">
        <v>55</v>
      </c>
      <c r="E35" s="544" t="s">
        <v>196</v>
      </c>
      <c r="F35" s="250"/>
      <c r="M35" s="43">
        <f t="shared" si="1"/>
        <v>14</v>
      </c>
      <c r="N35" s="43">
        <f t="shared" si="2"/>
        <v>1</v>
      </c>
      <c r="O35" s="43">
        <f t="shared" si="3"/>
        <v>0</v>
      </c>
      <c r="P35" s="113" t="e">
        <f t="shared" si="4"/>
        <v>#DIV/0!</v>
      </c>
      <c r="Q35" s="113" t="e">
        <f t="shared" si="5"/>
        <v>#DIV/0!</v>
      </c>
      <c r="R35" s="113" t="e">
        <f t="shared" si="6"/>
        <v>#DIV/0!</v>
      </c>
      <c r="S35" s="113" t="e">
        <f t="shared" si="7"/>
        <v>#DIV/0!</v>
      </c>
      <c r="T35" s="43">
        <f t="shared" si="0"/>
        <v>0</v>
      </c>
      <c r="U35" s="43"/>
      <c r="V35" s="525" t="e">
        <f>P35*('upper bound Kenaga'!$F$36/100)</f>
        <v>#DIV/0!</v>
      </c>
      <c r="W35" s="43"/>
      <c r="X35" s="525" t="e">
        <f>P35*('upper bound Kenaga'!$F$96/100)</f>
        <v>#DIV/0!</v>
      </c>
      <c r="Y35" s="43"/>
      <c r="Z35" s="43"/>
      <c r="AA35" s="43"/>
    </row>
    <row r="36" spans="2:27" ht="15.75" customHeight="1">
      <c r="B36" s="545" t="s">
        <v>69</v>
      </c>
      <c r="C36" s="466">
        <f>INPUTS!B16</f>
        <v>20</v>
      </c>
      <c r="D36" s="466">
        <f>'upper bound Kenaga'!F36</f>
        <v>113.8899865650497</v>
      </c>
      <c r="E36" s="546">
        <f>'upper bound Kenaga'!C46</f>
        <v>0</v>
      </c>
      <c r="F36" s="207">
        <f>IF(INPUTS!$F$24=0,"",IF(INPUTS!$D$24&lt;3,"NOTE:Toxicity adjustments not based on standard assumed test animal body weight",""))</f>
      </c>
      <c r="M36" s="43">
        <f>(M35+1)</f>
        <v>15</v>
      </c>
      <c r="N36" s="43">
        <f>IF($B$9&gt;N35,IF(O35=($B$8-1),(N35+1),(N35)),(N35))</f>
        <v>1</v>
      </c>
      <c r="O36" s="43">
        <f>IF(O35&lt;($B$8-1),(1+O35),0)</f>
        <v>0</v>
      </c>
      <c r="P36" s="113" t="e">
        <f>IF((N36&gt;N35),(EXP(-$Q$16)*(P35)+$Q$11),((EXP(-$Q$16)*(P35))))</f>
        <v>#DIV/0!</v>
      </c>
      <c r="Q36" s="113" t="e">
        <f>IF((N36&gt;N35),(EXP(-$Q$16)*(Q35)+$Q$12),((EXP(-$Q$16)*(Q35))))</f>
        <v>#DIV/0!</v>
      </c>
      <c r="R36" s="113" t="e">
        <f>IF((N36&gt;N35),(EXP(-$Q$16)*(R35)+$Q$13),((EXP(-$Q$16)*(R35))))</f>
        <v>#DIV/0!</v>
      </c>
      <c r="S36" s="113" t="e">
        <f>IF((N36&gt;N35),(EXP(-$Q$16)*(S35)+$Q$14),((EXP(-$Q$16)*(S35))))</f>
        <v>#DIV/0!</v>
      </c>
      <c r="T36" s="43">
        <f t="shared" si="0"/>
        <v>0</v>
      </c>
      <c r="U36" s="43"/>
      <c r="V36" s="525" t="e">
        <f>P36*('upper bound Kenaga'!$F$36/100)</f>
        <v>#DIV/0!</v>
      </c>
      <c r="W36" s="43"/>
      <c r="X36" s="525" t="e">
        <f>P36*('upper bound Kenaga'!$F$96/100)</f>
        <v>#DIV/0!</v>
      </c>
      <c r="Y36" s="43"/>
      <c r="Z36" s="43"/>
      <c r="AA36" s="43"/>
    </row>
    <row r="37" spans="2:27" ht="16.5" customHeight="1">
      <c r="B37" s="547" t="s">
        <v>70</v>
      </c>
      <c r="C37" s="552">
        <f>INPUTS!B17</f>
        <v>100</v>
      </c>
      <c r="D37" s="552">
        <f>'upper bound Kenaga'!F37</f>
        <v>64.94489368663125</v>
      </c>
      <c r="E37" s="548">
        <f>'upper bound Kenaga'!C47</f>
        <v>0</v>
      </c>
      <c r="F37" s="207">
        <f>IF(INPUTS!$F$24=0,"",IF(INPUTS!$D$24&lt;3,"NOTE:Toxicity adjustments not based on standard assumed test animal body weight",""))</f>
      </c>
      <c r="K37" s="1"/>
      <c r="M37" s="43">
        <f t="shared" si="1"/>
        <v>16</v>
      </c>
      <c r="N37" s="43">
        <f t="shared" si="2"/>
        <v>1</v>
      </c>
      <c r="O37" s="43">
        <f t="shared" si="3"/>
        <v>0</v>
      </c>
      <c r="P37" s="113" t="e">
        <f t="shared" si="4"/>
        <v>#DIV/0!</v>
      </c>
      <c r="Q37" s="113" t="e">
        <f t="shared" si="5"/>
        <v>#DIV/0!</v>
      </c>
      <c r="R37" s="113" t="e">
        <f t="shared" si="6"/>
        <v>#DIV/0!</v>
      </c>
      <c r="S37" s="113" t="e">
        <f t="shared" si="7"/>
        <v>#DIV/0!</v>
      </c>
      <c r="T37" s="43">
        <f t="shared" si="0"/>
        <v>0</v>
      </c>
      <c r="U37" s="43"/>
      <c r="V37" s="525" t="e">
        <f>P37*('upper bound Kenaga'!$F$36/100)</f>
        <v>#DIV/0!</v>
      </c>
      <c r="W37" s="43"/>
      <c r="X37" s="525" t="e">
        <f>P37*('upper bound Kenaga'!$F$96/100)</f>
        <v>#DIV/0!</v>
      </c>
      <c r="Y37" s="43"/>
      <c r="Z37" s="43"/>
      <c r="AA37" s="43"/>
    </row>
    <row r="38" spans="2:27" ht="13.5" thickBot="1">
      <c r="B38" s="549" t="s">
        <v>71</v>
      </c>
      <c r="C38" s="460">
        <f>INPUTS!B18</f>
        <v>1000</v>
      </c>
      <c r="D38" s="681">
        <f>'upper bound Kenaga'!F38</f>
        <v>29.076692941824263</v>
      </c>
      <c r="E38" s="550">
        <f>'upper bound Kenaga'!C48</f>
        <v>0</v>
      </c>
      <c r="F38" s="207">
        <f>IF(INPUTS!$F$24=0,"",IF(INPUTS!$D$24&lt;3,"NOTE:Toxicity adjustments not based on standard assumed test animal body weight",""))</f>
      </c>
      <c r="G38" s="10"/>
      <c r="H38" s="10"/>
      <c r="I38" s="32"/>
      <c r="M38" s="43">
        <f t="shared" si="1"/>
        <v>17</v>
      </c>
      <c r="N38" s="43">
        <f t="shared" si="2"/>
        <v>1</v>
      </c>
      <c r="O38" s="43">
        <f t="shared" si="3"/>
        <v>0</v>
      </c>
      <c r="P38" s="113" t="e">
        <f t="shared" si="4"/>
        <v>#DIV/0!</v>
      </c>
      <c r="Q38" s="113" t="e">
        <f t="shared" si="5"/>
        <v>#DIV/0!</v>
      </c>
      <c r="R38" s="113" t="e">
        <f t="shared" si="6"/>
        <v>#DIV/0!</v>
      </c>
      <c r="S38" s="113" t="e">
        <f t="shared" si="7"/>
        <v>#DIV/0!</v>
      </c>
      <c r="T38" s="43">
        <f t="shared" si="0"/>
        <v>0</v>
      </c>
      <c r="U38" s="43"/>
      <c r="V38" s="525" t="e">
        <f>P38*('upper bound Kenaga'!$F$36/100)</f>
        <v>#DIV/0!</v>
      </c>
      <c r="W38" s="43"/>
      <c r="X38" s="525" t="e">
        <f>P38*('upper bound Kenaga'!$F$96/100)</f>
        <v>#DIV/0!</v>
      </c>
      <c r="Y38" s="43"/>
      <c r="Z38" s="43"/>
      <c r="AA38" s="43"/>
    </row>
    <row r="39" spans="2:27" ht="12.75">
      <c r="B39" s="433"/>
      <c r="C39" s="466">
        <f>C36</f>
        <v>20</v>
      </c>
      <c r="D39" s="437">
        <f>'upper bound Kenaga'!F39</f>
        <v>25.30888590334438</v>
      </c>
      <c r="E39" s="678">
        <f>E36</f>
        <v>0</v>
      </c>
      <c r="F39" s="466"/>
      <c r="G39" s="676"/>
      <c r="H39" s="10"/>
      <c r="I39" s="32"/>
      <c r="M39" s="43">
        <f>(M38+1)</f>
        <v>18</v>
      </c>
      <c r="N39" s="43">
        <f>IF($B$9&gt;N38,IF(O38=($B$8-1),(N38+1),(N38)),(N38))</f>
        <v>1</v>
      </c>
      <c r="O39" s="43">
        <f>IF(O38&lt;($B$8-1),(1+O38),0)</f>
        <v>0</v>
      </c>
      <c r="P39" s="113" t="e">
        <f>IF((N39&gt;N38),(EXP(-$Q$16)*(P38)+$Q$11),((EXP(-$Q$16)*(P38))))</f>
        <v>#DIV/0!</v>
      </c>
      <c r="Q39" s="113" t="e">
        <f>IF((N39&gt;N38),(EXP(-$Q$16)*(Q38)+$Q$12),((EXP(-$Q$16)*(Q38))))</f>
        <v>#DIV/0!</v>
      </c>
      <c r="R39" s="113" t="e">
        <f>IF((N39&gt;N38),(EXP(-$Q$16)*(R38)+$Q$13),((EXP(-$Q$16)*(R38))))</f>
        <v>#DIV/0!</v>
      </c>
      <c r="S39" s="113" t="e">
        <f>IF((N39&gt;N38),(EXP(-$Q$16)*(S38)+$Q$14),((EXP(-$Q$16)*(S38))))</f>
        <v>#DIV/0!</v>
      </c>
      <c r="T39" s="43">
        <f t="shared" si="0"/>
        <v>0</v>
      </c>
      <c r="U39" s="43"/>
      <c r="V39" s="525" t="e">
        <f>P39*('upper bound Kenaga'!$F$36/100)</f>
        <v>#DIV/0!</v>
      </c>
      <c r="W39" s="43"/>
      <c r="X39" s="525" t="e">
        <f>P39*('upper bound Kenaga'!$F$96/100)</f>
        <v>#DIV/0!</v>
      </c>
      <c r="Y39" s="43"/>
      <c r="Z39" s="43"/>
      <c r="AA39" s="43"/>
    </row>
    <row r="40" spans="2:27" ht="12.75">
      <c r="B40" s="433" t="s">
        <v>75</v>
      </c>
      <c r="C40" s="466">
        <f>C37</f>
        <v>100</v>
      </c>
      <c r="D40" s="437">
        <f>'upper bound Kenaga'!F40</f>
        <v>14.432198597029167</v>
      </c>
      <c r="E40" s="679">
        <f>E37</f>
        <v>0</v>
      </c>
      <c r="F40" s="466"/>
      <c r="G40" s="676"/>
      <c r="H40" s="10"/>
      <c r="I40" s="32"/>
      <c r="M40" s="43">
        <f t="shared" si="1"/>
        <v>19</v>
      </c>
      <c r="N40" s="43">
        <f t="shared" si="2"/>
        <v>1</v>
      </c>
      <c r="O40" s="43">
        <f t="shared" si="3"/>
        <v>0</v>
      </c>
      <c r="P40" s="113" t="e">
        <f t="shared" si="4"/>
        <v>#DIV/0!</v>
      </c>
      <c r="Q40" s="113" t="e">
        <f t="shared" si="5"/>
        <v>#DIV/0!</v>
      </c>
      <c r="R40" s="113" t="e">
        <f t="shared" si="6"/>
        <v>#DIV/0!</v>
      </c>
      <c r="S40" s="113" t="e">
        <f t="shared" si="7"/>
        <v>#DIV/0!</v>
      </c>
      <c r="T40" s="43">
        <f t="shared" si="0"/>
        <v>0</v>
      </c>
      <c r="U40" s="43"/>
      <c r="V40" s="525" t="e">
        <f>P40*('upper bound Kenaga'!$F$36/100)</f>
        <v>#DIV/0!</v>
      </c>
      <c r="W40" s="43"/>
      <c r="X40" s="525" t="e">
        <f>P40*('upper bound Kenaga'!$F$96/100)</f>
        <v>#DIV/0!</v>
      </c>
      <c r="Y40" s="43"/>
      <c r="Z40" s="43"/>
      <c r="AA40" s="43"/>
    </row>
    <row r="41" spans="2:27" ht="13.5" thickBot="1">
      <c r="B41" s="444"/>
      <c r="C41" s="460">
        <f>C38</f>
        <v>1000</v>
      </c>
      <c r="D41" s="442">
        <f>'upper bound Kenaga'!F41</f>
        <v>6.461487320405392</v>
      </c>
      <c r="E41" s="680">
        <f>E38</f>
        <v>0</v>
      </c>
      <c r="F41" s="466"/>
      <c r="G41" s="676"/>
      <c r="H41" s="10"/>
      <c r="I41" s="32"/>
      <c r="M41" s="43">
        <f t="shared" si="1"/>
        <v>20</v>
      </c>
      <c r="N41" s="43">
        <f t="shared" si="2"/>
        <v>1</v>
      </c>
      <c r="O41" s="43">
        <f t="shared" si="3"/>
        <v>0</v>
      </c>
      <c r="P41" s="113" t="e">
        <f t="shared" si="4"/>
        <v>#DIV/0!</v>
      </c>
      <c r="Q41" s="113" t="e">
        <f t="shared" si="5"/>
        <v>#DIV/0!</v>
      </c>
      <c r="R41" s="113" t="e">
        <f t="shared" si="6"/>
        <v>#DIV/0!</v>
      </c>
      <c r="S41" s="113" t="e">
        <f t="shared" si="7"/>
        <v>#DIV/0!</v>
      </c>
      <c r="T41" s="43">
        <f t="shared" si="0"/>
        <v>0</v>
      </c>
      <c r="U41" s="43"/>
      <c r="V41" s="525" t="e">
        <f>P41*('upper bound Kenaga'!$F$36/100)</f>
        <v>#DIV/0!</v>
      </c>
      <c r="W41" s="43"/>
      <c r="X41" s="525" t="e">
        <f>P41*('upper bound Kenaga'!$F$96/100)</f>
        <v>#DIV/0!</v>
      </c>
      <c r="Y41" s="43"/>
      <c r="Z41" s="43"/>
      <c r="AA41" s="43"/>
    </row>
    <row r="42" spans="2:27" ht="12.75">
      <c r="B42" s="674"/>
      <c r="C42" s="453"/>
      <c r="D42" s="466"/>
      <c r="E42" s="675"/>
      <c r="F42" s="677"/>
      <c r="G42" s="140"/>
      <c r="H42" s="10"/>
      <c r="I42" s="32"/>
      <c r="M42" s="43">
        <f t="shared" si="1"/>
        <v>21</v>
      </c>
      <c r="N42" s="43">
        <f t="shared" si="2"/>
        <v>1</v>
      </c>
      <c r="O42" s="43">
        <f t="shared" si="3"/>
        <v>0</v>
      </c>
      <c r="P42" s="113" t="e">
        <f t="shared" si="4"/>
        <v>#DIV/0!</v>
      </c>
      <c r="Q42" s="113" t="e">
        <f t="shared" si="5"/>
        <v>#DIV/0!</v>
      </c>
      <c r="R42" s="113" t="e">
        <f t="shared" si="6"/>
        <v>#DIV/0!</v>
      </c>
      <c r="S42" s="113" t="e">
        <f t="shared" si="7"/>
        <v>#DIV/0!</v>
      </c>
      <c r="T42" s="43">
        <f t="shared" si="0"/>
        <v>0</v>
      </c>
      <c r="U42" s="43"/>
      <c r="V42" s="525" t="e">
        <f>P42*('upper bound Kenaga'!$F$36/100)</f>
        <v>#DIV/0!</v>
      </c>
      <c r="W42" s="43"/>
      <c r="X42" s="525" t="e">
        <f>P42*('upper bound Kenaga'!$F$96/100)</f>
        <v>#DIV/0!</v>
      </c>
      <c r="Y42" s="43"/>
      <c r="Z42" s="43"/>
      <c r="AA42" s="43"/>
    </row>
    <row r="43" spans="6:27" ht="13.5" thickBot="1">
      <c r="F43" s="10"/>
      <c r="G43" s="10"/>
      <c r="H43" s="10"/>
      <c r="I43" s="32"/>
      <c r="M43" s="43">
        <f t="shared" si="1"/>
        <v>22</v>
      </c>
      <c r="N43" s="43">
        <f t="shared" si="2"/>
        <v>1</v>
      </c>
      <c r="O43" s="43">
        <f t="shared" si="3"/>
        <v>0</v>
      </c>
      <c r="P43" s="113" t="e">
        <f t="shared" si="4"/>
        <v>#DIV/0!</v>
      </c>
      <c r="Q43" s="113" t="e">
        <f t="shared" si="5"/>
        <v>#DIV/0!</v>
      </c>
      <c r="R43" s="113" t="e">
        <f t="shared" si="6"/>
        <v>#DIV/0!</v>
      </c>
      <c r="S43" s="113" t="e">
        <f t="shared" si="7"/>
        <v>#DIV/0!</v>
      </c>
      <c r="T43" s="43">
        <f t="shared" si="0"/>
        <v>0</v>
      </c>
      <c r="U43" s="43"/>
      <c r="V43" s="525" t="e">
        <f>P43*('upper bound Kenaga'!$F$36/100)</f>
        <v>#DIV/0!</v>
      </c>
      <c r="W43" s="43"/>
      <c r="X43" s="525" t="e">
        <f>P43*('upper bound Kenaga'!$F$96/100)</f>
        <v>#DIV/0!</v>
      </c>
      <c r="Y43" s="43"/>
      <c r="Z43" s="43"/>
      <c r="AA43" s="43"/>
    </row>
    <row r="44" spans="1:27" ht="12.75">
      <c r="A44" s="939" t="s">
        <v>343</v>
      </c>
      <c r="B44" s="879" t="s">
        <v>450</v>
      </c>
      <c r="C44" s="880"/>
      <c r="D44" s="880"/>
      <c r="E44" s="926"/>
      <c r="F44" s="926"/>
      <c r="G44" s="927"/>
      <c r="H44" s="10"/>
      <c r="I44" s="32"/>
      <c r="M44" s="43">
        <f t="shared" si="1"/>
        <v>23</v>
      </c>
      <c r="N44" s="43">
        <f t="shared" si="2"/>
        <v>1</v>
      </c>
      <c r="O44" s="43">
        <f t="shared" si="3"/>
        <v>0</v>
      </c>
      <c r="P44" s="113" t="e">
        <f t="shared" si="4"/>
        <v>#DIV/0!</v>
      </c>
      <c r="Q44" s="113" t="e">
        <f t="shared" si="5"/>
        <v>#DIV/0!</v>
      </c>
      <c r="R44" s="113" t="e">
        <f t="shared" si="6"/>
        <v>#DIV/0!</v>
      </c>
      <c r="S44" s="113" t="e">
        <f t="shared" si="7"/>
        <v>#DIV/0!</v>
      </c>
      <c r="T44" s="43">
        <f t="shared" si="0"/>
        <v>0</v>
      </c>
      <c r="U44" s="43"/>
      <c r="V44" s="525" t="e">
        <f>P44*('upper bound Kenaga'!$F$36/100)</f>
        <v>#DIV/0!</v>
      </c>
      <c r="W44" s="43"/>
      <c r="X44" s="525" t="e">
        <f>P44*('upper bound Kenaga'!$F$96/100)</f>
        <v>#DIV/0!</v>
      </c>
      <c r="Y44" s="43"/>
      <c r="Z44" s="43"/>
      <c r="AA44" s="43"/>
    </row>
    <row r="45" spans="1:27" ht="12.75">
      <c r="A45" s="940"/>
      <c r="B45" s="714" t="s">
        <v>72</v>
      </c>
      <c r="C45" s="715" t="s">
        <v>73</v>
      </c>
      <c r="D45" s="716" t="s">
        <v>74</v>
      </c>
      <c r="E45" s="876" t="s">
        <v>452</v>
      </c>
      <c r="F45" s="877"/>
      <c r="G45" s="878"/>
      <c r="M45" s="43">
        <f t="shared" si="1"/>
        <v>24</v>
      </c>
      <c r="N45" s="43">
        <f t="shared" si="2"/>
        <v>1</v>
      </c>
      <c r="O45" s="43">
        <f t="shared" si="3"/>
        <v>0</v>
      </c>
      <c r="P45" s="113" t="e">
        <f t="shared" si="4"/>
        <v>#DIV/0!</v>
      </c>
      <c r="Q45" s="113" t="e">
        <f t="shared" si="5"/>
        <v>#DIV/0!</v>
      </c>
      <c r="R45" s="113" t="e">
        <f t="shared" si="6"/>
        <v>#DIV/0!</v>
      </c>
      <c r="S45" s="113" t="e">
        <f t="shared" si="7"/>
        <v>#DIV/0!</v>
      </c>
      <c r="T45" s="43">
        <f t="shared" si="0"/>
        <v>0</v>
      </c>
      <c r="U45" s="43"/>
      <c r="V45" s="525" t="e">
        <f>P45*('upper bound Kenaga'!$F$36/100)</f>
        <v>#DIV/0!</v>
      </c>
      <c r="W45" s="43"/>
      <c r="X45" s="525" t="e">
        <f>P45*('upper bound Kenaga'!$F$96/100)</f>
        <v>#DIV/0!</v>
      </c>
      <c r="Y45" s="43"/>
      <c r="Z45" s="43"/>
      <c r="AA45" s="43"/>
    </row>
    <row r="46" spans="1:27" ht="13.5" thickBot="1">
      <c r="A46" s="941"/>
      <c r="B46" s="717">
        <f>C36</f>
        <v>20</v>
      </c>
      <c r="C46" s="718">
        <f>C37</f>
        <v>100</v>
      </c>
      <c r="D46" s="698">
        <f>C38</f>
        <v>1000</v>
      </c>
      <c r="E46" s="696">
        <f>B46</f>
        <v>20</v>
      </c>
      <c r="F46" s="697">
        <f>C46</f>
        <v>100</v>
      </c>
      <c r="G46" s="698">
        <f>D46</f>
        <v>1000</v>
      </c>
      <c r="M46" s="43">
        <f t="shared" si="1"/>
        <v>25</v>
      </c>
      <c r="N46" s="43">
        <f t="shared" si="2"/>
        <v>1</v>
      </c>
      <c r="O46" s="43">
        <f t="shared" si="3"/>
        <v>0</v>
      </c>
      <c r="P46" s="113" t="e">
        <f t="shared" si="4"/>
        <v>#DIV/0!</v>
      </c>
      <c r="Q46" s="113" t="e">
        <f t="shared" si="5"/>
        <v>#DIV/0!</v>
      </c>
      <c r="R46" s="113" t="e">
        <f t="shared" si="6"/>
        <v>#DIV/0!</v>
      </c>
      <c r="S46" s="113" t="e">
        <f t="shared" si="7"/>
        <v>#DIV/0!</v>
      </c>
      <c r="T46" s="43">
        <f t="shared" si="0"/>
        <v>0</v>
      </c>
      <c r="U46" s="43"/>
      <c r="V46" s="525" t="e">
        <f>P46*('upper bound Kenaga'!$F$36/100)</f>
        <v>#DIV/0!</v>
      </c>
      <c r="W46" s="43"/>
      <c r="X46" s="525" t="e">
        <f>P46*('upper bound Kenaga'!$F$96/100)</f>
        <v>#DIV/0!</v>
      </c>
      <c r="Y46" s="43"/>
      <c r="Z46" s="43"/>
      <c r="AA46" s="43"/>
    </row>
    <row r="47" spans="1:27" ht="13.5" thickTop="1">
      <c r="A47" s="387" t="s">
        <v>18</v>
      </c>
      <c r="B47" s="427" t="e">
        <f>B27*($D$36/100)</f>
        <v>#DIV/0!</v>
      </c>
      <c r="C47" s="427" t="e">
        <f>B27*($D$37/100)</f>
        <v>#DIV/0!</v>
      </c>
      <c r="D47" s="385" t="e">
        <f>B27*($D$38/100)</f>
        <v>#DIV/0!</v>
      </c>
      <c r="E47" s="462"/>
      <c r="F47" s="462"/>
      <c r="G47" s="463"/>
      <c r="M47" s="43">
        <f t="shared" si="1"/>
        <v>26</v>
      </c>
      <c r="N47" s="43">
        <f t="shared" si="2"/>
        <v>1</v>
      </c>
      <c r="O47" s="43">
        <f t="shared" si="3"/>
        <v>0</v>
      </c>
      <c r="P47" s="113" t="e">
        <f t="shared" si="4"/>
        <v>#DIV/0!</v>
      </c>
      <c r="Q47" s="113" t="e">
        <f t="shared" si="5"/>
        <v>#DIV/0!</v>
      </c>
      <c r="R47" s="113" t="e">
        <f t="shared" si="6"/>
        <v>#DIV/0!</v>
      </c>
      <c r="S47" s="113" t="e">
        <f t="shared" si="7"/>
        <v>#DIV/0!</v>
      </c>
      <c r="T47" s="43">
        <f t="shared" si="0"/>
        <v>0</v>
      </c>
      <c r="U47" s="43"/>
      <c r="V47" s="525" t="e">
        <f>P47*('upper bound Kenaga'!$F$36/100)</f>
        <v>#DIV/0!</v>
      </c>
      <c r="W47" s="43"/>
      <c r="X47" s="525" t="e">
        <f>P47*('upper bound Kenaga'!$F$96/100)</f>
        <v>#DIV/0!</v>
      </c>
      <c r="Y47" s="43"/>
      <c r="Z47" s="43"/>
      <c r="AA47" s="43"/>
    </row>
    <row r="48" spans="1:27" ht="12.75">
      <c r="A48" s="387" t="s">
        <v>21</v>
      </c>
      <c r="B48" s="427" t="e">
        <f>B28*($D$36/100)</f>
        <v>#DIV/0!</v>
      </c>
      <c r="C48" s="427" t="e">
        <f>B28*($D$37/100)</f>
        <v>#DIV/0!</v>
      </c>
      <c r="D48" s="385" t="e">
        <f>B28*($D$38/100)</f>
        <v>#DIV/0!</v>
      </c>
      <c r="E48" s="464"/>
      <c r="F48" s="464"/>
      <c r="G48" s="463"/>
      <c r="M48" s="43">
        <f t="shared" si="1"/>
        <v>27</v>
      </c>
      <c r="N48" s="43">
        <f t="shared" si="2"/>
        <v>1</v>
      </c>
      <c r="O48" s="43">
        <f t="shared" si="3"/>
        <v>0</v>
      </c>
      <c r="P48" s="113" t="e">
        <f t="shared" si="4"/>
        <v>#DIV/0!</v>
      </c>
      <c r="Q48" s="113" t="e">
        <f t="shared" si="5"/>
        <v>#DIV/0!</v>
      </c>
      <c r="R48" s="113" t="e">
        <f t="shared" si="6"/>
        <v>#DIV/0!</v>
      </c>
      <c r="S48" s="113" t="e">
        <f t="shared" si="7"/>
        <v>#DIV/0!</v>
      </c>
      <c r="T48" s="43">
        <f t="shared" si="0"/>
        <v>0</v>
      </c>
      <c r="U48" s="43"/>
      <c r="V48" s="525" t="e">
        <f>P48*('upper bound Kenaga'!$F$36/100)</f>
        <v>#DIV/0!</v>
      </c>
      <c r="W48" s="43"/>
      <c r="X48" s="525" t="e">
        <f>P48*('upper bound Kenaga'!$F$96/100)</f>
        <v>#DIV/0!</v>
      </c>
      <c r="Y48" s="43"/>
      <c r="Z48" s="43"/>
      <c r="AA48" s="43"/>
    </row>
    <row r="49" spans="1:27" ht="12.75">
      <c r="A49" s="387" t="s">
        <v>37</v>
      </c>
      <c r="B49" s="427" t="e">
        <f>B29*($D$36/100)</f>
        <v>#DIV/0!</v>
      </c>
      <c r="C49" s="427" t="e">
        <f>B29*($D$37/100)</f>
        <v>#DIV/0!</v>
      </c>
      <c r="D49" s="385" t="e">
        <f>B29*($D$38/100)</f>
        <v>#DIV/0!</v>
      </c>
      <c r="E49" s="464"/>
      <c r="F49" s="464"/>
      <c r="G49" s="463"/>
      <c r="M49" s="43">
        <f t="shared" si="1"/>
        <v>28</v>
      </c>
      <c r="N49" s="43">
        <f t="shared" si="2"/>
        <v>1</v>
      </c>
      <c r="O49" s="43">
        <f t="shared" si="3"/>
        <v>0</v>
      </c>
      <c r="P49" s="113" t="e">
        <f t="shared" si="4"/>
        <v>#DIV/0!</v>
      </c>
      <c r="Q49" s="113" t="e">
        <f t="shared" si="5"/>
        <v>#DIV/0!</v>
      </c>
      <c r="R49" s="113" t="e">
        <f t="shared" si="6"/>
        <v>#DIV/0!</v>
      </c>
      <c r="S49" s="113" t="e">
        <f t="shared" si="7"/>
        <v>#DIV/0!</v>
      </c>
      <c r="T49" s="43">
        <f t="shared" si="0"/>
        <v>0</v>
      </c>
      <c r="U49" s="43"/>
      <c r="V49" s="525" t="e">
        <f>P49*('upper bound Kenaga'!$F$36/100)</f>
        <v>#DIV/0!</v>
      </c>
      <c r="W49" s="43"/>
      <c r="X49" s="525" t="e">
        <f>P49*('upper bound Kenaga'!$F$96/100)</f>
        <v>#DIV/0!</v>
      </c>
      <c r="Y49" s="43"/>
      <c r="Z49" s="43"/>
      <c r="AA49" s="43"/>
    </row>
    <row r="50" spans="1:27" ht="13.5" thickBot="1">
      <c r="A50" s="389" t="s">
        <v>36</v>
      </c>
      <c r="B50" s="428" t="e">
        <f>B30*($D$36/100)</f>
        <v>#DIV/0!</v>
      </c>
      <c r="C50" s="428" t="e">
        <f>B30*($D$37/100)</f>
        <v>#DIV/0!</v>
      </c>
      <c r="D50" s="551" t="e">
        <f>B30*($D$38/100)</f>
        <v>#DIV/0!</v>
      </c>
      <c r="E50" s="682" t="e">
        <f>B30*($D$39/100)</f>
        <v>#DIV/0!</v>
      </c>
      <c r="F50" s="683" t="e">
        <f>B30*($D$40/100)</f>
        <v>#DIV/0!</v>
      </c>
      <c r="G50" s="683" t="e">
        <f>B30*($D$41/100)</f>
        <v>#DIV/0!</v>
      </c>
      <c r="M50" s="43">
        <f t="shared" si="1"/>
        <v>29</v>
      </c>
      <c r="N50" s="43">
        <f t="shared" si="2"/>
        <v>1</v>
      </c>
      <c r="O50" s="43">
        <f t="shared" si="3"/>
        <v>0</v>
      </c>
      <c r="P50" s="113" t="e">
        <f t="shared" si="4"/>
        <v>#DIV/0!</v>
      </c>
      <c r="Q50" s="113" t="e">
        <f t="shared" si="5"/>
        <v>#DIV/0!</v>
      </c>
      <c r="R50" s="113" t="e">
        <f t="shared" si="6"/>
        <v>#DIV/0!</v>
      </c>
      <c r="S50" s="113" t="e">
        <f t="shared" si="7"/>
        <v>#DIV/0!</v>
      </c>
      <c r="T50" s="43">
        <f t="shared" si="0"/>
        <v>0</v>
      </c>
      <c r="U50" s="43"/>
      <c r="V50" s="525" t="e">
        <f>P50*('upper bound Kenaga'!$F$36/100)</f>
        <v>#DIV/0!</v>
      </c>
      <c r="W50" s="43"/>
      <c r="X50" s="525" t="e">
        <f>P50*('upper bound Kenaga'!$F$96/100)</f>
        <v>#DIV/0!</v>
      </c>
      <c r="Y50" s="43"/>
      <c r="Z50" s="43"/>
      <c r="AA50" s="43"/>
    </row>
    <row r="51" spans="13:27" ht="9" customHeight="1" thickBot="1">
      <c r="M51" s="43">
        <f t="shared" si="1"/>
        <v>30</v>
      </c>
      <c r="N51" s="43">
        <f t="shared" si="2"/>
        <v>1</v>
      </c>
      <c r="O51" s="43">
        <f t="shared" si="3"/>
        <v>0</v>
      </c>
      <c r="P51" s="113" t="e">
        <f t="shared" si="4"/>
        <v>#DIV/0!</v>
      </c>
      <c r="Q51" s="113" t="e">
        <f t="shared" si="5"/>
        <v>#DIV/0!</v>
      </c>
      <c r="R51" s="113" t="e">
        <f t="shared" si="6"/>
        <v>#DIV/0!</v>
      </c>
      <c r="S51" s="113" t="e">
        <f t="shared" si="7"/>
        <v>#DIV/0!</v>
      </c>
      <c r="T51" s="43">
        <f t="shared" si="0"/>
        <v>0</v>
      </c>
      <c r="U51" s="43"/>
      <c r="V51" s="525" t="e">
        <f>P51*('upper bound Kenaga'!$F$36/100)</f>
        <v>#DIV/0!</v>
      </c>
      <c r="W51" s="43"/>
      <c r="X51" s="525" t="e">
        <f>P51*('upper bound Kenaga'!$F$96/100)</f>
        <v>#DIV/0!</v>
      </c>
      <c r="Y51" s="43"/>
      <c r="Z51" s="43"/>
      <c r="AA51" s="43"/>
    </row>
    <row r="52" spans="1:27" ht="32.25" customHeight="1">
      <c r="A52" s="912" t="s">
        <v>349</v>
      </c>
      <c r="B52" s="936" t="s">
        <v>471</v>
      </c>
      <c r="C52" s="937"/>
      <c r="D52" s="938"/>
      <c r="M52" s="43">
        <f t="shared" si="1"/>
        <v>31</v>
      </c>
      <c r="N52" s="43">
        <f t="shared" si="2"/>
        <v>1</v>
      </c>
      <c r="O52" s="43">
        <f t="shared" si="3"/>
        <v>0</v>
      </c>
      <c r="P52" s="113" t="e">
        <f t="shared" si="4"/>
        <v>#DIV/0!</v>
      </c>
      <c r="Q52" s="113" t="e">
        <f t="shared" si="5"/>
        <v>#DIV/0!</v>
      </c>
      <c r="R52" s="113" t="e">
        <f t="shared" si="6"/>
        <v>#DIV/0!</v>
      </c>
      <c r="S52" s="113" t="e">
        <f t="shared" si="7"/>
        <v>#DIV/0!</v>
      </c>
      <c r="T52" s="43">
        <f t="shared" si="0"/>
        <v>0</v>
      </c>
      <c r="U52" s="43"/>
      <c r="V52" s="525" t="e">
        <f>P52*('upper bound Kenaga'!$F$36/100)</f>
        <v>#DIV/0!</v>
      </c>
      <c r="W52" s="43"/>
      <c r="X52" s="525" t="e">
        <f>P52*('upper bound Kenaga'!$F$96/100)</f>
        <v>#DIV/0!</v>
      </c>
      <c r="Y52" s="43"/>
      <c r="Z52" s="43"/>
      <c r="AA52" s="43"/>
    </row>
    <row r="53" spans="1:27" ht="18" customHeight="1" thickBot="1">
      <c r="A53" s="914"/>
      <c r="B53" s="717">
        <f>C36</f>
        <v>20</v>
      </c>
      <c r="C53" s="718">
        <f>C37</f>
        <v>100</v>
      </c>
      <c r="D53" s="698">
        <f>C38</f>
        <v>1000</v>
      </c>
      <c r="M53" s="43">
        <f t="shared" si="1"/>
        <v>32</v>
      </c>
      <c r="N53" s="43">
        <f t="shared" si="2"/>
        <v>1</v>
      </c>
      <c r="O53" s="43">
        <f t="shared" si="3"/>
        <v>0</v>
      </c>
      <c r="P53" s="113" t="e">
        <f t="shared" si="4"/>
        <v>#DIV/0!</v>
      </c>
      <c r="Q53" s="113" t="e">
        <f t="shared" si="5"/>
        <v>#DIV/0!</v>
      </c>
      <c r="R53" s="113" t="e">
        <f t="shared" si="6"/>
        <v>#DIV/0!</v>
      </c>
      <c r="S53" s="113" t="e">
        <f t="shared" si="7"/>
        <v>#DIV/0!</v>
      </c>
      <c r="T53" s="43">
        <f t="shared" si="0"/>
        <v>0</v>
      </c>
      <c r="U53" s="43"/>
      <c r="V53" s="525" t="e">
        <f>P53*('upper bound Kenaga'!$F$36/100)</f>
        <v>#DIV/0!</v>
      </c>
      <c r="W53" s="43"/>
      <c r="X53" s="525" t="e">
        <f>P53*('upper bound Kenaga'!$F$96/100)</f>
        <v>#DIV/0!</v>
      </c>
      <c r="Y53" s="43"/>
      <c r="Z53" s="43"/>
      <c r="AA53" s="43"/>
    </row>
    <row r="54" spans="1:27" ht="13.5" thickTop="1">
      <c r="A54" s="403" t="s">
        <v>33</v>
      </c>
      <c r="B54" s="690" t="e">
        <f>B47/$E$36</f>
        <v>#DIV/0!</v>
      </c>
      <c r="C54" s="690" t="e">
        <f>C47/$E$37</f>
        <v>#DIV/0!</v>
      </c>
      <c r="D54" s="691" t="e">
        <f>D47/$E$38</f>
        <v>#DIV/0!</v>
      </c>
      <c r="E54" s="14"/>
      <c r="I54" s="11"/>
      <c r="M54" s="43">
        <f t="shared" si="1"/>
        <v>33</v>
      </c>
      <c r="N54" s="43">
        <f t="shared" si="2"/>
        <v>1</v>
      </c>
      <c r="O54" s="43">
        <f t="shared" si="3"/>
        <v>0</v>
      </c>
      <c r="P54" s="113" t="e">
        <f t="shared" si="4"/>
        <v>#DIV/0!</v>
      </c>
      <c r="Q54" s="113" t="e">
        <f t="shared" si="5"/>
        <v>#DIV/0!</v>
      </c>
      <c r="R54" s="113" t="e">
        <f t="shared" si="6"/>
        <v>#DIV/0!</v>
      </c>
      <c r="S54" s="113" t="e">
        <f t="shared" si="7"/>
        <v>#DIV/0!</v>
      </c>
      <c r="T54" s="43">
        <f t="shared" si="0"/>
        <v>0</v>
      </c>
      <c r="U54" s="43"/>
      <c r="V54" s="525" t="e">
        <f>P54*('upper bound Kenaga'!$F$36/100)</f>
        <v>#DIV/0!</v>
      </c>
      <c r="W54" s="43"/>
      <c r="X54" s="525" t="e">
        <f>P54*('upper bound Kenaga'!$F$96/100)</f>
        <v>#DIV/0!</v>
      </c>
      <c r="Y54" s="43"/>
      <c r="Z54" s="43"/>
      <c r="AA54" s="43"/>
    </row>
    <row r="55" spans="1:27" ht="12.75">
      <c r="A55" s="404" t="s">
        <v>28</v>
      </c>
      <c r="B55" s="690" t="e">
        <f>B48/$E$36</f>
        <v>#DIV/0!</v>
      </c>
      <c r="C55" s="690" t="e">
        <f>C48/$E$37</f>
        <v>#DIV/0!</v>
      </c>
      <c r="D55" s="691" t="e">
        <f>D48/$E$38</f>
        <v>#DIV/0!</v>
      </c>
      <c r="E55" s="14" t="s">
        <v>16</v>
      </c>
      <c r="I55" s="11"/>
      <c r="M55" s="43">
        <f t="shared" si="1"/>
        <v>34</v>
      </c>
      <c r="N55" s="43">
        <f t="shared" si="2"/>
        <v>1</v>
      </c>
      <c r="O55" s="43">
        <f t="shared" si="3"/>
        <v>0</v>
      </c>
      <c r="P55" s="113" t="e">
        <f t="shared" si="4"/>
        <v>#DIV/0!</v>
      </c>
      <c r="Q55" s="113" t="e">
        <f t="shared" si="5"/>
        <v>#DIV/0!</v>
      </c>
      <c r="R55" s="113" t="e">
        <f t="shared" si="6"/>
        <v>#DIV/0!</v>
      </c>
      <c r="S55" s="113" t="e">
        <f t="shared" si="7"/>
        <v>#DIV/0!</v>
      </c>
      <c r="T55" s="43">
        <f t="shared" si="0"/>
        <v>0</v>
      </c>
      <c r="U55" s="43"/>
      <c r="V55" s="525" t="e">
        <f>P55*('upper bound Kenaga'!$F$36/100)</f>
        <v>#DIV/0!</v>
      </c>
      <c r="W55" s="43"/>
      <c r="X55" s="525" t="e">
        <f>P55*('upper bound Kenaga'!$F$96/100)</f>
        <v>#DIV/0!</v>
      </c>
      <c r="Y55" s="43"/>
      <c r="Z55" s="43"/>
      <c r="AA55" s="43"/>
    </row>
    <row r="56" spans="1:27" ht="12.75" customHeight="1">
      <c r="A56" s="404" t="s">
        <v>41</v>
      </c>
      <c r="B56" s="690" t="e">
        <f>B49/$E$36</f>
        <v>#DIV/0!</v>
      </c>
      <c r="C56" s="690" t="e">
        <f>C49/$E$37</f>
        <v>#DIV/0!</v>
      </c>
      <c r="D56" s="691" t="e">
        <f>D49/$E$38</f>
        <v>#DIV/0!</v>
      </c>
      <c r="E56" s="14"/>
      <c r="I56" s="11"/>
      <c r="M56" s="43">
        <f t="shared" si="1"/>
        <v>35</v>
      </c>
      <c r="N56" s="43">
        <f t="shared" si="2"/>
        <v>1</v>
      </c>
      <c r="O56" s="43">
        <f t="shared" si="3"/>
        <v>0</v>
      </c>
      <c r="P56" s="113" t="e">
        <f t="shared" si="4"/>
        <v>#DIV/0!</v>
      </c>
      <c r="Q56" s="113" t="e">
        <f t="shared" si="5"/>
        <v>#DIV/0!</v>
      </c>
      <c r="R56" s="113" t="e">
        <f t="shared" si="6"/>
        <v>#DIV/0!</v>
      </c>
      <c r="S56" s="113" t="e">
        <f t="shared" si="7"/>
        <v>#DIV/0!</v>
      </c>
      <c r="T56" s="43">
        <f t="shared" si="0"/>
        <v>0</v>
      </c>
      <c r="U56" s="43"/>
      <c r="V56" s="525" t="e">
        <f>P56*('upper bound Kenaga'!$F$36/100)</f>
        <v>#DIV/0!</v>
      </c>
      <c r="W56" s="43"/>
      <c r="X56" s="525" t="e">
        <f>P56*('upper bound Kenaga'!$F$96/100)</f>
        <v>#DIV/0!</v>
      </c>
      <c r="Y56" s="43"/>
      <c r="Z56" s="43"/>
      <c r="AA56" s="43"/>
    </row>
    <row r="57" spans="1:27" ht="12.75" customHeight="1" thickBot="1">
      <c r="A57" s="405" t="s">
        <v>36</v>
      </c>
      <c r="B57" s="692" t="e">
        <f>B50/$E$36</f>
        <v>#DIV/0!</v>
      </c>
      <c r="C57" s="692" t="e">
        <f>C50/$E$37</f>
        <v>#DIV/0!</v>
      </c>
      <c r="D57" s="693" t="e">
        <f>D50/$E$38</f>
        <v>#DIV/0!</v>
      </c>
      <c r="E57" s="14"/>
      <c r="I57" s="11"/>
      <c r="M57" s="43">
        <f t="shared" si="1"/>
        <v>36</v>
      </c>
      <c r="N57" s="43">
        <f t="shared" si="2"/>
        <v>1</v>
      </c>
      <c r="O57" s="43">
        <f t="shared" si="3"/>
        <v>0</v>
      </c>
      <c r="P57" s="113" t="e">
        <f t="shared" si="4"/>
        <v>#DIV/0!</v>
      </c>
      <c r="Q57" s="113" t="e">
        <f t="shared" si="5"/>
        <v>#DIV/0!</v>
      </c>
      <c r="R57" s="113" t="e">
        <f t="shared" si="6"/>
        <v>#DIV/0!</v>
      </c>
      <c r="S57" s="113" t="e">
        <f t="shared" si="7"/>
        <v>#DIV/0!</v>
      </c>
      <c r="T57" s="43">
        <f t="shared" si="0"/>
        <v>0</v>
      </c>
      <c r="U57" s="43"/>
      <c r="V57" s="525" t="e">
        <f>P57*('upper bound Kenaga'!$F$36/100)</f>
        <v>#DIV/0!</v>
      </c>
      <c r="W57" s="43"/>
      <c r="X57" s="525" t="e">
        <f>P57*('upper bound Kenaga'!$F$96/100)</f>
        <v>#DIV/0!</v>
      </c>
      <c r="Y57" s="43"/>
      <c r="Z57" s="43"/>
      <c r="AA57" s="43"/>
    </row>
    <row r="58" spans="1:27" ht="12.75" customHeight="1" thickBot="1">
      <c r="A58" s="475" t="s">
        <v>34</v>
      </c>
      <c r="B58" s="694" t="e">
        <f>$E$50/$E$39</f>
        <v>#DIV/0!</v>
      </c>
      <c r="C58" s="694" t="e">
        <f>$F$50/$E$40</f>
        <v>#DIV/0!</v>
      </c>
      <c r="D58" s="695" t="e">
        <f>$G$50/$E$41</f>
        <v>#DIV/0!</v>
      </c>
      <c r="E58" s="14"/>
      <c r="I58" s="12"/>
      <c r="M58" s="43">
        <f t="shared" si="1"/>
        <v>37</v>
      </c>
      <c r="N58" s="43">
        <f t="shared" si="2"/>
        <v>1</v>
      </c>
      <c r="O58" s="43">
        <f t="shared" si="3"/>
        <v>0</v>
      </c>
      <c r="P58" s="113" t="e">
        <f t="shared" si="4"/>
        <v>#DIV/0!</v>
      </c>
      <c r="Q58" s="113" t="e">
        <f t="shared" si="5"/>
        <v>#DIV/0!</v>
      </c>
      <c r="R58" s="113" t="e">
        <f t="shared" si="6"/>
        <v>#DIV/0!</v>
      </c>
      <c r="S58" s="113" t="e">
        <f t="shared" si="7"/>
        <v>#DIV/0!</v>
      </c>
      <c r="T58" s="43">
        <f t="shared" si="0"/>
        <v>0</v>
      </c>
      <c r="U58" s="43"/>
      <c r="V58" s="525" t="e">
        <f>P58*('upper bound Kenaga'!$F$36/100)</f>
        <v>#DIV/0!</v>
      </c>
      <c r="W58" s="43"/>
      <c r="X58" s="525" t="e">
        <f>P58*('upper bound Kenaga'!$F$96/100)</f>
        <v>#DIV/0!</v>
      </c>
      <c r="Y58" s="43"/>
      <c r="Z58" s="43"/>
      <c r="AA58" s="43"/>
    </row>
    <row r="59" spans="1:27" ht="12.75" customHeight="1" thickBot="1">
      <c r="A59" s="14"/>
      <c r="B59" s="14"/>
      <c r="C59" s="14"/>
      <c r="D59" s="11"/>
      <c r="E59" s="14"/>
      <c r="I59" s="12"/>
      <c r="M59" s="43">
        <f t="shared" si="1"/>
        <v>38</v>
      </c>
      <c r="N59" s="43">
        <f t="shared" si="2"/>
        <v>1</v>
      </c>
      <c r="O59" s="43">
        <f t="shared" si="3"/>
        <v>0</v>
      </c>
      <c r="P59" s="113" t="e">
        <f t="shared" si="4"/>
        <v>#DIV/0!</v>
      </c>
      <c r="Q59" s="113" t="e">
        <f t="shared" si="5"/>
        <v>#DIV/0!</v>
      </c>
      <c r="R59" s="113" t="e">
        <f t="shared" si="6"/>
        <v>#DIV/0!</v>
      </c>
      <c r="S59" s="113" t="e">
        <f t="shared" si="7"/>
        <v>#DIV/0!</v>
      </c>
      <c r="T59" s="43">
        <f t="shared" si="0"/>
        <v>0</v>
      </c>
      <c r="U59" s="43"/>
      <c r="V59" s="525" t="e">
        <f>P59*('upper bound Kenaga'!$F$36/100)</f>
        <v>#DIV/0!</v>
      </c>
      <c r="W59" s="43"/>
      <c r="X59" s="525" t="e">
        <f>P59*('upper bound Kenaga'!$F$96/100)</f>
        <v>#DIV/0!</v>
      </c>
      <c r="Y59" s="43"/>
      <c r="Z59" s="43"/>
      <c r="AA59" s="43"/>
    </row>
    <row r="60" spans="1:27" ht="13.5" customHeight="1">
      <c r="A60" s="912" t="s">
        <v>348</v>
      </c>
      <c r="B60" s="922" t="s">
        <v>307</v>
      </c>
      <c r="C60" s="923"/>
      <c r="D60" s="849"/>
      <c r="E60" s="850"/>
      <c r="F60" s="849"/>
      <c r="G60" s="850"/>
      <c r="I60" s="12"/>
      <c r="M60" s="43">
        <f t="shared" si="1"/>
        <v>39</v>
      </c>
      <c r="N60" s="43">
        <f t="shared" si="2"/>
        <v>1</v>
      </c>
      <c r="O60" s="43">
        <f t="shared" si="3"/>
        <v>0</v>
      </c>
      <c r="P60" s="113" t="e">
        <f t="shared" si="4"/>
        <v>#DIV/0!</v>
      </c>
      <c r="Q60" s="113" t="e">
        <f t="shared" si="5"/>
        <v>#DIV/0!</v>
      </c>
      <c r="R60" s="113" t="e">
        <f t="shared" si="6"/>
        <v>#DIV/0!</v>
      </c>
      <c r="S60" s="113" t="e">
        <f t="shared" si="7"/>
        <v>#DIV/0!</v>
      </c>
      <c r="T60" s="43">
        <f t="shared" si="0"/>
        <v>0</v>
      </c>
      <c r="U60" s="43"/>
      <c r="V60" s="525" t="e">
        <f>P60*('upper bound Kenaga'!$F$36/100)</f>
        <v>#DIV/0!</v>
      </c>
      <c r="W60" s="43"/>
      <c r="X60" s="525" t="e">
        <f>P60*('upper bound Kenaga'!$F$96/100)</f>
        <v>#DIV/0!</v>
      </c>
      <c r="Y60" s="43"/>
      <c r="Z60" s="43"/>
      <c r="AA60" s="43"/>
    </row>
    <row r="61" spans="1:27" ht="26.25" customHeight="1">
      <c r="A61" s="913"/>
      <c r="B61" s="924"/>
      <c r="C61" s="925"/>
      <c r="D61" s="98"/>
      <c r="E61" s="98"/>
      <c r="F61" s="99"/>
      <c r="G61" s="99"/>
      <c r="I61" s="12"/>
      <c r="M61" s="43">
        <f t="shared" si="1"/>
        <v>40</v>
      </c>
      <c r="N61" s="43">
        <f t="shared" si="2"/>
        <v>1</v>
      </c>
      <c r="O61" s="43">
        <f t="shared" si="3"/>
        <v>0</v>
      </c>
      <c r="P61" s="113" t="e">
        <f t="shared" si="4"/>
        <v>#DIV/0!</v>
      </c>
      <c r="Q61" s="113" t="e">
        <f t="shared" si="5"/>
        <v>#DIV/0!</v>
      </c>
      <c r="R61" s="113" t="e">
        <f t="shared" si="6"/>
        <v>#DIV/0!</v>
      </c>
      <c r="S61" s="113" t="e">
        <f t="shared" si="7"/>
        <v>#DIV/0!</v>
      </c>
      <c r="T61" s="43">
        <f t="shared" si="0"/>
        <v>0</v>
      </c>
      <c r="U61" s="43"/>
      <c r="V61" s="525" t="e">
        <f>P61*('upper bound Kenaga'!$F$36/100)</f>
        <v>#DIV/0!</v>
      </c>
      <c r="W61" s="43"/>
      <c r="X61" s="525" t="e">
        <f>P61*('upper bound Kenaga'!$F$96/100)</f>
        <v>#DIV/0!</v>
      </c>
      <c r="Y61" s="43"/>
      <c r="Z61" s="43"/>
      <c r="AA61" s="43"/>
    </row>
    <row r="62" spans="1:27" ht="13.5" thickBot="1">
      <c r="A62" s="914"/>
      <c r="B62" s="704" t="s">
        <v>48</v>
      </c>
      <c r="C62" s="706" t="s">
        <v>49</v>
      </c>
      <c r="D62" s="26"/>
      <c r="E62" s="26"/>
      <c r="F62" s="26"/>
      <c r="G62" s="26"/>
      <c r="M62" s="43">
        <f t="shared" si="1"/>
        <v>41</v>
      </c>
      <c r="N62" s="43">
        <f t="shared" si="2"/>
        <v>1</v>
      </c>
      <c r="O62" s="43">
        <f t="shared" si="3"/>
        <v>0</v>
      </c>
      <c r="P62" s="113" t="e">
        <f t="shared" si="4"/>
        <v>#DIV/0!</v>
      </c>
      <c r="Q62" s="113" t="e">
        <f t="shared" si="5"/>
        <v>#DIV/0!</v>
      </c>
      <c r="R62" s="113" t="e">
        <f t="shared" si="6"/>
        <v>#DIV/0!</v>
      </c>
      <c r="S62" s="113" t="e">
        <f t="shared" si="7"/>
        <v>#DIV/0!</v>
      </c>
      <c r="T62" s="43">
        <f t="shared" si="0"/>
        <v>0</v>
      </c>
      <c r="U62" s="43"/>
      <c r="V62" s="525" t="e">
        <f>P62*('upper bound Kenaga'!$F$36/100)</f>
        <v>#DIV/0!</v>
      </c>
      <c r="W62" s="43"/>
      <c r="X62" s="525" t="e">
        <f>P62*('upper bound Kenaga'!$F$96/100)</f>
        <v>#DIV/0!</v>
      </c>
      <c r="Y62" s="43"/>
      <c r="Z62" s="43"/>
      <c r="AA62" s="43"/>
    </row>
    <row r="63" spans="1:27" ht="13.5" thickTop="1">
      <c r="A63" s="387" t="s">
        <v>18</v>
      </c>
      <c r="B63" s="686" t="e">
        <f>B27/D16</f>
        <v>#DIV/0!</v>
      </c>
      <c r="C63" s="687" t="e">
        <f>B27/D18</f>
        <v>#DIV/0!</v>
      </c>
      <c r="D63" s="13"/>
      <c r="E63" s="13"/>
      <c r="F63" s="13"/>
      <c r="G63" s="13"/>
      <c r="M63" s="43">
        <f t="shared" si="1"/>
        <v>42</v>
      </c>
      <c r="N63" s="43">
        <f t="shared" si="2"/>
        <v>1</v>
      </c>
      <c r="O63" s="43">
        <f t="shared" si="3"/>
        <v>0</v>
      </c>
      <c r="P63" s="113" t="e">
        <f t="shared" si="4"/>
        <v>#DIV/0!</v>
      </c>
      <c r="Q63" s="113" t="e">
        <f t="shared" si="5"/>
        <v>#DIV/0!</v>
      </c>
      <c r="R63" s="113" t="e">
        <f t="shared" si="6"/>
        <v>#DIV/0!</v>
      </c>
      <c r="S63" s="113" t="e">
        <f t="shared" si="7"/>
        <v>#DIV/0!</v>
      </c>
      <c r="T63" s="43">
        <f t="shared" si="0"/>
        <v>0</v>
      </c>
      <c r="U63" s="43"/>
      <c r="V63" s="525" t="e">
        <f>P63*('upper bound Kenaga'!$F$36/100)</f>
        <v>#DIV/0!</v>
      </c>
      <c r="W63" s="43"/>
      <c r="X63" s="525" t="e">
        <f>P63*('upper bound Kenaga'!$F$96/100)</f>
        <v>#DIV/0!</v>
      </c>
      <c r="Y63" s="43"/>
      <c r="Z63" s="43"/>
      <c r="AA63" s="43"/>
    </row>
    <row r="64" spans="1:27" ht="12.75">
      <c r="A64" s="387" t="s">
        <v>21</v>
      </c>
      <c r="B64" s="686" t="e">
        <f>B28/D16</f>
        <v>#DIV/0!</v>
      </c>
      <c r="C64" s="687" t="e">
        <f>B28/D18</f>
        <v>#DIV/0!</v>
      </c>
      <c r="D64" s="13"/>
      <c r="E64" s="13"/>
      <c r="F64" s="13"/>
      <c r="G64" s="13"/>
      <c r="M64" s="43">
        <f t="shared" si="1"/>
        <v>43</v>
      </c>
      <c r="N64" s="43">
        <f t="shared" si="2"/>
        <v>1</v>
      </c>
      <c r="O64" s="43">
        <f t="shared" si="3"/>
        <v>0</v>
      </c>
      <c r="P64" s="113" t="e">
        <f t="shared" si="4"/>
        <v>#DIV/0!</v>
      </c>
      <c r="Q64" s="113" t="e">
        <f t="shared" si="5"/>
        <v>#DIV/0!</v>
      </c>
      <c r="R64" s="113" t="e">
        <f t="shared" si="6"/>
        <v>#DIV/0!</v>
      </c>
      <c r="S64" s="113" t="e">
        <f t="shared" si="7"/>
        <v>#DIV/0!</v>
      </c>
      <c r="T64" s="43">
        <f t="shared" si="0"/>
        <v>0</v>
      </c>
      <c r="U64" s="43"/>
      <c r="V64" s="525" t="e">
        <f>P64*('upper bound Kenaga'!$F$36/100)</f>
        <v>#DIV/0!</v>
      </c>
      <c r="W64" s="43"/>
      <c r="X64" s="525" t="e">
        <f>P64*('upper bound Kenaga'!$F$96/100)</f>
        <v>#DIV/0!</v>
      </c>
      <c r="Y64" s="43"/>
      <c r="Z64" s="43"/>
      <c r="AA64" s="43"/>
    </row>
    <row r="65" spans="1:27" ht="12.75" customHeight="1">
      <c r="A65" s="387" t="s">
        <v>37</v>
      </c>
      <c r="B65" s="686" t="e">
        <f>B29/D16</f>
        <v>#DIV/0!</v>
      </c>
      <c r="C65" s="687" t="e">
        <f>B29/D18</f>
        <v>#DIV/0!</v>
      </c>
      <c r="D65" s="13"/>
      <c r="E65" s="13"/>
      <c r="F65" s="13"/>
      <c r="G65" s="13"/>
      <c r="M65" s="43">
        <f t="shared" si="1"/>
        <v>44</v>
      </c>
      <c r="N65" s="43">
        <f t="shared" si="2"/>
        <v>1</v>
      </c>
      <c r="O65" s="43">
        <f t="shared" si="3"/>
        <v>0</v>
      </c>
      <c r="P65" s="113" t="e">
        <f t="shared" si="4"/>
        <v>#DIV/0!</v>
      </c>
      <c r="Q65" s="113" t="e">
        <f t="shared" si="5"/>
        <v>#DIV/0!</v>
      </c>
      <c r="R65" s="113" t="e">
        <f t="shared" si="6"/>
        <v>#DIV/0!</v>
      </c>
      <c r="S65" s="113" t="e">
        <f t="shared" si="7"/>
        <v>#DIV/0!</v>
      </c>
      <c r="T65" s="43">
        <f t="shared" si="0"/>
        <v>0</v>
      </c>
      <c r="U65" s="43"/>
      <c r="V65" s="525" t="e">
        <f>P65*('upper bound Kenaga'!$F$36/100)</f>
        <v>#DIV/0!</v>
      </c>
      <c r="W65" s="43"/>
      <c r="X65" s="525" t="e">
        <f>P65*('upper bound Kenaga'!$F$96/100)</f>
        <v>#DIV/0!</v>
      </c>
      <c r="Y65" s="43"/>
      <c r="Z65" s="43"/>
      <c r="AA65" s="43"/>
    </row>
    <row r="66" spans="1:27" ht="13.5" thickBot="1">
      <c r="A66" s="389" t="s">
        <v>36</v>
      </c>
      <c r="B66" s="688" t="e">
        <f>B30/D16</f>
        <v>#DIV/0!</v>
      </c>
      <c r="C66" s="689" t="e">
        <f>B30/D18</f>
        <v>#DIV/0!</v>
      </c>
      <c r="D66" s="13"/>
      <c r="E66" s="13"/>
      <c r="F66" s="13"/>
      <c r="G66" s="13"/>
      <c r="M66" s="43">
        <f t="shared" si="1"/>
        <v>45</v>
      </c>
      <c r="N66" s="43">
        <f t="shared" si="2"/>
        <v>1</v>
      </c>
      <c r="O66" s="43">
        <f t="shared" si="3"/>
        <v>0</v>
      </c>
      <c r="P66" s="113" t="e">
        <f t="shared" si="4"/>
        <v>#DIV/0!</v>
      </c>
      <c r="Q66" s="113" t="e">
        <f t="shared" si="5"/>
        <v>#DIV/0!</v>
      </c>
      <c r="R66" s="113" t="e">
        <f t="shared" si="6"/>
        <v>#DIV/0!</v>
      </c>
      <c r="S66" s="113" t="e">
        <f t="shared" si="7"/>
        <v>#DIV/0!</v>
      </c>
      <c r="T66" s="43">
        <f t="shared" si="0"/>
        <v>0</v>
      </c>
      <c r="U66" s="43"/>
      <c r="V66" s="525" t="e">
        <f>P66*('upper bound Kenaga'!$F$36/100)</f>
        <v>#DIV/0!</v>
      </c>
      <c r="W66" s="43"/>
      <c r="X66" s="525" t="e">
        <f>P66*('upper bound Kenaga'!$F$96/100)</f>
        <v>#DIV/0!</v>
      </c>
      <c r="Y66" s="43"/>
      <c r="Z66" s="43"/>
      <c r="AA66" s="43"/>
    </row>
    <row r="67" spans="1:27" ht="14.25" customHeight="1">
      <c r="A67" s="16"/>
      <c r="D67" s="13"/>
      <c r="E67" s="8"/>
      <c r="F67" s="8"/>
      <c r="G67" s="8"/>
      <c r="M67" s="43">
        <f t="shared" si="1"/>
        <v>46</v>
      </c>
      <c r="N67" s="43">
        <f t="shared" si="2"/>
        <v>1</v>
      </c>
      <c r="O67" s="43">
        <f t="shared" si="3"/>
        <v>0</v>
      </c>
      <c r="P67" s="113" t="e">
        <f t="shared" si="4"/>
        <v>#DIV/0!</v>
      </c>
      <c r="Q67" s="113" t="e">
        <f t="shared" si="5"/>
        <v>#DIV/0!</v>
      </c>
      <c r="R67" s="113" t="e">
        <f t="shared" si="6"/>
        <v>#DIV/0!</v>
      </c>
      <c r="S67" s="113" t="e">
        <f t="shared" si="7"/>
        <v>#DIV/0!</v>
      </c>
      <c r="T67" s="43">
        <f t="shared" si="0"/>
        <v>0</v>
      </c>
      <c r="U67" s="43"/>
      <c r="V67" s="525" t="e">
        <f>P67*('upper bound Kenaga'!$F$36/100)</f>
        <v>#DIV/0!</v>
      </c>
      <c r="W67" s="43"/>
      <c r="X67" s="525" t="e">
        <f>P67*('upper bound Kenaga'!$F$96/100)</f>
        <v>#DIV/0!</v>
      </c>
      <c r="Y67" s="43"/>
      <c r="Z67" s="43"/>
      <c r="AA67" s="43"/>
    </row>
    <row r="68" spans="1:27" ht="12.75" customHeight="1">
      <c r="A68" s="16"/>
      <c r="D68" s="31"/>
      <c r="M68" s="43">
        <f t="shared" si="1"/>
        <v>47</v>
      </c>
      <c r="N68" s="43">
        <f t="shared" si="2"/>
        <v>1</v>
      </c>
      <c r="O68" s="43">
        <f t="shared" si="3"/>
        <v>0</v>
      </c>
      <c r="P68" s="113" t="e">
        <f t="shared" si="4"/>
        <v>#DIV/0!</v>
      </c>
      <c r="Q68" s="113" t="e">
        <f t="shared" si="5"/>
        <v>#DIV/0!</v>
      </c>
      <c r="R68" s="113" t="e">
        <f t="shared" si="6"/>
        <v>#DIV/0!</v>
      </c>
      <c r="S68" s="113" t="e">
        <f t="shared" si="7"/>
        <v>#DIV/0!</v>
      </c>
      <c r="T68" s="43">
        <f t="shared" si="0"/>
        <v>0</v>
      </c>
      <c r="U68" s="43"/>
      <c r="V68" s="525" t="e">
        <f>P68*('upper bound Kenaga'!$F$36/100)</f>
        <v>#DIV/0!</v>
      </c>
      <c r="W68" s="43"/>
      <c r="X68" s="525" t="e">
        <f>P68*('upper bound Kenaga'!$F$96/100)</f>
        <v>#DIV/0!</v>
      </c>
      <c r="Y68" s="43"/>
      <c r="Z68" s="43"/>
      <c r="AA68" s="43"/>
    </row>
    <row r="69" spans="1:27" ht="13.5" customHeight="1">
      <c r="A69" s="100"/>
      <c r="M69" s="43">
        <f t="shared" si="1"/>
        <v>48</v>
      </c>
      <c r="N69" s="43">
        <f t="shared" si="2"/>
        <v>1</v>
      </c>
      <c r="O69" s="43">
        <f t="shared" si="3"/>
        <v>0</v>
      </c>
      <c r="P69" s="113" t="e">
        <f t="shared" si="4"/>
        <v>#DIV/0!</v>
      </c>
      <c r="Q69" s="113" t="e">
        <f t="shared" si="5"/>
        <v>#DIV/0!</v>
      </c>
      <c r="R69" s="113" t="e">
        <f t="shared" si="6"/>
        <v>#DIV/0!</v>
      </c>
      <c r="S69" s="113" t="e">
        <f t="shared" si="7"/>
        <v>#DIV/0!</v>
      </c>
      <c r="T69" s="43">
        <f t="shared" si="0"/>
        <v>0</v>
      </c>
      <c r="U69" s="43"/>
      <c r="V69" s="525" t="e">
        <f>P69*('upper bound Kenaga'!$F$36/100)</f>
        <v>#DIV/0!</v>
      </c>
      <c r="W69" s="43"/>
      <c r="X69" s="525" t="e">
        <f>P69*('upper bound Kenaga'!$F$96/100)</f>
        <v>#DIV/0!</v>
      </c>
      <c r="Y69" s="43"/>
      <c r="Z69" s="43"/>
      <c r="AA69" s="43"/>
    </row>
    <row r="70" spans="1:27" ht="12.75">
      <c r="A70" s="100"/>
      <c r="M70" s="43">
        <f t="shared" si="1"/>
        <v>49</v>
      </c>
      <c r="N70" s="43">
        <f t="shared" si="2"/>
        <v>1</v>
      </c>
      <c r="O70" s="43">
        <f t="shared" si="3"/>
        <v>0</v>
      </c>
      <c r="P70" s="113" t="e">
        <f t="shared" si="4"/>
        <v>#DIV/0!</v>
      </c>
      <c r="Q70" s="113" t="e">
        <f t="shared" si="5"/>
        <v>#DIV/0!</v>
      </c>
      <c r="R70" s="113" t="e">
        <f t="shared" si="6"/>
        <v>#DIV/0!</v>
      </c>
      <c r="S70" s="113" t="e">
        <f t="shared" si="7"/>
        <v>#DIV/0!</v>
      </c>
      <c r="T70" s="43">
        <f t="shared" si="0"/>
        <v>0</v>
      </c>
      <c r="U70" s="43"/>
      <c r="V70" s="525" t="e">
        <f>P70*('upper bound Kenaga'!$F$36/100)</f>
        <v>#DIV/0!</v>
      </c>
      <c r="W70" s="43"/>
      <c r="X70" s="525" t="e">
        <f>P70*('upper bound Kenaga'!$F$96/100)</f>
        <v>#DIV/0!</v>
      </c>
      <c r="Y70" s="43"/>
      <c r="Z70" s="43"/>
      <c r="AA70" s="43"/>
    </row>
    <row r="71" spans="1:27" ht="12.75">
      <c r="A71" s="100"/>
      <c r="M71" s="43">
        <f t="shared" si="1"/>
        <v>50</v>
      </c>
      <c r="N71" s="43">
        <f t="shared" si="2"/>
        <v>1</v>
      </c>
      <c r="O71" s="43">
        <f t="shared" si="3"/>
        <v>0</v>
      </c>
      <c r="P71" s="113" t="e">
        <f t="shared" si="4"/>
        <v>#DIV/0!</v>
      </c>
      <c r="Q71" s="113" t="e">
        <f t="shared" si="5"/>
        <v>#DIV/0!</v>
      </c>
      <c r="R71" s="113" t="e">
        <f t="shared" si="6"/>
        <v>#DIV/0!</v>
      </c>
      <c r="S71" s="113" t="e">
        <f t="shared" si="7"/>
        <v>#DIV/0!</v>
      </c>
      <c r="T71" s="43">
        <f t="shared" si="0"/>
        <v>0</v>
      </c>
      <c r="U71" s="43"/>
      <c r="V71" s="525" t="e">
        <f>P71*('upper bound Kenaga'!$F$36/100)</f>
        <v>#DIV/0!</v>
      </c>
      <c r="W71" s="43"/>
      <c r="X71" s="525" t="e">
        <f>P71*('upper bound Kenaga'!$F$96/100)</f>
        <v>#DIV/0!</v>
      </c>
      <c r="Y71" s="43"/>
      <c r="Z71" s="43"/>
      <c r="AA71" s="43"/>
    </row>
    <row r="72" spans="1:27" ht="12.75" customHeight="1">
      <c r="A72" s="100"/>
      <c r="M72" s="43">
        <f t="shared" si="1"/>
        <v>51</v>
      </c>
      <c r="N72" s="43">
        <f t="shared" si="2"/>
        <v>1</v>
      </c>
      <c r="O72" s="43">
        <f t="shared" si="3"/>
        <v>0</v>
      </c>
      <c r="P72" s="113" t="e">
        <f t="shared" si="4"/>
        <v>#DIV/0!</v>
      </c>
      <c r="Q72" s="113" t="e">
        <f t="shared" si="5"/>
        <v>#DIV/0!</v>
      </c>
      <c r="R72" s="113" t="e">
        <f t="shared" si="6"/>
        <v>#DIV/0!</v>
      </c>
      <c r="S72" s="113" t="e">
        <f t="shared" si="7"/>
        <v>#DIV/0!</v>
      </c>
      <c r="T72" s="43">
        <f t="shared" si="0"/>
        <v>0</v>
      </c>
      <c r="U72" s="43"/>
      <c r="V72" s="525" t="e">
        <f>P72*('upper bound Kenaga'!$F$36/100)</f>
        <v>#DIV/0!</v>
      </c>
      <c r="W72" s="43"/>
      <c r="X72" s="525" t="e">
        <f>P72*('upper bound Kenaga'!$F$96/100)</f>
        <v>#DIV/0!</v>
      </c>
      <c r="Y72" s="43"/>
      <c r="Z72" s="43"/>
      <c r="AA72" s="43"/>
    </row>
    <row r="73" spans="13:27" ht="12.75">
      <c r="M73" s="43">
        <f t="shared" si="1"/>
        <v>52</v>
      </c>
      <c r="N73" s="43">
        <f t="shared" si="2"/>
        <v>1</v>
      </c>
      <c r="O73" s="43">
        <f t="shared" si="3"/>
        <v>0</v>
      </c>
      <c r="P73" s="113" t="e">
        <f t="shared" si="4"/>
        <v>#DIV/0!</v>
      </c>
      <c r="Q73" s="113" t="e">
        <f t="shared" si="5"/>
        <v>#DIV/0!</v>
      </c>
      <c r="R73" s="113" t="e">
        <f t="shared" si="6"/>
        <v>#DIV/0!</v>
      </c>
      <c r="S73" s="113" t="e">
        <f t="shared" si="7"/>
        <v>#DIV/0!</v>
      </c>
      <c r="T73" s="43">
        <f t="shared" si="0"/>
        <v>0</v>
      </c>
      <c r="U73" s="43"/>
      <c r="V73" s="525" t="e">
        <f>P73*('upper bound Kenaga'!$F$36/100)</f>
        <v>#DIV/0!</v>
      </c>
      <c r="W73" s="43"/>
      <c r="X73" s="525" t="e">
        <f>P73*('upper bound Kenaga'!$F$96/100)</f>
        <v>#DIV/0!</v>
      </c>
      <c r="Y73" s="43"/>
      <c r="Z73" s="43"/>
      <c r="AA73" s="43"/>
    </row>
    <row r="74" spans="13:27" ht="12.75" customHeight="1">
      <c r="M74" s="43">
        <f t="shared" si="1"/>
        <v>53</v>
      </c>
      <c r="N74" s="43">
        <f t="shared" si="2"/>
        <v>1</v>
      </c>
      <c r="O74" s="43">
        <f t="shared" si="3"/>
        <v>0</v>
      </c>
      <c r="P74" s="113" t="e">
        <f t="shared" si="4"/>
        <v>#DIV/0!</v>
      </c>
      <c r="Q74" s="113" t="e">
        <f t="shared" si="5"/>
        <v>#DIV/0!</v>
      </c>
      <c r="R74" s="113" t="e">
        <f t="shared" si="6"/>
        <v>#DIV/0!</v>
      </c>
      <c r="S74" s="113" t="e">
        <f t="shared" si="7"/>
        <v>#DIV/0!</v>
      </c>
      <c r="T74" s="43">
        <f t="shared" si="0"/>
        <v>0</v>
      </c>
      <c r="U74" s="43"/>
      <c r="V74" s="525" t="e">
        <f>P74*('upper bound Kenaga'!$F$36/100)</f>
        <v>#DIV/0!</v>
      </c>
      <c r="W74" s="43"/>
      <c r="X74" s="525" t="e">
        <f>P74*('upper bound Kenaga'!$F$96/100)</f>
        <v>#DIV/0!</v>
      </c>
      <c r="Y74" s="43"/>
      <c r="Z74" s="43"/>
      <c r="AA74" s="43"/>
    </row>
    <row r="75" spans="13:27" ht="12.75">
      <c r="M75" s="43">
        <f t="shared" si="1"/>
        <v>54</v>
      </c>
      <c r="N75" s="43">
        <f t="shared" si="2"/>
        <v>1</v>
      </c>
      <c r="O75" s="43">
        <f t="shared" si="3"/>
        <v>0</v>
      </c>
      <c r="P75" s="113" t="e">
        <f t="shared" si="4"/>
        <v>#DIV/0!</v>
      </c>
      <c r="Q75" s="113" t="e">
        <f t="shared" si="5"/>
        <v>#DIV/0!</v>
      </c>
      <c r="R75" s="113" t="e">
        <f t="shared" si="6"/>
        <v>#DIV/0!</v>
      </c>
      <c r="S75" s="113" t="e">
        <f t="shared" si="7"/>
        <v>#DIV/0!</v>
      </c>
      <c r="T75" s="43">
        <f t="shared" si="0"/>
        <v>0</v>
      </c>
      <c r="U75" s="43"/>
      <c r="V75" s="525" t="e">
        <f>P75*('upper bound Kenaga'!$F$36/100)</f>
        <v>#DIV/0!</v>
      </c>
      <c r="W75" s="43"/>
      <c r="X75" s="525" t="e">
        <f>P75*('upper bound Kenaga'!$F$96/100)</f>
        <v>#DIV/0!</v>
      </c>
      <c r="Y75" s="43"/>
      <c r="Z75" s="43"/>
      <c r="AA75" s="43"/>
    </row>
    <row r="76" spans="13:27" ht="12.75">
      <c r="M76" s="43">
        <f t="shared" si="1"/>
        <v>55</v>
      </c>
      <c r="N76" s="43">
        <f t="shared" si="2"/>
        <v>1</v>
      </c>
      <c r="O76" s="43">
        <f t="shared" si="3"/>
        <v>0</v>
      </c>
      <c r="P76" s="113" t="e">
        <f t="shared" si="4"/>
        <v>#DIV/0!</v>
      </c>
      <c r="Q76" s="113" t="e">
        <f t="shared" si="5"/>
        <v>#DIV/0!</v>
      </c>
      <c r="R76" s="113" t="e">
        <f t="shared" si="6"/>
        <v>#DIV/0!</v>
      </c>
      <c r="S76" s="113" t="e">
        <f t="shared" si="7"/>
        <v>#DIV/0!</v>
      </c>
      <c r="T76" s="43">
        <f t="shared" si="0"/>
        <v>0</v>
      </c>
      <c r="U76" s="43"/>
      <c r="V76" s="525" t="e">
        <f>P76*('upper bound Kenaga'!$F$36/100)</f>
        <v>#DIV/0!</v>
      </c>
      <c r="W76" s="43"/>
      <c r="X76" s="525" t="e">
        <f>P76*('upper bound Kenaga'!$F$96/100)</f>
        <v>#DIV/0!</v>
      </c>
      <c r="Y76" s="43"/>
      <c r="Z76" s="43"/>
      <c r="AA76" s="43"/>
    </row>
    <row r="77" spans="13:27" ht="12.75">
      <c r="M77" s="43">
        <f t="shared" si="1"/>
        <v>56</v>
      </c>
      <c r="N77" s="43">
        <f t="shared" si="2"/>
        <v>1</v>
      </c>
      <c r="O77" s="43">
        <f t="shared" si="3"/>
        <v>0</v>
      </c>
      <c r="P77" s="113" t="e">
        <f t="shared" si="4"/>
        <v>#DIV/0!</v>
      </c>
      <c r="Q77" s="113" t="e">
        <f t="shared" si="5"/>
        <v>#DIV/0!</v>
      </c>
      <c r="R77" s="113" t="e">
        <f t="shared" si="6"/>
        <v>#DIV/0!</v>
      </c>
      <c r="S77" s="113" t="e">
        <f t="shared" si="7"/>
        <v>#DIV/0!</v>
      </c>
      <c r="T77" s="43">
        <f t="shared" si="0"/>
        <v>0</v>
      </c>
      <c r="U77" s="43"/>
      <c r="V77" s="525" t="e">
        <f>P77*('upper bound Kenaga'!$F$36/100)</f>
        <v>#DIV/0!</v>
      </c>
      <c r="W77" s="43"/>
      <c r="X77" s="525" t="e">
        <f>P77*('upper bound Kenaga'!$F$96/100)</f>
        <v>#DIV/0!</v>
      </c>
      <c r="Y77" s="43"/>
      <c r="Z77" s="43"/>
      <c r="AA77" s="43"/>
    </row>
    <row r="78" spans="9:27" ht="12.75">
      <c r="I78" s="16"/>
      <c r="M78" s="43">
        <f t="shared" si="1"/>
        <v>57</v>
      </c>
      <c r="N78" s="43">
        <f t="shared" si="2"/>
        <v>1</v>
      </c>
      <c r="O78" s="43">
        <f t="shared" si="3"/>
        <v>0</v>
      </c>
      <c r="P78" s="113" t="e">
        <f t="shared" si="4"/>
        <v>#DIV/0!</v>
      </c>
      <c r="Q78" s="113" t="e">
        <f t="shared" si="5"/>
        <v>#DIV/0!</v>
      </c>
      <c r="R78" s="113" t="e">
        <f t="shared" si="6"/>
        <v>#DIV/0!</v>
      </c>
      <c r="S78" s="113" t="e">
        <f t="shared" si="7"/>
        <v>#DIV/0!</v>
      </c>
      <c r="T78" s="43">
        <f t="shared" si="0"/>
        <v>0</v>
      </c>
      <c r="U78" s="43"/>
      <c r="V78" s="525" t="e">
        <f>P78*('upper bound Kenaga'!$F$36/100)</f>
        <v>#DIV/0!</v>
      </c>
      <c r="W78" s="43"/>
      <c r="X78" s="525" t="e">
        <f>P78*('upper bound Kenaga'!$F$96/100)</f>
        <v>#DIV/0!</v>
      </c>
      <c r="Y78" s="43"/>
      <c r="Z78" s="43"/>
      <c r="AA78" s="43"/>
    </row>
    <row r="79" spans="9:27" ht="12.75">
      <c r="I79" s="16"/>
      <c r="M79" s="43">
        <f t="shared" si="1"/>
        <v>58</v>
      </c>
      <c r="N79" s="43">
        <f t="shared" si="2"/>
        <v>1</v>
      </c>
      <c r="O79" s="43">
        <f t="shared" si="3"/>
        <v>0</v>
      </c>
      <c r="P79" s="113" t="e">
        <f t="shared" si="4"/>
        <v>#DIV/0!</v>
      </c>
      <c r="Q79" s="113" t="e">
        <f t="shared" si="5"/>
        <v>#DIV/0!</v>
      </c>
      <c r="R79" s="113" t="e">
        <f t="shared" si="6"/>
        <v>#DIV/0!</v>
      </c>
      <c r="S79" s="113" t="e">
        <f t="shared" si="7"/>
        <v>#DIV/0!</v>
      </c>
      <c r="T79" s="43">
        <f t="shared" si="0"/>
        <v>0</v>
      </c>
      <c r="U79" s="43"/>
      <c r="V79" s="525" t="e">
        <f>P79*('upper bound Kenaga'!$F$36/100)</f>
        <v>#DIV/0!</v>
      </c>
      <c r="W79" s="43"/>
      <c r="X79" s="525" t="e">
        <f>P79*('upper bound Kenaga'!$F$96/100)</f>
        <v>#DIV/0!</v>
      </c>
      <c r="Y79" s="43"/>
      <c r="Z79" s="43"/>
      <c r="AA79" s="43"/>
    </row>
    <row r="80" spans="9:27" ht="12.75">
      <c r="I80" s="16"/>
      <c r="M80" s="43">
        <f t="shared" si="1"/>
        <v>59</v>
      </c>
      <c r="N80" s="43">
        <f t="shared" si="2"/>
        <v>1</v>
      </c>
      <c r="O80" s="43">
        <f t="shared" si="3"/>
        <v>0</v>
      </c>
      <c r="P80" s="113" t="e">
        <f t="shared" si="4"/>
        <v>#DIV/0!</v>
      </c>
      <c r="Q80" s="113" t="e">
        <f t="shared" si="5"/>
        <v>#DIV/0!</v>
      </c>
      <c r="R80" s="113" t="e">
        <f t="shared" si="6"/>
        <v>#DIV/0!</v>
      </c>
      <c r="S80" s="113" t="e">
        <f t="shared" si="7"/>
        <v>#DIV/0!</v>
      </c>
      <c r="T80" s="43">
        <f t="shared" si="0"/>
        <v>0</v>
      </c>
      <c r="U80" s="43"/>
      <c r="V80" s="525" t="e">
        <f>P80*('upper bound Kenaga'!$F$36/100)</f>
        <v>#DIV/0!</v>
      </c>
      <c r="W80" s="43"/>
      <c r="X80" s="525" t="e">
        <f>P80*('upper bound Kenaga'!$F$96/100)</f>
        <v>#DIV/0!</v>
      </c>
      <c r="Y80" s="43"/>
      <c r="Z80" s="43"/>
      <c r="AA80" s="43"/>
    </row>
    <row r="81" spans="9:27" ht="12.75">
      <c r="I81" s="16"/>
      <c r="M81" s="43">
        <f t="shared" si="1"/>
        <v>60</v>
      </c>
      <c r="N81" s="43">
        <f t="shared" si="2"/>
        <v>1</v>
      </c>
      <c r="O81" s="43">
        <f t="shared" si="3"/>
        <v>0</v>
      </c>
      <c r="P81" s="113" t="e">
        <f t="shared" si="4"/>
        <v>#DIV/0!</v>
      </c>
      <c r="Q81" s="113" t="e">
        <f t="shared" si="5"/>
        <v>#DIV/0!</v>
      </c>
      <c r="R81" s="113" t="e">
        <f t="shared" si="6"/>
        <v>#DIV/0!</v>
      </c>
      <c r="S81" s="113" t="e">
        <f t="shared" si="7"/>
        <v>#DIV/0!</v>
      </c>
      <c r="T81" s="43">
        <f t="shared" si="0"/>
        <v>0</v>
      </c>
      <c r="U81" s="43"/>
      <c r="V81" s="525" t="e">
        <f>P81*('upper bound Kenaga'!$F$36/100)</f>
        <v>#DIV/0!</v>
      </c>
      <c r="W81" s="43"/>
      <c r="X81" s="525" t="e">
        <f>P81*('upper bound Kenaga'!$F$96/100)</f>
        <v>#DIV/0!</v>
      </c>
      <c r="Y81" s="43"/>
      <c r="Z81" s="43"/>
      <c r="AA81" s="43"/>
    </row>
    <row r="82" spans="9:27" ht="12.75">
      <c r="I82" s="16"/>
      <c r="M82" s="43">
        <f t="shared" si="1"/>
        <v>61</v>
      </c>
      <c r="N82" s="43">
        <f t="shared" si="2"/>
        <v>1</v>
      </c>
      <c r="O82" s="43">
        <f t="shared" si="3"/>
        <v>0</v>
      </c>
      <c r="P82" s="113" t="e">
        <f t="shared" si="4"/>
        <v>#DIV/0!</v>
      </c>
      <c r="Q82" s="113" t="e">
        <f t="shared" si="5"/>
        <v>#DIV/0!</v>
      </c>
      <c r="R82" s="113" t="e">
        <f t="shared" si="6"/>
        <v>#DIV/0!</v>
      </c>
      <c r="S82" s="113" t="e">
        <f t="shared" si="7"/>
        <v>#DIV/0!</v>
      </c>
      <c r="T82" s="43">
        <f t="shared" si="0"/>
        <v>0</v>
      </c>
      <c r="U82" s="43"/>
      <c r="V82" s="525" t="e">
        <f>P82*('upper bound Kenaga'!$F$36/100)</f>
        <v>#DIV/0!</v>
      </c>
      <c r="W82" s="43"/>
      <c r="X82" s="525" t="e">
        <f>P82*('upper bound Kenaga'!$F$96/100)</f>
        <v>#DIV/0!</v>
      </c>
      <c r="Y82" s="43"/>
      <c r="Z82" s="43"/>
      <c r="AA82" s="43"/>
    </row>
    <row r="83" spans="9:27" ht="12.75">
      <c r="I83" s="16"/>
      <c r="M83" s="43">
        <f t="shared" si="1"/>
        <v>62</v>
      </c>
      <c r="N83" s="43">
        <f t="shared" si="2"/>
        <v>1</v>
      </c>
      <c r="O83" s="43">
        <f t="shared" si="3"/>
        <v>0</v>
      </c>
      <c r="P83" s="113" t="e">
        <f t="shared" si="4"/>
        <v>#DIV/0!</v>
      </c>
      <c r="Q83" s="113" t="e">
        <f t="shared" si="5"/>
        <v>#DIV/0!</v>
      </c>
      <c r="R83" s="113" t="e">
        <f t="shared" si="6"/>
        <v>#DIV/0!</v>
      </c>
      <c r="S83" s="113" t="e">
        <f t="shared" si="7"/>
        <v>#DIV/0!</v>
      </c>
      <c r="T83" s="43">
        <f t="shared" si="0"/>
        <v>0</v>
      </c>
      <c r="U83" s="43"/>
      <c r="V83" s="525" t="e">
        <f>P83*('upper bound Kenaga'!$F$36/100)</f>
        <v>#DIV/0!</v>
      </c>
      <c r="W83" s="43"/>
      <c r="X83" s="525" t="e">
        <f>P83*('upper bound Kenaga'!$F$96/100)</f>
        <v>#DIV/0!</v>
      </c>
      <c r="Y83" s="43"/>
      <c r="Z83" s="43"/>
      <c r="AA83" s="43"/>
    </row>
    <row r="84" spans="9:27" ht="12.75">
      <c r="I84" s="16"/>
      <c r="M84" s="43">
        <f t="shared" si="1"/>
        <v>63</v>
      </c>
      <c r="N84" s="43">
        <f t="shared" si="2"/>
        <v>1</v>
      </c>
      <c r="O84" s="43">
        <f t="shared" si="3"/>
        <v>0</v>
      </c>
      <c r="P84" s="113" t="e">
        <f t="shared" si="4"/>
        <v>#DIV/0!</v>
      </c>
      <c r="Q84" s="113" t="e">
        <f t="shared" si="5"/>
        <v>#DIV/0!</v>
      </c>
      <c r="R84" s="113" t="e">
        <f t="shared" si="6"/>
        <v>#DIV/0!</v>
      </c>
      <c r="S84" s="113" t="e">
        <f t="shared" si="7"/>
        <v>#DIV/0!</v>
      </c>
      <c r="T84" s="43">
        <f t="shared" si="0"/>
        <v>0</v>
      </c>
      <c r="U84" s="43"/>
      <c r="V84" s="525" t="e">
        <f>P84*('upper bound Kenaga'!$F$36/100)</f>
        <v>#DIV/0!</v>
      </c>
      <c r="W84" s="43"/>
      <c r="X84" s="525" t="e">
        <f>P84*('upper bound Kenaga'!$F$96/100)</f>
        <v>#DIV/0!</v>
      </c>
      <c r="Y84" s="43"/>
      <c r="Z84" s="43"/>
      <c r="AA84" s="43"/>
    </row>
    <row r="85" spans="9:27" ht="12.75">
      <c r="I85" s="16"/>
      <c r="M85" s="43">
        <f t="shared" si="1"/>
        <v>64</v>
      </c>
      <c r="N85" s="43">
        <f t="shared" si="2"/>
        <v>1</v>
      </c>
      <c r="O85" s="43">
        <f t="shared" si="3"/>
        <v>0</v>
      </c>
      <c r="P85" s="113" t="e">
        <f t="shared" si="4"/>
        <v>#DIV/0!</v>
      </c>
      <c r="Q85" s="113" t="e">
        <f t="shared" si="5"/>
        <v>#DIV/0!</v>
      </c>
      <c r="R85" s="113" t="e">
        <f t="shared" si="6"/>
        <v>#DIV/0!</v>
      </c>
      <c r="S85" s="113" t="e">
        <f t="shared" si="7"/>
        <v>#DIV/0!</v>
      </c>
      <c r="T85" s="43">
        <f aca="true" t="shared" si="8" ref="T85:T148">$B$11</f>
        <v>0</v>
      </c>
      <c r="U85" s="43"/>
      <c r="V85" s="525" t="e">
        <f>P85*('upper bound Kenaga'!$F$36/100)</f>
        <v>#DIV/0!</v>
      </c>
      <c r="W85" s="43"/>
      <c r="X85" s="525" t="e">
        <f>P85*('upper bound Kenaga'!$F$96/100)</f>
        <v>#DIV/0!</v>
      </c>
      <c r="Y85" s="43"/>
      <c r="Z85" s="43"/>
      <c r="AA85" s="43"/>
    </row>
    <row r="86" spans="9:27" ht="12.75">
      <c r="I86" s="16"/>
      <c r="M86" s="43">
        <f aca="true" t="shared" si="9" ref="M86:M149">(M85+1)</f>
        <v>65</v>
      </c>
      <c r="N86" s="43">
        <f aca="true" t="shared" si="10" ref="N86:N149">IF($B$9&gt;N85,IF(O85=($B$8-1),(N85+1),(N85)),(N85))</f>
        <v>1</v>
      </c>
      <c r="O86" s="43">
        <f aca="true" t="shared" si="11" ref="O86:O149">IF(O85&lt;($B$8-1),(1+O85),0)</f>
        <v>0</v>
      </c>
      <c r="P86" s="113" t="e">
        <f aca="true" t="shared" si="12" ref="P86:P149">IF((N86&gt;N85),(EXP(-$Q$16)*(P85)+$Q$11),((EXP(-$Q$16)*(P85))))</f>
        <v>#DIV/0!</v>
      </c>
      <c r="Q86" s="113" t="e">
        <f aca="true" t="shared" si="13" ref="Q86:Q149">IF((N86&gt;N85),(EXP(-$Q$16)*(Q85)+$Q$12),((EXP(-$Q$16)*(Q85))))</f>
        <v>#DIV/0!</v>
      </c>
      <c r="R86" s="113" t="e">
        <f aca="true" t="shared" si="14" ref="R86:R149">IF((N86&gt;N85),(EXP(-$Q$16)*(R85)+$Q$13),((EXP(-$Q$16)*(R85))))</f>
        <v>#DIV/0!</v>
      </c>
      <c r="S86" s="113" t="e">
        <f aca="true" t="shared" si="15" ref="S86:S149">IF((N86&gt;N85),(EXP(-$Q$16)*(S85)+$Q$14),((EXP(-$Q$16)*(S85))))</f>
        <v>#DIV/0!</v>
      </c>
      <c r="T86" s="43">
        <f t="shared" si="8"/>
        <v>0</v>
      </c>
      <c r="U86" s="43"/>
      <c r="V86" s="525" t="e">
        <f>P86*('upper bound Kenaga'!$F$36/100)</f>
        <v>#DIV/0!</v>
      </c>
      <c r="W86" s="43"/>
      <c r="X86" s="525" t="e">
        <f>P86*('upper bound Kenaga'!$F$96/100)</f>
        <v>#DIV/0!</v>
      </c>
      <c r="Y86" s="43"/>
      <c r="Z86" s="43"/>
      <c r="AA86" s="43"/>
    </row>
    <row r="87" spans="9:27" ht="12.75">
      <c r="I87" s="16"/>
      <c r="M87" s="43">
        <f t="shared" si="9"/>
        <v>66</v>
      </c>
      <c r="N87" s="43">
        <f t="shared" si="10"/>
        <v>1</v>
      </c>
      <c r="O87" s="43">
        <f t="shared" si="11"/>
        <v>0</v>
      </c>
      <c r="P87" s="113" t="e">
        <f t="shared" si="12"/>
        <v>#DIV/0!</v>
      </c>
      <c r="Q87" s="113" t="e">
        <f t="shared" si="13"/>
        <v>#DIV/0!</v>
      </c>
      <c r="R87" s="113" t="e">
        <f t="shared" si="14"/>
        <v>#DIV/0!</v>
      </c>
      <c r="S87" s="113" t="e">
        <f t="shared" si="15"/>
        <v>#DIV/0!</v>
      </c>
      <c r="T87" s="43">
        <f t="shared" si="8"/>
        <v>0</v>
      </c>
      <c r="U87" s="43"/>
      <c r="V87" s="525" t="e">
        <f>P87*('upper bound Kenaga'!$F$36/100)</f>
        <v>#DIV/0!</v>
      </c>
      <c r="W87" s="43"/>
      <c r="X87" s="525" t="e">
        <f>P87*('upper bound Kenaga'!$F$96/100)</f>
        <v>#DIV/0!</v>
      </c>
      <c r="Y87" s="43"/>
      <c r="Z87" s="43"/>
      <c r="AA87" s="43"/>
    </row>
    <row r="88" spans="9:27" ht="12.75">
      <c r="I88" s="16"/>
      <c r="M88" s="43">
        <f t="shared" si="9"/>
        <v>67</v>
      </c>
      <c r="N88" s="43">
        <f t="shared" si="10"/>
        <v>1</v>
      </c>
      <c r="O88" s="43">
        <f t="shared" si="11"/>
        <v>0</v>
      </c>
      <c r="P88" s="113" t="e">
        <f t="shared" si="12"/>
        <v>#DIV/0!</v>
      </c>
      <c r="Q88" s="113" t="e">
        <f t="shared" si="13"/>
        <v>#DIV/0!</v>
      </c>
      <c r="R88" s="113" t="e">
        <f t="shared" si="14"/>
        <v>#DIV/0!</v>
      </c>
      <c r="S88" s="113" t="e">
        <f t="shared" si="15"/>
        <v>#DIV/0!</v>
      </c>
      <c r="T88" s="43">
        <f t="shared" si="8"/>
        <v>0</v>
      </c>
      <c r="U88" s="43"/>
      <c r="V88" s="525" t="e">
        <f>P88*('upper bound Kenaga'!$F$36/100)</f>
        <v>#DIV/0!</v>
      </c>
      <c r="W88" s="43"/>
      <c r="X88" s="525" t="e">
        <f>P88*('upper bound Kenaga'!$F$96/100)</f>
        <v>#DIV/0!</v>
      </c>
      <c r="Y88" s="43"/>
      <c r="Z88" s="43"/>
      <c r="AA88" s="43"/>
    </row>
    <row r="89" spans="9:27" ht="12.75">
      <c r="I89" s="16"/>
      <c r="M89" s="43">
        <f t="shared" si="9"/>
        <v>68</v>
      </c>
      <c r="N89" s="43">
        <f t="shared" si="10"/>
        <v>1</v>
      </c>
      <c r="O89" s="43">
        <f t="shared" si="11"/>
        <v>0</v>
      </c>
      <c r="P89" s="113" t="e">
        <f t="shared" si="12"/>
        <v>#DIV/0!</v>
      </c>
      <c r="Q89" s="113" t="e">
        <f t="shared" si="13"/>
        <v>#DIV/0!</v>
      </c>
      <c r="R89" s="113" t="e">
        <f t="shared" si="14"/>
        <v>#DIV/0!</v>
      </c>
      <c r="S89" s="113" t="e">
        <f t="shared" si="15"/>
        <v>#DIV/0!</v>
      </c>
      <c r="T89" s="43">
        <f t="shared" si="8"/>
        <v>0</v>
      </c>
      <c r="U89" s="43"/>
      <c r="V89" s="525" t="e">
        <f>P89*('upper bound Kenaga'!$F$36/100)</f>
        <v>#DIV/0!</v>
      </c>
      <c r="W89" s="43"/>
      <c r="X89" s="525" t="e">
        <f>P89*('upper bound Kenaga'!$F$96/100)</f>
        <v>#DIV/0!</v>
      </c>
      <c r="Y89" s="43"/>
      <c r="Z89" s="43"/>
      <c r="AA89" s="43"/>
    </row>
    <row r="90" spans="13:27" ht="12.75">
      <c r="M90" s="43">
        <f t="shared" si="9"/>
        <v>69</v>
      </c>
      <c r="N90" s="43">
        <f t="shared" si="10"/>
        <v>1</v>
      </c>
      <c r="O90" s="43">
        <f t="shared" si="11"/>
        <v>0</v>
      </c>
      <c r="P90" s="113" t="e">
        <f t="shared" si="12"/>
        <v>#DIV/0!</v>
      </c>
      <c r="Q90" s="113" t="e">
        <f t="shared" si="13"/>
        <v>#DIV/0!</v>
      </c>
      <c r="R90" s="113" t="e">
        <f t="shared" si="14"/>
        <v>#DIV/0!</v>
      </c>
      <c r="S90" s="113" t="e">
        <f t="shared" si="15"/>
        <v>#DIV/0!</v>
      </c>
      <c r="T90" s="43">
        <f t="shared" si="8"/>
        <v>0</v>
      </c>
      <c r="U90" s="43"/>
      <c r="V90" s="525" t="e">
        <f>P90*('upper bound Kenaga'!$F$36/100)</f>
        <v>#DIV/0!</v>
      </c>
      <c r="W90" s="43"/>
      <c r="X90" s="525" t="e">
        <f>P90*('upper bound Kenaga'!$F$96/100)</f>
        <v>#DIV/0!</v>
      </c>
      <c r="Y90" s="43"/>
      <c r="Z90" s="43"/>
      <c r="AA90" s="43"/>
    </row>
    <row r="91" spans="13:27" ht="12.75">
      <c r="M91" s="43">
        <f t="shared" si="9"/>
        <v>70</v>
      </c>
      <c r="N91" s="43">
        <f t="shared" si="10"/>
        <v>1</v>
      </c>
      <c r="O91" s="43">
        <f t="shared" si="11"/>
        <v>0</v>
      </c>
      <c r="P91" s="113" t="e">
        <f t="shared" si="12"/>
        <v>#DIV/0!</v>
      </c>
      <c r="Q91" s="113" t="e">
        <f t="shared" si="13"/>
        <v>#DIV/0!</v>
      </c>
      <c r="R91" s="113" t="e">
        <f t="shared" si="14"/>
        <v>#DIV/0!</v>
      </c>
      <c r="S91" s="113" t="e">
        <f t="shared" si="15"/>
        <v>#DIV/0!</v>
      </c>
      <c r="T91" s="43">
        <f t="shared" si="8"/>
        <v>0</v>
      </c>
      <c r="U91" s="43"/>
      <c r="V91" s="525" t="e">
        <f>P91*('upper bound Kenaga'!$F$36/100)</f>
        <v>#DIV/0!</v>
      </c>
      <c r="W91" s="43"/>
      <c r="X91" s="525" t="e">
        <f>P91*('upper bound Kenaga'!$F$96/100)</f>
        <v>#DIV/0!</v>
      </c>
      <c r="Y91" s="43"/>
      <c r="Z91" s="43"/>
      <c r="AA91" s="43"/>
    </row>
    <row r="92" spans="1:27" ht="12.75">
      <c r="A92" s="111">
        <f>B3</f>
        <v>0</v>
      </c>
      <c r="B92" s="111">
        <f>B4</f>
        <v>0</v>
      </c>
      <c r="C92" s="33"/>
      <c r="D92" s="34"/>
      <c r="E92" s="33" t="s">
        <v>76</v>
      </c>
      <c r="M92" s="43">
        <f t="shared" si="9"/>
        <v>71</v>
      </c>
      <c r="N92" s="43">
        <f t="shared" si="10"/>
        <v>1</v>
      </c>
      <c r="O92" s="43">
        <f t="shared" si="11"/>
        <v>0</v>
      </c>
      <c r="P92" s="113" t="e">
        <f t="shared" si="12"/>
        <v>#DIV/0!</v>
      </c>
      <c r="Q92" s="113" t="e">
        <f t="shared" si="13"/>
        <v>#DIV/0!</v>
      </c>
      <c r="R92" s="113" t="e">
        <f t="shared" si="14"/>
        <v>#DIV/0!</v>
      </c>
      <c r="S92" s="113" t="e">
        <f t="shared" si="15"/>
        <v>#DIV/0!</v>
      </c>
      <c r="T92" s="43">
        <f t="shared" si="8"/>
        <v>0</v>
      </c>
      <c r="U92" s="43"/>
      <c r="V92" s="525" t="e">
        <f>P92*('upper bound Kenaga'!$F$36/100)</f>
        <v>#DIV/0!</v>
      </c>
      <c r="W92" s="43"/>
      <c r="X92" s="525" t="e">
        <f>P92*('upper bound Kenaga'!$F$96/100)</f>
        <v>#DIV/0!</v>
      </c>
      <c r="Y92" s="43"/>
      <c r="Z92" s="43"/>
      <c r="AA92" s="43"/>
    </row>
    <row r="93" spans="1:27" ht="21" thickBot="1">
      <c r="A93" s="18" t="s">
        <v>66</v>
      </c>
      <c r="B93" s="21"/>
      <c r="C93" s="21"/>
      <c r="D93" s="22"/>
      <c r="E93" s="21"/>
      <c r="F93" s="23"/>
      <c r="G93" s="24"/>
      <c r="H93" s="23"/>
      <c r="M93" s="43">
        <f t="shared" si="9"/>
        <v>72</v>
      </c>
      <c r="N93" s="43">
        <f t="shared" si="10"/>
        <v>1</v>
      </c>
      <c r="O93" s="43">
        <f t="shared" si="11"/>
        <v>0</v>
      </c>
      <c r="P93" s="113" t="e">
        <f t="shared" si="12"/>
        <v>#DIV/0!</v>
      </c>
      <c r="Q93" s="113" t="e">
        <f t="shared" si="13"/>
        <v>#DIV/0!</v>
      </c>
      <c r="R93" s="113" t="e">
        <f t="shared" si="14"/>
        <v>#DIV/0!</v>
      </c>
      <c r="S93" s="113" t="e">
        <f t="shared" si="15"/>
        <v>#DIV/0!</v>
      </c>
      <c r="T93" s="43">
        <f t="shared" si="8"/>
        <v>0</v>
      </c>
      <c r="U93" s="43"/>
      <c r="V93" s="525" t="e">
        <f>P93*('upper bound Kenaga'!$F$36/100)</f>
        <v>#DIV/0!</v>
      </c>
      <c r="W93" s="43"/>
      <c r="X93" s="525" t="e">
        <f>P93*('upper bound Kenaga'!$F$96/100)</f>
        <v>#DIV/0!</v>
      </c>
      <c r="Y93" s="43"/>
      <c r="Z93" s="43"/>
      <c r="AA93" s="43"/>
    </row>
    <row r="94" spans="3:27" ht="14.25" thickBot="1" thickTop="1">
      <c r="C94" s="9"/>
      <c r="F94" s="15"/>
      <c r="G94" s="14"/>
      <c r="H94" s="15"/>
      <c r="M94" s="43">
        <f t="shared" si="9"/>
        <v>73</v>
      </c>
      <c r="N94" s="43">
        <f t="shared" si="10"/>
        <v>1</v>
      </c>
      <c r="O94" s="43">
        <f t="shared" si="11"/>
        <v>0</v>
      </c>
      <c r="P94" s="113" t="e">
        <f t="shared" si="12"/>
        <v>#DIV/0!</v>
      </c>
      <c r="Q94" s="113" t="e">
        <f t="shared" si="13"/>
        <v>#DIV/0!</v>
      </c>
      <c r="R94" s="113" t="e">
        <f t="shared" si="14"/>
        <v>#DIV/0!</v>
      </c>
      <c r="S94" s="113" t="e">
        <f t="shared" si="15"/>
        <v>#DIV/0!</v>
      </c>
      <c r="T94" s="43">
        <f t="shared" si="8"/>
        <v>0</v>
      </c>
      <c r="U94" s="43"/>
      <c r="V94" s="525" t="e">
        <f>P94*('upper bound Kenaga'!$F$36/100)</f>
        <v>#DIV/0!</v>
      </c>
      <c r="W94" s="43"/>
      <c r="X94" s="525" t="e">
        <f>P94*('upper bound Kenaga'!$F$96/100)</f>
        <v>#DIV/0!</v>
      </c>
      <c r="Y94" s="43"/>
      <c r="Z94" s="43"/>
      <c r="AA94" s="43"/>
    </row>
    <row r="95" spans="2:27" ht="12.75" customHeight="1">
      <c r="B95" s="410" t="s">
        <v>20</v>
      </c>
      <c r="C95" s="505" t="s">
        <v>52</v>
      </c>
      <c r="D95" s="505" t="s">
        <v>54</v>
      </c>
      <c r="E95" s="560" t="s">
        <v>195</v>
      </c>
      <c r="F95" s="561" t="s">
        <v>195</v>
      </c>
      <c r="G95" s="14"/>
      <c r="H95" s="15"/>
      <c r="M95" s="43">
        <f t="shared" si="9"/>
        <v>74</v>
      </c>
      <c r="N95" s="43">
        <f t="shared" si="10"/>
        <v>1</v>
      </c>
      <c r="O95" s="43">
        <f t="shared" si="11"/>
        <v>0</v>
      </c>
      <c r="P95" s="113" t="e">
        <f t="shared" si="12"/>
        <v>#DIV/0!</v>
      </c>
      <c r="Q95" s="113" t="e">
        <f t="shared" si="13"/>
        <v>#DIV/0!</v>
      </c>
      <c r="R95" s="113" t="e">
        <f t="shared" si="14"/>
        <v>#DIV/0!</v>
      </c>
      <c r="S95" s="113" t="e">
        <f t="shared" si="15"/>
        <v>#DIV/0!</v>
      </c>
      <c r="T95" s="43">
        <f t="shared" si="8"/>
        <v>0</v>
      </c>
      <c r="U95" s="43"/>
      <c r="V95" s="525" t="e">
        <f>P95*('upper bound Kenaga'!$F$36/100)</f>
        <v>#DIV/0!</v>
      </c>
      <c r="W95" s="43"/>
      <c r="X95" s="525" t="e">
        <f>P95*('upper bound Kenaga'!$F$96/100)</f>
        <v>#DIV/0!</v>
      </c>
      <c r="Y95" s="43"/>
      <c r="Z95" s="43"/>
      <c r="AA95" s="43"/>
    </row>
    <row r="96" spans="2:27" ht="12.75">
      <c r="B96" s="414" t="s">
        <v>51</v>
      </c>
      <c r="C96" s="508" t="s">
        <v>53</v>
      </c>
      <c r="D96" s="508" t="s">
        <v>55</v>
      </c>
      <c r="E96" s="562" t="s">
        <v>196</v>
      </c>
      <c r="F96" s="504" t="s">
        <v>102</v>
      </c>
      <c r="M96" s="43">
        <f t="shared" si="9"/>
        <v>75</v>
      </c>
      <c r="N96" s="43">
        <f t="shared" si="10"/>
        <v>1</v>
      </c>
      <c r="O96" s="43">
        <f t="shared" si="11"/>
        <v>0</v>
      </c>
      <c r="P96" s="113" t="e">
        <f t="shared" si="12"/>
        <v>#DIV/0!</v>
      </c>
      <c r="Q96" s="113" t="e">
        <f t="shared" si="13"/>
        <v>#DIV/0!</v>
      </c>
      <c r="R96" s="113" t="e">
        <f t="shared" si="14"/>
        <v>#DIV/0!</v>
      </c>
      <c r="S96" s="113" t="e">
        <f t="shared" si="15"/>
        <v>#DIV/0!</v>
      </c>
      <c r="T96" s="43">
        <f t="shared" si="8"/>
        <v>0</v>
      </c>
      <c r="U96" s="43"/>
      <c r="V96" s="525" t="e">
        <f>P96*('upper bound Kenaga'!$F$36/100)</f>
        <v>#DIV/0!</v>
      </c>
      <c r="W96" s="43"/>
      <c r="X96" s="525" t="e">
        <f>P96*('upper bound Kenaga'!$F$96/100)</f>
        <v>#DIV/0!</v>
      </c>
      <c r="Y96" s="43"/>
      <c r="Z96" s="43"/>
      <c r="AA96" s="43"/>
    </row>
    <row r="97" spans="2:27" ht="12.75">
      <c r="B97" s="554"/>
      <c r="C97" s="453">
        <f>INPUTS!C16</f>
        <v>15</v>
      </c>
      <c r="D97" s="466">
        <f>'upper bound Kenaga'!F96</f>
        <v>95.34234195254274</v>
      </c>
      <c r="E97" s="555">
        <f>'upper bound Kenaga'!D105</f>
        <v>0</v>
      </c>
      <c r="F97" s="556">
        <f>'upper bound Kenaga'!E105</f>
        <v>0</v>
      </c>
      <c r="M97" s="43">
        <f t="shared" si="9"/>
        <v>76</v>
      </c>
      <c r="N97" s="43">
        <f t="shared" si="10"/>
        <v>1</v>
      </c>
      <c r="O97" s="43">
        <f t="shared" si="11"/>
        <v>0</v>
      </c>
      <c r="P97" s="113" t="e">
        <f t="shared" si="12"/>
        <v>#DIV/0!</v>
      </c>
      <c r="Q97" s="113" t="e">
        <f t="shared" si="13"/>
        <v>#DIV/0!</v>
      </c>
      <c r="R97" s="113" t="e">
        <f t="shared" si="14"/>
        <v>#DIV/0!</v>
      </c>
      <c r="S97" s="113" t="e">
        <f t="shared" si="15"/>
        <v>#DIV/0!</v>
      </c>
      <c r="T97" s="43">
        <f t="shared" si="8"/>
        <v>0</v>
      </c>
      <c r="U97" s="43"/>
      <c r="V97" s="525" t="e">
        <f>P97*('upper bound Kenaga'!$F$36/100)</f>
        <v>#DIV/0!</v>
      </c>
      <c r="W97" s="43"/>
      <c r="X97" s="525" t="e">
        <f>P97*('upper bound Kenaga'!$F$96/100)</f>
        <v>#DIV/0!</v>
      </c>
      <c r="Y97" s="43"/>
      <c r="Z97" s="43"/>
      <c r="AA97" s="43"/>
    </row>
    <row r="98" spans="2:27" ht="12.75">
      <c r="B98" s="554" t="s">
        <v>42</v>
      </c>
      <c r="C98" s="453">
        <f>INPUTS!C17</f>
        <v>35</v>
      </c>
      <c r="D98" s="466">
        <f>'upper bound Kenaga'!F97</f>
        <v>65.89431340853535</v>
      </c>
      <c r="E98" s="457">
        <f>'upper bound Kenaga'!D106</f>
        <v>0</v>
      </c>
      <c r="F98" s="557">
        <f>'upper bound Kenaga'!E106</f>
        <v>0</v>
      </c>
      <c r="M98" s="43">
        <f t="shared" si="9"/>
        <v>77</v>
      </c>
      <c r="N98" s="43">
        <f t="shared" si="10"/>
        <v>1</v>
      </c>
      <c r="O98" s="43">
        <f t="shared" si="11"/>
        <v>0</v>
      </c>
      <c r="P98" s="113" t="e">
        <f t="shared" si="12"/>
        <v>#DIV/0!</v>
      </c>
      <c r="Q98" s="113" t="e">
        <f t="shared" si="13"/>
        <v>#DIV/0!</v>
      </c>
      <c r="R98" s="113" t="e">
        <f t="shared" si="14"/>
        <v>#DIV/0!</v>
      </c>
      <c r="S98" s="113" t="e">
        <f t="shared" si="15"/>
        <v>#DIV/0!</v>
      </c>
      <c r="T98" s="43">
        <f t="shared" si="8"/>
        <v>0</v>
      </c>
      <c r="U98" s="43"/>
      <c r="V98" s="525" t="e">
        <f>P98*('upper bound Kenaga'!$F$36/100)</f>
        <v>#DIV/0!</v>
      </c>
      <c r="W98" s="43"/>
      <c r="X98" s="525" t="e">
        <f>P98*('upper bound Kenaga'!$F$96/100)</f>
        <v>#DIV/0!</v>
      </c>
      <c r="Y98" s="43"/>
      <c r="Z98" s="43"/>
      <c r="AA98" s="43"/>
    </row>
    <row r="99" spans="2:27" ht="12.75">
      <c r="B99" s="558" t="s">
        <v>43</v>
      </c>
      <c r="C99" s="452">
        <f>INPUTS!C18</f>
        <v>1000</v>
      </c>
      <c r="D99" s="567">
        <f>'upper bound Kenaga'!F98</f>
        <v>15.277827582909042</v>
      </c>
      <c r="E99" s="459">
        <f>'upper bound Kenaga'!D107</f>
        <v>0</v>
      </c>
      <c r="F99" s="559">
        <f>'upper bound Kenaga'!E107</f>
        <v>0</v>
      </c>
      <c r="M99" s="43">
        <f t="shared" si="9"/>
        <v>78</v>
      </c>
      <c r="N99" s="43">
        <f t="shared" si="10"/>
        <v>1</v>
      </c>
      <c r="O99" s="43">
        <f t="shared" si="11"/>
        <v>0</v>
      </c>
      <c r="P99" s="113" t="e">
        <f t="shared" si="12"/>
        <v>#DIV/0!</v>
      </c>
      <c r="Q99" s="113" t="e">
        <f t="shared" si="13"/>
        <v>#DIV/0!</v>
      </c>
      <c r="R99" s="113" t="e">
        <f t="shared" si="14"/>
        <v>#DIV/0!</v>
      </c>
      <c r="S99" s="113" t="e">
        <f t="shared" si="15"/>
        <v>#DIV/0!</v>
      </c>
      <c r="T99" s="43">
        <f t="shared" si="8"/>
        <v>0</v>
      </c>
      <c r="U99" s="43"/>
      <c r="V99" s="525" t="e">
        <f>P99*('upper bound Kenaga'!$F$36/100)</f>
        <v>#DIV/0!</v>
      </c>
      <c r="W99" s="43"/>
      <c r="X99" s="525" t="e">
        <f>P99*('upper bound Kenaga'!$F$96/100)</f>
        <v>#DIV/0!</v>
      </c>
      <c r="Y99" s="43"/>
      <c r="Z99" s="43"/>
      <c r="AA99" s="43"/>
    </row>
    <row r="100" spans="2:27" ht="12.75">
      <c r="B100" s="554"/>
      <c r="C100" s="453">
        <f>C97</f>
        <v>15</v>
      </c>
      <c r="D100" s="466">
        <f>'upper bound Kenaga'!F99</f>
        <v>21.187187100565055</v>
      </c>
      <c r="E100" s="457">
        <f aca="true" t="shared" si="16" ref="E100:F102">E97</f>
        <v>0</v>
      </c>
      <c r="F100" s="557">
        <f t="shared" si="16"/>
        <v>0</v>
      </c>
      <c r="M100" s="43">
        <f t="shared" si="9"/>
        <v>79</v>
      </c>
      <c r="N100" s="43">
        <f t="shared" si="10"/>
        <v>1</v>
      </c>
      <c r="O100" s="43">
        <f t="shared" si="11"/>
        <v>0</v>
      </c>
      <c r="P100" s="113" t="e">
        <f t="shared" si="12"/>
        <v>#DIV/0!</v>
      </c>
      <c r="Q100" s="113" t="e">
        <f t="shared" si="13"/>
        <v>#DIV/0!</v>
      </c>
      <c r="R100" s="113" t="e">
        <f t="shared" si="14"/>
        <v>#DIV/0!</v>
      </c>
      <c r="S100" s="113" t="e">
        <f t="shared" si="15"/>
        <v>#DIV/0!</v>
      </c>
      <c r="T100" s="43">
        <f t="shared" si="8"/>
        <v>0</v>
      </c>
      <c r="U100" s="43"/>
      <c r="V100" s="525" t="e">
        <f>P100*('upper bound Kenaga'!$F$36/100)</f>
        <v>#DIV/0!</v>
      </c>
      <c r="W100" s="43"/>
      <c r="X100" s="525" t="e">
        <f>P100*('upper bound Kenaga'!$F$96/100)</f>
        <v>#DIV/0!</v>
      </c>
      <c r="Y100" s="43"/>
      <c r="Z100" s="43"/>
      <c r="AA100" s="43"/>
    </row>
    <row r="101" spans="2:27" ht="12.75">
      <c r="B101" s="554" t="s">
        <v>75</v>
      </c>
      <c r="C101" s="453">
        <f>C98</f>
        <v>35</v>
      </c>
      <c r="D101" s="466">
        <f>'upper bound Kenaga'!F100</f>
        <v>14.643180757452301</v>
      </c>
      <c r="E101" s="457">
        <f t="shared" si="16"/>
        <v>0</v>
      </c>
      <c r="F101" s="557">
        <f t="shared" si="16"/>
        <v>0</v>
      </c>
      <c r="M101" s="43">
        <f t="shared" si="9"/>
        <v>80</v>
      </c>
      <c r="N101" s="43">
        <f t="shared" si="10"/>
        <v>1</v>
      </c>
      <c r="O101" s="43">
        <f t="shared" si="11"/>
        <v>0</v>
      </c>
      <c r="P101" s="113" t="e">
        <f t="shared" si="12"/>
        <v>#DIV/0!</v>
      </c>
      <c r="Q101" s="113" t="e">
        <f t="shared" si="13"/>
        <v>#DIV/0!</v>
      </c>
      <c r="R101" s="113" t="e">
        <f t="shared" si="14"/>
        <v>#DIV/0!</v>
      </c>
      <c r="S101" s="113" t="e">
        <f t="shared" si="15"/>
        <v>#DIV/0!</v>
      </c>
      <c r="T101" s="43">
        <f t="shared" si="8"/>
        <v>0</v>
      </c>
      <c r="U101" s="43"/>
      <c r="V101" s="525" t="e">
        <f>P101*('upper bound Kenaga'!$F$36/100)</f>
        <v>#DIV/0!</v>
      </c>
      <c r="W101" s="43"/>
      <c r="X101" s="525" t="e">
        <f>P101*('upper bound Kenaga'!$F$96/100)</f>
        <v>#DIV/0!</v>
      </c>
      <c r="Y101" s="43"/>
      <c r="Z101" s="43"/>
      <c r="AA101" s="43"/>
    </row>
    <row r="102" spans="2:27" ht="13.5" thickBot="1">
      <c r="B102" s="549"/>
      <c r="C102" s="460">
        <f>C99</f>
        <v>1000</v>
      </c>
      <c r="D102" s="553">
        <f>'upper bound Kenaga'!F101</f>
        <v>3.3950727962020095</v>
      </c>
      <c r="E102" s="461">
        <f t="shared" si="16"/>
        <v>0</v>
      </c>
      <c r="F102" s="386">
        <f t="shared" si="16"/>
        <v>0</v>
      </c>
      <c r="M102" s="43">
        <f t="shared" si="9"/>
        <v>81</v>
      </c>
      <c r="N102" s="43">
        <f t="shared" si="10"/>
        <v>1</v>
      </c>
      <c r="O102" s="43">
        <f t="shared" si="11"/>
        <v>0</v>
      </c>
      <c r="P102" s="113" t="e">
        <f t="shared" si="12"/>
        <v>#DIV/0!</v>
      </c>
      <c r="Q102" s="113" t="e">
        <f t="shared" si="13"/>
        <v>#DIV/0!</v>
      </c>
      <c r="R102" s="113" t="e">
        <f t="shared" si="14"/>
        <v>#DIV/0!</v>
      </c>
      <c r="S102" s="113" t="e">
        <f t="shared" si="15"/>
        <v>#DIV/0!</v>
      </c>
      <c r="T102" s="43">
        <f t="shared" si="8"/>
        <v>0</v>
      </c>
      <c r="U102" s="43"/>
      <c r="V102" s="525" t="e">
        <f>P102*('upper bound Kenaga'!$F$36/100)</f>
        <v>#DIV/0!</v>
      </c>
      <c r="W102" s="43"/>
      <c r="X102" s="525" t="e">
        <f>P102*('upper bound Kenaga'!$F$96/100)</f>
        <v>#DIV/0!</v>
      </c>
      <c r="Y102" s="43"/>
      <c r="Z102" s="43"/>
      <c r="AA102" s="43"/>
    </row>
    <row r="103" spans="1:27" ht="13.5" thickBot="1">
      <c r="A103" s="8"/>
      <c r="M103" s="43">
        <f t="shared" si="9"/>
        <v>82</v>
      </c>
      <c r="N103" s="43">
        <f t="shared" si="10"/>
        <v>1</v>
      </c>
      <c r="O103" s="43">
        <f t="shared" si="11"/>
        <v>0</v>
      </c>
      <c r="P103" s="113" t="e">
        <f t="shared" si="12"/>
        <v>#DIV/0!</v>
      </c>
      <c r="Q103" s="113" t="e">
        <f t="shared" si="13"/>
        <v>#DIV/0!</v>
      </c>
      <c r="R103" s="113" t="e">
        <f t="shared" si="14"/>
        <v>#DIV/0!</v>
      </c>
      <c r="S103" s="113" t="e">
        <f t="shared" si="15"/>
        <v>#DIV/0!</v>
      </c>
      <c r="T103" s="43">
        <f t="shared" si="8"/>
        <v>0</v>
      </c>
      <c r="U103" s="43"/>
      <c r="V103" s="525" t="e">
        <f>P103*('upper bound Kenaga'!$F$36/100)</f>
        <v>#DIV/0!</v>
      </c>
      <c r="W103" s="43"/>
      <c r="X103" s="525" t="e">
        <f>P103*('upper bound Kenaga'!$F$96/100)</f>
        <v>#DIV/0!</v>
      </c>
      <c r="Y103" s="43"/>
      <c r="Z103" s="43"/>
      <c r="AA103" s="43"/>
    </row>
    <row r="104" spans="1:27" ht="12.75">
      <c r="A104" s="919" t="s">
        <v>351</v>
      </c>
      <c r="B104" s="825" t="s">
        <v>472</v>
      </c>
      <c r="C104" s="826"/>
      <c r="D104" s="826"/>
      <c r="E104" s="826"/>
      <c r="F104" s="826"/>
      <c r="G104" s="915"/>
      <c r="M104" s="43">
        <f t="shared" si="9"/>
        <v>83</v>
      </c>
      <c r="N104" s="43">
        <f t="shared" si="10"/>
        <v>1</v>
      </c>
      <c r="O104" s="43">
        <f t="shared" si="11"/>
        <v>0</v>
      </c>
      <c r="P104" s="113" t="e">
        <f t="shared" si="12"/>
        <v>#DIV/0!</v>
      </c>
      <c r="Q104" s="113" t="e">
        <f t="shared" si="13"/>
        <v>#DIV/0!</v>
      </c>
      <c r="R104" s="113" t="e">
        <f t="shared" si="14"/>
        <v>#DIV/0!</v>
      </c>
      <c r="S104" s="113" t="e">
        <f t="shared" si="15"/>
        <v>#DIV/0!</v>
      </c>
      <c r="T104" s="43">
        <f t="shared" si="8"/>
        <v>0</v>
      </c>
      <c r="U104" s="43"/>
      <c r="V104" s="525" t="e">
        <f>P104*('upper bound Kenaga'!$F$36/100)</f>
        <v>#DIV/0!</v>
      </c>
      <c r="W104" s="43"/>
      <c r="X104" s="525" t="e">
        <f>P104*('upper bound Kenaga'!$F$96/100)</f>
        <v>#DIV/0!</v>
      </c>
      <c r="Y104" s="43"/>
      <c r="Z104" s="43"/>
      <c r="AA104" s="43"/>
    </row>
    <row r="105" spans="1:27" ht="12.75">
      <c r="A105" s="920"/>
      <c r="B105" s="916" t="s">
        <v>57</v>
      </c>
      <c r="C105" s="869"/>
      <c r="D105" s="917"/>
      <c r="E105" s="868" t="s">
        <v>58</v>
      </c>
      <c r="F105" s="869"/>
      <c r="G105" s="870"/>
      <c r="M105" s="43">
        <f t="shared" si="9"/>
        <v>84</v>
      </c>
      <c r="N105" s="43">
        <f t="shared" si="10"/>
        <v>1</v>
      </c>
      <c r="O105" s="43">
        <f t="shared" si="11"/>
        <v>0</v>
      </c>
      <c r="P105" s="113" t="e">
        <f t="shared" si="12"/>
        <v>#DIV/0!</v>
      </c>
      <c r="Q105" s="113" t="e">
        <f t="shared" si="13"/>
        <v>#DIV/0!</v>
      </c>
      <c r="R105" s="113" t="e">
        <f t="shared" si="14"/>
        <v>#DIV/0!</v>
      </c>
      <c r="S105" s="113" t="e">
        <f t="shared" si="15"/>
        <v>#DIV/0!</v>
      </c>
      <c r="T105" s="43">
        <f t="shared" si="8"/>
        <v>0</v>
      </c>
      <c r="U105" s="43"/>
      <c r="V105" s="525" t="e">
        <f>P105*('upper bound Kenaga'!$F$36/100)</f>
        <v>#DIV/0!</v>
      </c>
      <c r="W105" s="43"/>
      <c r="X105" s="525" t="e">
        <f>P105*('upper bound Kenaga'!$F$96/100)</f>
        <v>#DIV/0!</v>
      </c>
      <c r="Y105" s="43"/>
      <c r="Z105" s="43"/>
      <c r="AA105" s="43"/>
    </row>
    <row r="106" spans="1:27" ht="13.5" thickBot="1">
      <c r="A106" s="921"/>
      <c r="B106" s="510">
        <f>C97</f>
        <v>15</v>
      </c>
      <c r="C106" s="511">
        <f>C98</f>
        <v>35</v>
      </c>
      <c r="D106" s="511">
        <f>C99</f>
        <v>1000</v>
      </c>
      <c r="E106" s="510">
        <f>C97</f>
        <v>15</v>
      </c>
      <c r="F106" s="511">
        <f>C98</f>
        <v>35</v>
      </c>
      <c r="G106" s="423">
        <f>C99</f>
        <v>1000</v>
      </c>
      <c r="M106" s="43">
        <f t="shared" si="9"/>
        <v>85</v>
      </c>
      <c r="N106" s="43">
        <f t="shared" si="10"/>
        <v>1</v>
      </c>
      <c r="O106" s="43">
        <f t="shared" si="11"/>
        <v>0</v>
      </c>
      <c r="P106" s="113" t="e">
        <f t="shared" si="12"/>
        <v>#DIV/0!</v>
      </c>
      <c r="Q106" s="113" t="e">
        <f t="shared" si="13"/>
        <v>#DIV/0!</v>
      </c>
      <c r="R106" s="113" t="e">
        <f t="shared" si="14"/>
        <v>#DIV/0!</v>
      </c>
      <c r="S106" s="113" t="e">
        <f t="shared" si="15"/>
        <v>#DIV/0!</v>
      </c>
      <c r="T106" s="43">
        <f t="shared" si="8"/>
        <v>0</v>
      </c>
      <c r="U106" s="43"/>
      <c r="V106" s="525" t="e">
        <f>P106*('upper bound Kenaga'!$F$36/100)</f>
        <v>#DIV/0!</v>
      </c>
      <c r="W106" s="43"/>
      <c r="X106" s="525" t="e">
        <f>P106*('upper bound Kenaga'!$F$96/100)</f>
        <v>#DIV/0!</v>
      </c>
      <c r="Y106" s="43"/>
      <c r="Z106" s="43"/>
      <c r="AA106" s="43"/>
    </row>
    <row r="107" spans="1:27" ht="13.5" thickTop="1">
      <c r="A107" s="542" t="s">
        <v>18</v>
      </c>
      <c r="B107" s="427" t="e">
        <f>$B$27*($D$97/100)</f>
        <v>#DIV/0!</v>
      </c>
      <c r="C107" s="427" t="e">
        <f>B27*($D$98/100)</f>
        <v>#DIV/0!</v>
      </c>
      <c r="D107" s="427" t="e">
        <f>B27*($D$99/100)</f>
        <v>#DIV/0!</v>
      </c>
      <c r="E107" s="462"/>
      <c r="F107" s="462"/>
      <c r="G107" s="463"/>
      <c r="M107" s="43">
        <f t="shared" si="9"/>
        <v>86</v>
      </c>
      <c r="N107" s="43">
        <f t="shared" si="10"/>
        <v>1</v>
      </c>
      <c r="O107" s="43">
        <f t="shared" si="11"/>
        <v>0</v>
      </c>
      <c r="P107" s="113" t="e">
        <f t="shared" si="12"/>
        <v>#DIV/0!</v>
      </c>
      <c r="Q107" s="113" t="e">
        <f t="shared" si="13"/>
        <v>#DIV/0!</v>
      </c>
      <c r="R107" s="113" t="e">
        <f t="shared" si="14"/>
        <v>#DIV/0!</v>
      </c>
      <c r="S107" s="113" t="e">
        <f t="shared" si="15"/>
        <v>#DIV/0!</v>
      </c>
      <c r="T107" s="43">
        <f t="shared" si="8"/>
        <v>0</v>
      </c>
      <c r="U107" s="43"/>
      <c r="V107" s="525" t="e">
        <f>P107*('upper bound Kenaga'!$F$36/100)</f>
        <v>#DIV/0!</v>
      </c>
      <c r="W107" s="43"/>
      <c r="X107" s="525" t="e">
        <f>P107*('upper bound Kenaga'!$F$96/100)</f>
        <v>#DIV/0!</v>
      </c>
      <c r="Y107" s="43"/>
      <c r="Z107" s="43"/>
      <c r="AA107" s="43"/>
    </row>
    <row r="108" spans="1:27" ht="12.75">
      <c r="A108" s="542" t="s">
        <v>21</v>
      </c>
      <c r="B108" s="427" t="e">
        <f>B28*($D$97/100)</f>
        <v>#DIV/0!</v>
      </c>
      <c r="C108" s="427" t="e">
        <f>B28*($D$98/100)</f>
        <v>#DIV/0!</v>
      </c>
      <c r="D108" s="427" t="e">
        <f>B28*($D$99/100)</f>
        <v>#DIV/0!</v>
      </c>
      <c r="E108" s="464"/>
      <c r="F108" s="464"/>
      <c r="G108" s="463"/>
      <c r="M108" s="43">
        <f t="shared" si="9"/>
        <v>87</v>
      </c>
      <c r="N108" s="43">
        <f t="shared" si="10"/>
        <v>1</v>
      </c>
      <c r="O108" s="43">
        <f t="shared" si="11"/>
        <v>0</v>
      </c>
      <c r="P108" s="113" t="e">
        <f t="shared" si="12"/>
        <v>#DIV/0!</v>
      </c>
      <c r="Q108" s="113" t="e">
        <f t="shared" si="13"/>
        <v>#DIV/0!</v>
      </c>
      <c r="R108" s="113" t="e">
        <f t="shared" si="14"/>
        <v>#DIV/0!</v>
      </c>
      <c r="S108" s="113" t="e">
        <f t="shared" si="15"/>
        <v>#DIV/0!</v>
      </c>
      <c r="T108" s="43">
        <f t="shared" si="8"/>
        <v>0</v>
      </c>
      <c r="U108" s="43"/>
      <c r="V108" s="525" t="e">
        <f>P108*('upper bound Kenaga'!$F$36/100)</f>
        <v>#DIV/0!</v>
      </c>
      <c r="W108" s="43"/>
      <c r="X108" s="525" t="e">
        <f>P108*('upper bound Kenaga'!$F$96/100)</f>
        <v>#DIV/0!</v>
      </c>
      <c r="Y108" s="43"/>
      <c r="Z108" s="43"/>
      <c r="AA108" s="43"/>
    </row>
    <row r="109" spans="1:27" ht="12.75">
      <c r="A109" s="542" t="s">
        <v>37</v>
      </c>
      <c r="B109" s="427" t="e">
        <f>B29*($D$97/100)</f>
        <v>#DIV/0!</v>
      </c>
      <c r="C109" s="427" t="e">
        <f>B29*($D$98/100)</f>
        <v>#DIV/0!</v>
      </c>
      <c r="D109" s="427" t="e">
        <f>B29*($D$99/100)</f>
        <v>#DIV/0!</v>
      </c>
      <c r="E109" s="464"/>
      <c r="F109" s="464"/>
      <c r="G109" s="463"/>
      <c r="H109" s="11"/>
      <c r="M109" s="43">
        <f t="shared" si="9"/>
        <v>88</v>
      </c>
      <c r="N109" s="43">
        <f t="shared" si="10"/>
        <v>1</v>
      </c>
      <c r="O109" s="43">
        <f t="shared" si="11"/>
        <v>0</v>
      </c>
      <c r="P109" s="113" t="e">
        <f t="shared" si="12"/>
        <v>#DIV/0!</v>
      </c>
      <c r="Q109" s="113" t="e">
        <f t="shared" si="13"/>
        <v>#DIV/0!</v>
      </c>
      <c r="R109" s="113" t="e">
        <f t="shared" si="14"/>
        <v>#DIV/0!</v>
      </c>
      <c r="S109" s="113" t="e">
        <f t="shared" si="15"/>
        <v>#DIV/0!</v>
      </c>
      <c r="T109" s="43">
        <f t="shared" si="8"/>
        <v>0</v>
      </c>
      <c r="U109" s="43"/>
      <c r="V109" s="525" t="e">
        <f>P109*('upper bound Kenaga'!$F$36/100)</f>
        <v>#DIV/0!</v>
      </c>
      <c r="W109" s="43"/>
      <c r="X109" s="525" t="e">
        <f>P109*('upper bound Kenaga'!$F$96/100)</f>
        <v>#DIV/0!</v>
      </c>
      <c r="Y109" s="43"/>
      <c r="Z109" s="43"/>
      <c r="AA109" s="43"/>
    </row>
    <row r="110" spans="1:27" ht="13.5" thickBot="1">
      <c r="A110" s="543" t="s">
        <v>194</v>
      </c>
      <c r="B110" s="428" t="e">
        <f>B30*($D$97/100)</f>
        <v>#DIV/0!</v>
      </c>
      <c r="C110" s="428" t="e">
        <f>B30*($D$98/100)</f>
        <v>#DIV/0!</v>
      </c>
      <c r="D110" s="428" t="e">
        <f>B30*($D$99/100)</f>
        <v>#DIV/0!</v>
      </c>
      <c r="E110" s="428" t="e">
        <f>B30*(D100/100)</f>
        <v>#DIV/0!</v>
      </c>
      <c r="F110" s="428" t="e">
        <f>B30*(D101/100)</f>
        <v>#DIV/0!</v>
      </c>
      <c r="G110" s="386" t="e">
        <f>B30*(D102/100)</f>
        <v>#DIV/0!</v>
      </c>
      <c r="H110" s="11"/>
      <c r="M110" s="43">
        <f t="shared" si="9"/>
        <v>89</v>
      </c>
      <c r="N110" s="43">
        <f t="shared" si="10"/>
        <v>1</v>
      </c>
      <c r="O110" s="43">
        <f t="shared" si="11"/>
        <v>0</v>
      </c>
      <c r="P110" s="113" t="e">
        <f t="shared" si="12"/>
        <v>#DIV/0!</v>
      </c>
      <c r="Q110" s="113" t="e">
        <f t="shared" si="13"/>
        <v>#DIV/0!</v>
      </c>
      <c r="R110" s="113" t="e">
        <f t="shared" si="14"/>
        <v>#DIV/0!</v>
      </c>
      <c r="S110" s="113" t="e">
        <f t="shared" si="15"/>
        <v>#DIV/0!</v>
      </c>
      <c r="T110" s="43">
        <f t="shared" si="8"/>
        <v>0</v>
      </c>
      <c r="U110" s="43"/>
      <c r="V110" s="525" t="e">
        <f>P110*('upper bound Kenaga'!$F$36/100)</f>
        <v>#DIV/0!</v>
      </c>
      <c r="W110" s="43"/>
      <c r="X110" s="525" t="e">
        <f>P110*('upper bound Kenaga'!$F$96/100)</f>
        <v>#DIV/0!</v>
      </c>
      <c r="Y110" s="43"/>
      <c r="Z110" s="43"/>
      <c r="AA110" s="43"/>
    </row>
    <row r="111" spans="1:27" ht="13.5" thickBot="1">
      <c r="A111" s="16"/>
      <c r="B111" s="14"/>
      <c r="C111" s="14"/>
      <c r="D111" s="11"/>
      <c r="E111" s="14"/>
      <c r="F111" s="14"/>
      <c r="G111" s="14"/>
      <c r="H111" s="11"/>
      <c r="M111" s="43">
        <f t="shared" si="9"/>
        <v>90</v>
      </c>
      <c r="N111" s="43">
        <f t="shared" si="10"/>
        <v>1</v>
      </c>
      <c r="O111" s="43">
        <f t="shared" si="11"/>
        <v>0</v>
      </c>
      <c r="P111" s="113" t="e">
        <f t="shared" si="12"/>
        <v>#DIV/0!</v>
      </c>
      <c r="Q111" s="113" t="e">
        <f t="shared" si="13"/>
        <v>#DIV/0!</v>
      </c>
      <c r="R111" s="113" t="e">
        <f t="shared" si="14"/>
        <v>#DIV/0!</v>
      </c>
      <c r="S111" s="113" t="e">
        <f t="shared" si="15"/>
        <v>#DIV/0!</v>
      </c>
      <c r="T111" s="43">
        <f t="shared" si="8"/>
        <v>0</v>
      </c>
      <c r="U111" s="43"/>
      <c r="V111" s="525" t="e">
        <f>P111*('upper bound Kenaga'!$F$36/100)</f>
        <v>#DIV/0!</v>
      </c>
      <c r="W111" s="43"/>
      <c r="X111" s="525" t="e">
        <f>P111*('upper bound Kenaga'!$F$96/100)</f>
        <v>#DIV/0!</v>
      </c>
      <c r="Y111" s="43"/>
      <c r="Z111" s="43"/>
      <c r="AA111" s="43"/>
    </row>
    <row r="112" spans="1:27" ht="12.75">
      <c r="A112" s="904" t="s">
        <v>350</v>
      </c>
      <c r="B112" s="907" t="s">
        <v>467</v>
      </c>
      <c r="C112" s="908"/>
      <c r="D112" s="907" t="s">
        <v>469</v>
      </c>
      <c r="E112" s="908"/>
      <c r="F112" s="907" t="s">
        <v>470</v>
      </c>
      <c r="G112" s="909"/>
      <c r="H112" s="12"/>
      <c r="M112" s="43">
        <f t="shared" si="9"/>
        <v>91</v>
      </c>
      <c r="N112" s="43">
        <f t="shared" si="10"/>
        <v>1</v>
      </c>
      <c r="O112" s="43">
        <f t="shared" si="11"/>
        <v>0</v>
      </c>
      <c r="P112" s="113" t="e">
        <f t="shared" si="12"/>
        <v>#DIV/0!</v>
      </c>
      <c r="Q112" s="113" t="e">
        <f t="shared" si="13"/>
        <v>#DIV/0!</v>
      </c>
      <c r="R112" s="113" t="e">
        <f t="shared" si="14"/>
        <v>#DIV/0!</v>
      </c>
      <c r="S112" s="113" t="e">
        <f t="shared" si="15"/>
        <v>#DIV/0!</v>
      </c>
      <c r="T112" s="43">
        <f t="shared" si="8"/>
        <v>0</v>
      </c>
      <c r="U112" s="43"/>
      <c r="V112" s="525" t="e">
        <f>P112*('upper bound Kenaga'!$F$36/100)</f>
        <v>#DIV/0!</v>
      </c>
      <c r="W112" s="43"/>
      <c r="X112" s="525" t="e">
        <f>P112*('upper bound Kenaga'!$F$96/100)</f>
        <v>#DIV/0!</v>
      </c>
      <c r="Y112" s="43"/>
      <c r="Z112" s="43"/>
      <c r="AA112" s="43"/>
    </row>
    <row r="113" spans="1:27" ht="28.5" customHeight="1">
      <c r="A113" s="905"/>
      <c r="B113" s="571">
        <f>C97</f>
        <v>15</v>
      </c>
      <c r="C113" s="572" t="s">
        <v>468</v>
      </c>
      <c r="D113" s="571">
        <f>C98</f>
        <v>35</v>
      </c>
      <c r="E113" s="572" t="s">
        <v>468</v>
      </c>
      <c r="F113" s="513">
        <f>C99</f>
        <v>1000</v>
      </c>
      <c r="G113" s="514" t="s">
        <v>468</v>
      </c>
      <c r="H113" s="12"/>
      <c r="M113" s="43">
        <f t="shared" si="9"/>
        <v>92</v>
      </c>
      <c r="N113" s="43">
        <f t="shared" si="10"/>
        <v>1</v>
      </c>
      <c r="O113" s="43">
        <f t="shared" si="11"/>
        <v>0</v>
      </c>
      <c r="P113" s="113" t="e">
        <f t="shared" si="12"/>
        <v>#DIV/0!</v>
      </c>
      <c r="Q113" s="113" t="e">
        <f t="shared" si="13"/>
        <v>#DIV/0!</v>
      </c>
      <c r="R113" s="113" t="e">
        <f t="shared" si="14"/>
        <v>#DIV/0!</v>
      </c>
      <c r="S113" s="113" t="e">
        <f t="shared" si="15"/>
        <v>#DIV/0!</v>
      </c>
      <c r="T113" s="43">
        <f t="shared" si="8"/>
        <v>0</v>
      </c>
      <c r="U113" s="43"/>
      <c r="V113" s="525" t="e">
        <f>P113*('upper bound Kenaga'!$F$36/100)</f>
        <v>#DIV/0!</v>
      </c>
      <c r="W113" s="43"/>
      <c r="X113" s="525" t="e">
        <f>P113*('upper bound Kenaga'!$F$96/100)</f>
        <v>#DIV/0!</v>
      </c>
      <c r="Y113" s="43"/>
      <c r="Z113" s="43"/>
      <c r="AA113" s="43"/>
    </row>
    <row r="114" spans="1:27" ht="13.5" thickBot="1">
      <c r="A114" s="906"/>
      <c r="B114" s="425" t="s">
        <v>48</v>
      </c>
      <c r="C114" s="515" t="s">
        <v>49</v>
      </c>
      <c r="D114" s="425" t="s">
        <v>50</v>
      </c>
      <c r="E114" s="515" t="s">
        <v>49</v>
      </c>
      <c r="F114" s="425" t="s">
        <v>50</v>
      </c>
      <c r="G114" s="426" t="s">
        <v>49</v>
      </c>
      <c r="H114" s="12"/>
      <c r="M114" s="43">
        <f t="shared" si="9"/>
        <v>93</v>
      </c>
      <c r="N114" s="43">
        <f t="shared" si="10"/>
        <v>1</v>
      </c>
      <c r="O114" s="43">
        <f t="shared" si="11"/>
        <v>0</v>
      </c>
      <c r="P114" s="113" t="e">
        <f t="shared" si="12"/>
        <v>#DIV/0!</v>
      </c>
      <c r="Q114" s="113" t="e">
        <f t="shared" si="13"/>
        <v>#DIV/0!</v>
      </c>
      <c r="R114" s="113" t="e">
        <f t="shared" si="14"/>
        <v>#DIV/0!</v>
      </c>
      <c r="S114" s="113" t="e">
        <f t="shared" si="15"/>
        <v>#DIV/0!</v>
      </c>
      <c r="T114" s="43">
        <f t="shared" si="8"/>
        <v>0</v>
      </c>
      <c r="U114" s="43"/>
      <c r="V114" s="525" t="e">
        <f>P114*('upper bound Kenaga'!$F$36/100)</f>
        <v>#DIV/0!</v>
      </c>
      <c r="W114" s="43"/>
      <c r="X114" s="525" t="e">
        <f>P114*('upper bound Kenaga'!$F$96/100)</f>
        <v>#DIV/0!</v>
      </c>
      <c r="Y114" s="43"/>
      <c r="Z114" s="43"/>
      <c r="AA114" s="43"/>
    </row>
    <row r="115" spans="1:27" ht="13.5" thickTop="1">
      <c r="A115" s="563" t="s">
        <v>18</v>
      </c>
      <c r="B115" s="13" t="e">
        <f>$B$107/$E$97</f>
        <v>#DIV/0!</v>
      </c>
      <c r="C115" s="469" t="e">
        <f>B107/$F$97</f>
        <v>#DIV/0!</v>
      </c>
      <c r="D115" s="13" t="e">
        <f>C107/$E$98</f>
        <v>#DIV/0!</v>
      </c>
      <c r="E115" s="469" t="e">
        <f>C107/F98</f>
        <v>#DIV/0!</v>
      </c>
      <c r="F115" s="13" t="e">
        <f>D107/$E$99</f>
        <v>#DIV/0!</v>
      </c>
      <c r="G115" s="470" t="e">
        <f>D107/F99</f>
        <v>#DIV/0!</v>
      </c>
      <c r="H115" s="12"/>
      <c r="M115" s="43">
        <f t="shared" si="9"/>
        <v>94</v>
      </c>
      <c r="N115" s="43">
        <f t="shared" si="10"/>
        <v>1</v>
      </c>
      <c r="O115" s="43">
        <f t="shared" si="11"/>
        <v>0</v>
      </c>
      <c r="P115" s="113" t="e">
        <f t="shared" si="12"/>
        <v>#DIV/0!</v>
      </c>
      <c r="Q115" s="113" t="e">
        <f t="shared" si="13"/>
        <v>#DIV/0!</v>
      </c>
      <c r="R115" s="113" t="e">
        <f t="shared" si="14"/>
        <v>#DIV/0!</v>
      </c>
      <c r="S115" s="113" t="e">
        <f t="shared" si="15"/>
        <v>#DIV/0!</v>
      </c>
      <c r="T115" s="43">
        <f t="shared" si="8"/>
        <v>0</v>
      </c>
      <c r="U115" s="43"/>
      <c r="V115" s="525" t="e">
        <f>P115*('upper bound Kenaga'!$F$36/100)</f>
        <v>#DIV/0!</v>
      </c>
      <c r="W115" s="43"/>
      <c r="X115" s="525" t="e">
        <f>P115*('upper bound Kenaga'!$F$96/100)</f>
        <v>#DIV/0!</v>
      </c>
      <c r="Y115" s="43"/>
      <c r="Z115" s="43"/>
      <c r="AA115" s="43"/>
    </row>
    <row r="116" spans="1:27" ht="12.75">
      <c r="A116" s="564" t="s">
        <v>28</v>
      </c>
      <c r="B116" s="13" t="e">
        <f>$B$108/$E$97</f>
        <v>#DIV/0!</v>
      </c>
      <c r="C116" s="472" t="e">
        <f>B108/F97</f>
        <v>#DIV/0!</v>
      </c>
      <c r="D116" s="13" t="e">
        <f>C108/$E$98</f>
        <v>#DIV/0!</v>
      </c>
      <c r="E116" s="472" t="e">
        <f>C108/F98</f>
        <v>#DIV/0!</v>
      </c>
      <c r="F116" s="13" t="e">
        <f>D108/$E$99</f>
        <v>#DIV/0!</v>
      </c>
      <c r="G116" s="473" t="e">
        <f>D108/F99</f>
        <v>#DIV/0!</v>
      </c>
      <c r="H116" s="13"/>
      <c r="M116" s="43">
        <f t="shared" si="9"/>
        <v>95</v>
      </c>
      <c r="N116" s="43">
        <f t="shared" si="10"/>
        <v>1</v>
      </c>
      <c r="O116" s="43">
        <f t="shared" si="11"/>
        <v>0</v>
      </c>
      <c r="P116" s="113" t="e">
        <f t="shared" si="12"/>
        <v>#DIV/0!</v>
      </c>
      <c r="Q116" s="113" t="e">
        <f t="shared" si="13"/>
        <v>#DIV/0!</v>
      </c>
      <c r="R116" s="113" t="e">
        <f t="shared" si="14"/>
        <v>#DIV/0!</v>
      </c>
      <c r="S116" s="113" t="e">
        <f t="shared" si="15"/>
        <v>#DIV/0!</v>
      </c>
      <c r="T116" s="43">
        <f t="shared" si="8"/>
        <v>0</v>
      </c>
      <c r="U116" s="43"/>
      <c r="V116" s="525" t="e">
        <f>P116*('upper bound Kenaga'!$F$36/100)</f>
        <v>#DIV/0!</v>
      </c>
      <c r="W116" s="43"/>
      <c r="X116" s="525" t="e">
        <f>P116*('upper bound Kenaga'!$F$96/100)</f>
        <v>#DIV/0!</v>
      </c>
      <c r="Y116" s="43"/>
      <c r="Z116" s="43"/>
      <c r="AA116" s="43"/>
    </row>
    <row r="117" spans="1:27" ht="12.75">
      <c r="A117" s="564" t="s">
        <v>41</v>
      </c>
      <c r="B117" s="13" t="e">
        <f>$B$109/$E$97</f>
        <v>#DIV/0!</v>
      </c>
      <c r="C117" s="472" t="e">
        <f>B109/F97</f>
        <v>#DIV/0!</v>
      </c>
      <c r="D117" s="13" t="e">
        <f>C109/$E$98</f>
        <v>#DIV/0!</v>
      </c>
      <c r="E117" s="472" t="e">
        <f>C109/F98</f>
        <v>#DIV/0!</v>
      </c>
      <c r="F117" s="13" t="e">
        <f>D109/$E$99</f>
        <v>#DIV/0!</v>
      </c>
      <c r="G117" s="473" t="e">
        <f>D109/F99</f>
        <v>#DIV/0!</v>
      </c>
      <c r="M117" s="43">
        <f t="shared" si="9"/>
        <v>96</v>
      </c>
      <c r="N117" s="43">
        <f t="shared" si="10"/>
        <v>1</v>
      </c>
      <c r="O117" s="43">
        <f t="shared" si="11"/>
        <v>0</v>
      </c>
      <c r="P117" s="113" t="e">
        <f t="shared" si="12"/>
        <v>#DIV/0!</v>
      </c>
      <c r="Q117" s="113" t="e">
        <f t="shared" si="13"/>
        <v>#DIV/0!</v>
      </c>
      <c r="R117" s="113" t="e">
        <f t="shared" si="14"/>
        <v>#DIV/0!</v>
      </c>
      <c r="S117" s="113" t="e">
        <f t="shared" si="15"/>
        <v>#DIV/0!</v>
      </c>
      <c r="T117" s="43">
        <f t="shared" si="8"/>
        <v>0</v>
      </c>
      <c r="U117" s="43"/>
      <c r="V117" s="525" t="e">
        <f>P117*('upper bound Kenaga'!$F$36/100)</f>
        <v>#DIV/0!</v>
      </c>
      <c r="W117" s="43"/>
      <c r="X117" s="525" t="e">
        <f>P117*('upper bound Kenaga'!$F$96/100)</f>
        <v>#DIV/0!</v>
      </c>
      <c r="Y117" s="43"/>
      <c r="Z117" s="43"/>
      <c r="AA117" s="43"/>
    </row>
    <row r="118" spans="1:27" ht="12.75">
      <c r="A118" s="565" t="s">
        <v>36</v>
      </c>
      <c r="B118" s="13" t="e">
        <f>$B$110/$E$97</f>
        <v>#DIV/0!</v>
      </c>
      <c r="C118" s="472" t="e">
        <f>B110/F97</f>
        <v>#DIV/0!</v>
      </c>
      <c r="D118" s="13" t="e">
        <f>C110/$E$98</f>
        <v>#DIV/0!</v>
      </c>
      <c r="E118" s="472" t="e">
        <f>C110/F98</f>
        <v>#DIV/0!</v>
      </c>
      <c r="F118" s="13" t="e">
        <f>D110/$E$99</f>
        <v>#DIV/0!</v>
      </c>
      <c r="G118" s="473" t="e">
        <f>D110/F99</f>
        <v>#DIV/0!</v>
      </c>
      <c r="M118" s="43">
        <f t="shared" si="9"/>
        <v>97</v>
      </c>
      <c r="N118" s="43">
        <f t="shared" si="10"/>
        <v>1</v>
      </c>
      <c r="O118" s="43">
        <f t="shared" si="11"/>
        <v>0</v>
      </c>
      <c r="P118" s="113" t="e">
        <f t="shared" si="12"/>
        <v>#DIV/0!</v>
      </c>
      <c r="Q118" s="113" t="e">
        <f t="shared" si="13"/>
        <v>#DIV/0!</v>
      </c>
      <c r="R118" s="113" t="e">
        <f t="shared" si="14"/>
        <v>#DIV/0!</v>
      </c>
      <c r="S118" s="113" t="e">
        <f t="shared" si="15"/>
        <v>#DIV/0!</v>
      </c>
      <c r="T118" s="43">
        <f t="shared" si="8"/>
        <v>0</v>
      </c>
      <c r="U118" s="43"/>
      <c r="V118" s="525" t="e">
        <f>P118*('upper bound Kenaga'!$F$36/100)</f>
        <v>#DIV/0!</v>
      </c>
      <c r="W118" s="43"/>
      <c r="X118" s="525" t="e">
        <f>P118*('upper bound Kenaga'!$F$96/100)</f>
        <v>#DIV/0!</v>
      </c>
      <c r="Y118" s="43"/>
      <c r="Z118" s="43"/>
      <c r="AA118" s="43"/>
    </row>
    <row r="119" spans="1:27" ht="13.5" thickBot="1">
      <c r="A119" s="566" t="s">
        <v>34</v>
      </c>
      <c r="B119" s="476" t="e">
        <f>$E$110/$E$100</f>
        <v>#DIV/0!</v>
      </c>
      <c r="C119" s="477" t="e">
        <f>E110/F100</f>
        <v>#DIV/0!</v>
      </c>
      <c r="D119" s="476" t="e">
        <f>F110/$E$101</f>
        <v>#DIV/0!</v>
      </c>
      <c r="E119" s="477" t="e">
        <f>F110/F101</f>
        <v>#DIV/0!</v>
      </c>
      <c r="F119" s="478" t="e">
        <f>G110/$E$102</f>
        <v>#DIV/0!</v>
      </c>
      <c r="G119" s="479" t="e">
        <f>G110/F102</f>
        <v>#DIV/0!</v>
      </c>
      <c r="M119" s="43">
        <f t="shared" si="9"/>
        <v>98</v>
      </c>
      <c r="N119" s="43">
        <f t="shared" si="10"/>
        <v>1</v>
      </c>
      <c r="O119" s="43">
        <f t="shared" si="11"/>
        <v>0</v>
      </c>
      <c r="P119" s="113" t="e">
        <f t="shared" si="12"/>
        <v>#DIV/0!</v>
      </c>
      <c r="Q119" s="113" t="e">
        <f t="shared" si="13"/>
        <v>#DIV/0!</v>
      </c>
      <c r="R119" s="113" t="e">
        <f t="shared" si="14"/>
        <v>#DIV/0!</v>
      </c>
      <c r="S119" s="113" t="e">
        <f t="shared" si="15"/>
        <v>#DIV/0!</v>
      </c>
      <c r="T119" s="43">
        <f t="shared" si="8"/>
        <v>0</v>
      </c>
      <c r="U119" s="43"/>
      <c r="V119" s="525" t="e">
        <f>P119*('upper bound Kenaga'!$F$36/100)</f>
        <v>#DIV/0!</v>
      </c>
      <c r="W119" s="43"/>
      <c r="X119" s="525" t="e">
        <f>P119*('upper bound Kenaga'!$F$96/100)</f>
        <v>#DIV/0!</v>
      </c>
      <c r="Y119" s="43"/>
      <c r="Z119" s="43"/>
      <c r="AA119" s="43"/>
    </row>
    <row r="120" spans="1:27" ht="13.5" thickBot="1">
      <c r="A120" s="14"/>
      <c r="B120" s="14"/>
      <c r="C120" s="14"/>
      <c r="D120" s="11"/>
      <c r="E120" s="14"/>
      <c r="F120" s="14"/>
      <c r="G120" s="14"/>
      <c r="H120"/>
      <c r="M120" s="43">
        <f t="shared" si="9"/>
        <v>99</v>
      </c>
      <c r="N120" s="43">
        <f t="shared" si="10"/>
        <v>1</v>
      </c>
      <c r="O120" s="43">
        <f t="shared" si="11"/>
        <v>0</v>
      </c>
      <c r="P120" s="113" t="e">
        <f t="shared" si="12"/>
        <v>#DIV/0!</v>
      </c>
      <c r="Q120" s="113" t="e">
        <f t="shared" si="13"/>
        <v>#DIV/0!</v>
      </c>
      <c r="R120" s="113" t="e">
        <f t="shared" si="14"/>
        <v>#DIV/0!</v>
      </c>
      <c r="S120" s="113" t="e">
        <f t="shared" si="15"/>
        <v>#DIV/0!</v>
      </c>
      <c r="T120" s="43">
        <f t="shared" si="8"/>
        <v>0</v>
      </c>
      <c r="U120" s="43"/>
      <c r="V120" s="525" t="e">
        <f>P120*('upper bound Kenaga'!$F$36/100)</f>
        <v>#DIV/0!</v>
      </c>
      <c r="W120" s="43"/>
      <c r="X120" s="525" t="e">
        <f>P120*('upper bound Kenaga'!$F$96/100)</f>
        <v>#DIV/0!</v>
      </c>
      <c r="Y120" s="43"/>
      <c r="Z120" s="43"/>
      <c r="AA120" s="43"/>
    </row>
    <row r="121" spans="1:27" ht="12.75">
      <c r="A121" s="904" t="s">
        <v>306</v>
      </c>
      <c r="B121" s="907" t="s">
        <v>308</v>
      </c>
      <c r="C121" s="909"/>
      <c r="D121" s="849"/>
      <c r="E121" s="850"/>
      <c r="F121" s="849"/>
      <c r="G121" s="850"/>
      <c r="H121"/>
      <c r="M121" s="43">
        <f t="shared" si="9"/>
        <v>100</v>
      </c>
      <c r="N121" s="43">
        <f t="shared" si="10"/>
        <v>1</v>
      </c>
      <c r="O121" s="43">
        <f t="shared" si="11"/>
        <v>0</v>
      </c>
      <c r="P121" s="113" t="e">
        <f t="shared" si="12"/>
        <v>#DIV/0!</v>
      </c>
      <c r="Q121" s="113" t="e">
        <f t="shared" si="13"/>
        <v>#DIV/0!</v>
      </c>
      <c r="R121" s="113" t="e">
        <f t="shared" si="14"/>
        <v>#DIV/0!</v>
      </c>
      <c r="S121" s="113" t="e">
        <f t="shared" si="15"/>
        <v>#DIV/0!</v>
      </c>
      <c r="T121" s="43">
        <f t="shared" si="8"/>
        <v>0</v>
      </c>
      <c r="U121" s="43"/>
      <c r="V121" s="525" t="e">
        <f>P121*('upper bound Kenaga'!$F$36/100)</f>
        <v>#DIV/0!</v>
      </c>
      <c r="W121" s="43"/>
      <c r="X121" s="525" t="e">
        <f>P121*('upper bound Kenaga'!$F$96/100)</f>
        <v>#DIV/0!</v>
      </c>
      <c r="Y121" s="43"/>
      <c r="Z121" s="43"/>
      <c r="AA121" s="43"/>
    </row>
    <row r="122" spans="1:27" ht="12.75">
      <c r="A122" s="910"/>
      <c r="B122" s="512"/>
      <c r="C122" s="516"/>
      <c r="D122" s="98"/>
      <c r="E122" s="98"/>
      <c r="F122" s="99"/>
      <c r="G122" s="99"/>
      <c r="M122" s="43">
        <f t="shared" si="9"/>
        <v>101</v>
      </c>
      <c r="N122" s="43">
        <f t="shared" si="10"/>
        <v>1</v>
      </c>
      <c r="O122" s="43">
        <f t="shared" si="11"/>
        <v>0</v>
      </c>
      <c r="P122" s="113" t="e">
        <f t="shared" si="12"/>
        <v>#DIV/0!</v>
      </c>
      <c r="Q122" s="113" t="e">
        <f t="shared" si="13"/>
        <v>#DIV/0!</v>
      </c>
      <c r="R122" s="113" t="e">
        <f t="shared" si="14"/>
        <v>#DIV/0!</v>
      </c>
      <c r="S122" s="113" t="e">
        <f t="shared" si="15"/>
        <v>#DIV/0!</v>
      </c>
      <c r="T122" s="43">
        <f t="shared" si="8"/>
        <v>0</v>
      </c>
      <c r="U122" s="43"/>
      <c r="V122" s="525" t="e">
        <f>P122*('upper bound Kenaga'!$F$36/100)</f>
        <v>#DIV/0!</v>
      </c>
      <c r="W122" s="43"/>
      <c r="X122" s="525" t="e">
        <f>P122*('upper bound Kenaga'!$F$96/100)</f>
        <v>#DIV/0!</v>
      </c>
      <c r="Y122" s="43"/>
      <c r="Z122" s="43"/>
      <c r="AA122" s="43"/>
    </row>
    <row r="123" spans="1:27" ht="13.5" thickBot="1">
      <c r="A123" s="911"/>
      <c r="B123" s="425" t="s">
        <v>48</v>
      </c>
      <c r="C123" s="426" t="s">
        <v>49</v>
      </c>
      <c r="D123" s="26"/>
      <c r="E123" s="26"/>
      <c r="F123" s="26"/>
      <c r="G123" s="26"/>
      <c r="M123" s="43">
        <f t="shared" si="9"/>
        <v>102</v>
      </c>
      <c r="N123" s="43">
        <f t="shared" si="10"/>
        <v>1</v>
      </c>
      <c r="O123" s="43">
        <f t="shared" si="11"/>
        <v>0</v>
      </c>
      <c r="P123" s="113" t="e">
        <f t="shared" si="12"/>
        <v>#DIV/0!</v>
      </c>
      <c r="Q123" s="113" t="e">
        <f t="shared" si="13"/>
        <v>#DIV/0!</v>
      </c>
      <c r="R123" s="113" t="e">
        <f t="shared" si="14"/>
        <v>#DIV/0!</v>
      </c>
      <c r="S123" s="113" t="e">
        <f t="shared" si="15"/>
        <v>#DIV/0!</v>
      </c>
      <c r="T123" s="43">
        <f t="shared" si="8"/>
        <v>0</v>
      </c>
      <c r="U123" s="43"/>
      <c r="V123" s="525" t="e">
        <f>P123*('upper bound Kenaga'!$F$36/100)</f>
        <v>#DIV/0!</v>
      </c>
      <c r="W123" s="43"/>
      <c r="X123" s="525" t="e">
        <f>P123*('upper bound Kenaga'!$F$96/100)</f>
        <v>#DIV/0!</v>
      </c>
      <c r="Y123" s="43"/>
      <c r="Z123" s="43"/>
      <c r="AA123" s="43"/>
    </row>
    <row r="124" spans="1:27" ht="13.5" thickTop="1">
      <c r="A124" s="563" t="s">
        <v>18</v>
      </c>
      <c r="B124" s="429" t="e">
        <f>B27/$D$21</f>
        <v>#DIV/0!</v>
      </c>
      <c r="C124" s="430" t="e">
        <f>B27/$D$23</f>
        <v>#DIV/0!</v>
      </c>
      <c r="D124" s="13"/>
      <c r="E124" s="13"/>
      <c r="F124" s="13"/>
      <c r="G124" s="13"/>
      <c r="M124" s="43">
        <f t="shared" si="9"/>
        <v>103</v>
      </c>
      <c r="N124" s="43">
        <f t="shared" si="10"/>
        <v>1</v>
      </c>
      <c r="O124" s="43">
        <f t="shared" si="11"/>
        <v>0</v>
      </c>
      <c r="P124" s="113" t="e">
        <f t="shared" si="12"/>
        <v>#DIV/0!</v>
      </c>
      <c r="Q124" s="113" t="e">
        <f t="shared" si="13"/>
        <v>#DIV/0!</v>
      </c>
      <c r="R124" s="113" t="e">
        <f t="shared" si="14"/>
        <v>#DIV/0!</v>
      </c>
      <c r="S124" s="113" t="e">
        <f t="shared" si="15"/>
        <v>#DIV/0!</v>
      </c>
      <c r="T124" s="43">
        <f t="shared" si="8"/>
        <v>0</v>
      </c>
      <c r="U124" s="43"/>
      <c r="V124" s="525" t="e">
        <f>P124*('upper bound Kenaga'!$F$36/100)</f>
        <v>#DIV/0!</v>
      </c>
      <c r="W124" s="43"/>
      <c r="X124" s="525" t="e">
        <f>P124*('upper bound Kenaga'!$F$96/100)</f>
        <v>#DIV/0!</v>
      </c>
      <c r="Y124" s="43"/>
      <c r="Z124" s="43"/>
      <c r="AA124" s="43"/>
    </row>
    <row r="125" spans="1:27" ht="12.75">
      <c r="A125" s="564" t="s">
        <v>28</v>
      </c>
      <c r="B125" s="429" t="e">
        <f>B28/$D$21</f>
        <v>#DIV/0!</v>
      </c>
      <c r="C125" s="430" t="e">
        <f>B28/$D$23</f>
        <v>#DIV/0!</v>
      </c>
      <c r="D125" s="13"/>
      <c r="E125" s="13"/>
      <c r="F125" s="13"/>
      <c r="G125" s="13"/>
      <c r="M125" s="43">
        <f t="shared" si="9"/>
        <v>104</v>
      </c>
      <c r="N125" s="43">
        <f t="shared" si="10"/>
        <v>1</v>
      </c>
      <c r="O125" s="43">
        <f t="shared" si="11"/>
        <v>0</v>
      </c>
      <c r="P125" s="113" t="e">
        <f t="shared" si="12"/>
        <v>#DIV/0!</v>
      </c>
      <c r="Q125" s="113" t="e">
        <f t="shared" si="13"/>
        <v>#DIV/0!</v>
      </c>
      <c r="R125" s="113" t="e">
        <f t="shared" si="14"/>
        <v>#DIV/0!</v>
      </c>
      <c r="S125" s="113" t="e">
        <f t="shared" si="15"/>
        <v>#DIV/0!</v>
      </c>
      <c r="T125" s="43">
        <f t="shared" si="8"/>
        <v>0</v>
      </c>
      <c r="U125" s="43"/>
      <c r="V125" s="525" t="e">
        <f>P125*('upper bound Kenaga'!$F$36/100)</f>
        <v>#DIV/0!</v>
      </c>
      <c r="W125" s="43"/>
      <c r="X125" s="525" t="e">
        <f>P125*('upper bound Kenaga'!$F$96/100)</f>
        <v>#DIV/0!</v>
      </c>
      <c r="Y125" s="43"/>
      <c r="Z125" s="43"/>
      <c r="AA125" s="43"/>
    </row>
    <row r="126" spans="1:27" ht="12.75">
      <c r="A126" s="564" t="s">
        <v>41</v>
      </c>
      <c r="B126" s="429" t="e">
        <f>B29/$D$21</f>
        <v>#DIV/0!</v>
      </c>
      <c r="C126" s="430" t="e">
        <f>B29/$D$23</f>
        <v>#DIV/0!</v>
      </c>
      <c r="D126" s="13"/>
      <c r="E126" s="13"/>
      <c r="F126" s="13"/>
      <c r="G126" s="13"/>
      <c r="M126" s="43">
        <f t="shared" si="9"/>
        <v>105</v>
      </c>
      <c r="N126" s="43">
        <f t="shared" si="10"/>
        <v>1</v>
      </c>
      <c r="O126" s="43">
        <f t="shared" si="11"/>
        <v>0</v>
      </c>
      <c r="P126" s="113" t="e">
        <f t="shared" si="12"/>
        <v>#DIV/0!</v>
      </c>
      <c r="Q126" s="113" t="e">
        <f t="shared" si="13"/>
        <v>#DIV/0!</v>
      </c>
      <c r="R126" s="113" t="e">
        <f t="shared" si="14"/>
        <v>#DIV/0!</v>
      </c>
      <c r="S126" s="113" t="e">
        <f t="shared" si="15"/>
        <v>#DIV/0!</v>
      </c>
      <c r="T126" s="43">
        <f t="shared" si="8"/>
        <v>0</v>
      </c>
      <c r="U126" s="43"/>
      <c r="V126" s="525" t="e">
        <f>P126*('upper bound Kenaga'!$F$36/100)</f>
        <v>#DIV/0!</v>
      </c>
      <c r="W126" s="43"/>
      <c r="X126" s="525" t="e">
        <f>P126*('upper bound Kenaga'!$F$96/100)</f>
        <v>#DIV/0!</v>
      </c>
      <c r="Y126" s="43"/>
      <c r="Z126" s="43"/>
      <c r="AA126" s="43"/>
    </row>
    <row r="127" spans="1:27" ht="13.5" thickBot="1">
      <c r="A127" s="566" t="s">
        <v>194</v>
      </c>
      <c r="B127" s="478" t="e">
        <f>B30/$D$21</f>
        <v>#DIV/0!</v>
      </c>
      <c r="C127" s="431" t="e">
        <f>B30/$D$23</f>
        <v>#DIV/0!</v>
      </c>
      <c r="D127" s="13"/>
      <c r="E127" s="13"/>
      <c r="F127" s="13"/>
      <c r="G127" s="13"/>
      <c r="M127" s="43">
        <f t="shared" si="9"/>
        <v>106</v>
      </c>
      <c r="N127" s="43">
        <f t="shared" si="10"/>
        <v>1</v>
      </c>
      <c r="O127" s="43">
        <f t="shared" si="11"/>
        <v>0</v>
      </c>
      <c r="P127" s="113" t="e">
        <f t="shared" si="12"/>
        <v>#DIV/0!</v>
      </c>
      <c r="Q127" s="113" t="e">
        <f t="shared" si="13"/>
        <v>#DIV/0!</v>
      </c>
      <c r="R127" s="113" t="e">
        <f t="shared" si="14"/>
        <v>#DIV/0!</v>
      </c>
      <c r="S127" s="113" t="e">
        <f t="shared" si="15"/>
        <v>#DIV/0!</v>
      </c>
      <c r="T127" s="43">
        <f t="shared" si="8"/>
        <v>0</v>
      </c>
      <c r="U127" s="43"/>
      <c r="V127" s="525" t="e">
        <f>P127*('upper bound Kenaga'!$F$36/100)</f>
        <v>#DIV/0!</v>
      </c>
      <c r="W127" s="43"/>
      <c r="X127" s="525" t="e">
        <f>P127*('upper bound Kenaga'!$F$96/100)</f>
        <v>#DIV/0!</v>
      </c>
      <c r="Y127" s="43"/>
      <c r="Z127" s="43"/>
      <c r="AA127" s="43"/>
    </row>
    <row r="128" spans="1:27" ht="12.75">
      <c r="A128" s="186"/>
      <c r="B128" s="13"/>
      <c r="C128" s="13"/>
      <c r="D128" s="13"/>
      <c r="E128" s="13"/>
      <c r="F128" s="13"/>
      <c r="G128" s="13"/>
      <c r="M128" s="43">
        <f t="shared" si="9"/>
        <v>107</v>
      </c>
      <c r="N128" s="43">
        <f t="shared" si="10"/>
        <v>1</v>
      </c>
      <c r="O128" s="43">
        <f t="shared" si="11"/>
        <v>0</v>
      </c>
      <c r="P128" s="113" t="e">
        <f t="shared" si="12"/>
        <v>#DIV/0!</v>
      </c>
      <c r="Q128" s="113" t="e">
        <f t="shared" si="13"/>
        <v>#DIV/0!</v>
      </c>
      <c r="R128" s="113" t="e">
        <f t="shared" si="14"/>
        <v>#DIV/0!</v>
      </c>
      <c r="S128" s="113" t="e">
        <f t="shared" si="15"/>
        <v>#DIV/0!</v>
      </c>
      <c r="T128" s="43">
        <f t="shared" si="8"/>
        <v>0</v>
      </c>
      <c r="U128" s="43"/>
      <c r="V128" s="525" t="e">
        <f>P128*('upper bound Kenaga'!$F$36/100)</f>
        <v>#DIV/0!</v>
      </c>
      <c r="W128" s="43"/>
      <c r="X128" s="525" t="e">
        <f>P128*('upper bound Kenaga'!$F$96/100)</f>
        <v>#DIV/0!</v>
      </c>
      <c r="Y128" s="43"/>
      <c r="Z128" s="43"/>
      <c r="AA128" s="43"/>
    </row>
    <row r="129" spans="13:27" ht="12.75">
      <c r="M129" s="43">
        <f t="shared" si="9"/>
        <v>108</v>
      </c>
      <c r="N129" s="43">
        <f t="shared" si="10"/>
        <v>1</v>
      </c>
      <c r="O129" s="43">
        <f t="shared" si="11"/>
        <v>0</v>
      </c>
      <c r="P129" s="113" t="e">
        <f t="shared" si="12"/>
        <v>#DIV/0!</v>
      </c>
      <c r="Q129" s="113" t="e">
        <f t="shared" si="13"/>
        <v>#DIV/0!</v>
      </c>
      <c r="R129" s="113" t="e">
        <f t="shared" si="14"/>
        <v>#DIV/0!</v>
      </c>
      <c r="S129" s="113" t="e">
        <f t="shared" si="15"/>
        <v>#DIV/0!</v>
      </c>
      <c r="T129" s="43">
        <f t="shared" si="8"/>
        <v>0</v>
      </c>
      <c r="U129" s="43"/>
      <c r="V129" s="525" t="e">
        <f>P129*('upper bound Kenaga'!$F$36/100)</f>
        <v>#DIV/0!</v>
      </c>
      <c r="W129" s="43"/>
      <c r="X129" s="525" t="e">
        <f>P129*('upper bound Kenaga'!$F$96/100)</f>
        <v>#DIV/0!</v>
      </c>
      <c r="Y129" s="43"/>
      <c r="Z129" s="43"/>
      <c r="AA129" s="43"/>
    </row>
    <row r="130" spans="4:27" ht="12.75">
      <c r="D130" s="1"/>
      <c r="M130" s="43">
        <f t="shared" si="9"/>
        <v>109</v>
      </c>
      <c r="N130" s="43">
        <f t="shared" si="10"/>
        <v>1</v>
      </c>
      <c r="O130" s="43">
        <f t="shared" si="11"/>
        <v>0</v>
      </c>
      <c r="P130" s="113" t="e">
        <f t="shared" si="12"/>
        <v>#DIV/0!</v>
      </c>
      <c r="Q130" s="113" t="e">
        <f t="shared" si="13"/>
        <v>#DIV/0!</v>
      </c>
      <c r="R130" s="113" t="e">
        <f t="shared" si="14"/>
        <v>#DIV/0!</v>
      </c>
      <c r="S130" s="113" t="e">
        <f t="shared" si="15"/>
        <v>#DIV/0!</v>
      </c>
      <c r="T130" s="43">
        <f t="shared" si="8"/>
        <v>0</v>
      </c>
      <c r="U130" s="43"/>
      <c r="V130" s="525" t="e">
        <f>P130*('upper bound Kenaga'!$F$36/100)</f>
        <v>#DIV/0!</v>
      </c>
      <c r="W130" s="43"/>
      <c r="X130" s="525" t="e">
        <f>P130*('upper bound Kenaga'!$F$96/100)</f>
        <v>#DIV/0!</v>
      </c>
      <c r="Y130" s="43"/>
      <c r="Z130" s="43"/>
      <c r="AA130" s="43"/>
    </row>
    <row r="131" spans="13:27" ht="12.75">
      <c r="M131" s="43">
        <f t="shared" si="9"/>
        <v>110</v>
      </c>
      <c r="N131" s="43">
        <f t="shared" si="10"/>
        <v>1</v>
      </c>
      <c r="O131" s="43">
        <f t="shared" si="11"/>
        <v>0</v>
      </c>
      <c r="P131" s="113" t="e">
        <f t="shared" si="12"/>
        <v>#DIV/0!</v>
      </c>
      <c r="Q131" s="113" t="e">
        <f t="shared" si="13"/>
        <v>#DIV/0!</v>
      </c>
      <c r="R131" s="113" t="e">
        <f t="shared" si="14"/>
        <v>#DIV/0!</v>
      </c>
      <c r="S131" s="113" t="e">
        <f t="shared" si="15"/>
        <v>#DIV/0!</v>
      </c>
      <c r="T131" s="43">
        <f t="shared" si="8"/>
        <v>0</v>
      </c>
      <c r="U131" s="43"/>
      <c r="V131" s="525" t="e">
        <f>P131*('upper bound Kenaga'!$F$36/100)</f>
        <v>#DIV/0!</v>
      </c>
      <c r="W131" s="43"/>
      <c r="X131" s="525" t="e">
        <f>P131*('upper bound Kenaga'!$F$96/100)</f>
        <v>#DIV/0!</v>
      </c>
      <c r="Y131" s="43"/>
      <c r="Z131" s="43"/>
      <c r="AA131" s="43"/>
    </row>
    <row r="132" spans="1:27" ht="21" thickBot="1">
      <c r="A132" s="18" t="s">
        <v>68</v>
      </c>
      <c r="B132" s="21"/>
      <c r="C132" s="21"/>
      <c r="D132" s="22"/>
      <c r="E132" s="21"/>
      <c r="F132" s="23"/>
      <c r="G132" s="24"/>
      <c r="H132" s="23"/>
      <c r="M132" s="43">
        <f t="shared" si="9"/>
        <v>111</v>
      </c>
      <c r="N132" s="43">
        <f t="shared" si="10"/>
        <v>1</v>
      </c>
      <c r="O132" s="43">
        <f t="shared" si="11"/>
        <v>0</v>
      </c>
      <c r="P132" s="113" t="e">
        <f t="shared" si="12"/>
        <v>#DIV/0!</v>
      </c>
      <c r="Q132" s="113" t="e">
        <f t="shared" si="13"/>
        <v>#DIV/0!</v>
      </c>
      <c r="R132" s="113" t="e">
        <f t="shared" si="14"/>
        <v>#DIV/0!</v>
      </c>
      <c r="S132" s="113" t="e">
        <f t="shared" si="15"/>
        <v>#DIV/0!</v>
      </c>
      <c r="T132" s="43">
        <f t="shared" si="8"/>
        <v>0</v>
      </c>
      <c r="U132" s="43"/>
      <c r="V132" s="525" t="e">
        <f>P132*('upper bound Kenaga'!$F$36/100)</f>
        <v>#DIV/0!</v>
      </c>
      <c r="W132" s="43"/>
      <c r="X132" s="525" t="e">
        <f>P132*('upper bound Kenaga'!$F$96/100)</f>
        <v>#DIV/0!</v>
      </c>
      <c r="Y132" s="43"/>
      <c r="Z132" s="43"/>
      <c r="AA132" s="43"/>
    </row>
    <row r="133" spans="13:27" ht="13.5" thickTop="1">
      <c r="M133" s="43">
        <f t="shared" si="9"/>
        <v>112</v>
      </c>
      <c r="N133" s="43">
        <f t="shared" si="10"/>
        <v>1</v>
      </c>
      <c r="O133" s="43">
        <f t="shared" si="11"/>
        <v>0</v>
      </c>
      <c r="P133" s="113" t="e">
        <f t="shared" si="12"/>
        <v>#DIV/0!</v>
      </c>
      <c r="Q133" s="113" t="e">
        <f t="shared" si="13"/>
        <v>#DIV/0!</v>
      </c>
      <c r="R133" s="113" t="e">
        <f t="shared" si="14"/>
        <v>#DIV/0!</v>
      </c>
      <c r="S133" s="113" t="e">
        <f t="shared" si="15"/>
        <v>#DIV/0!</v>
      </c>
      <c r="T133" s="43">
        <f t="shared" si="8"/>
        <v>0</v>
      </c>
      <c r="U133" s="43"/>
      <c r="V133" s="525" t="e">
        <f>P133*('upper bound Kenaga'!$F$36/100)</f>
        <v>#DIV/0!</v>
      </c>
      <c r="W133" s="43"/>
      <c r="X133" s="525" t="e">
        <f>P133*('upper bound Kenaga'!$F$96/100)</f>
        <v>#DIV/0!</v>
      </c>
      <c r="Y133" s="43"/>
      <c r="Z133" s="43"/>
      <c r="AA133" s="43"/>
    </row>
    <row r="134" spans="13:27" ht="12.75">
      <c r="M134" s="43">
        <f t="shared" si="9"/>
        <v>113</v>
      </c>
      <c r="N134" s="43">
        <f t="shared" si="10"/>
        <v>1</v>
      </c>
      <c r="O134" s="43">
        <f t="shared" si="11"/>
        <v>0</v>
      </c>
      <c r="P134" s="113" t="e">
        <f t="shared" si="12"/>
        <v>#DIV/0!</v>
      </c>
      <c r="Q134" s="113" t="e">
        <f t="shared" si="13"/>
        <v>#DIV/0!</v>
      </c>
      <c r="R134" s="113" t="e">
        <f t="shared" si="14"/>
        <v>#DIV/0!</v>
      </c>
      <c r="S134" s="113" t="e">
        <f t="shared" si="15"/>
        <v>#DIV/0!</v>
      </c>
      <c r="T134" s="43">
        <f t="shared" si="8"/>
        <v>0</v>
      </c>
      <c r="U134" s="43"/>
      <c r="V134" s="525" t="e">
        <f>P134*('upper bound Kenaga'!$F$36/100)</f>
        <v>#DIV/0!</v>
      </c>
      <c r="W134" s="43"/>
      <c r="X134" s="525" t="e">
        <f>P134*('upper bound Kenaga'!$F$96/100)</f>
        <v>#DIV/0!</v>
      </c>
      <c r="Y134" s="43"/>
      <c r="Z134" s="43"/>
      <c r="AA134" s="43"/>
    </row>
    <row r="135" spans="13:27" ht="12.75">
      <c r="M135" s="43">
        <f t="shared" si="9"/>
        <v>114</v>
      </c>
      <c r="N135" s="43">
        <f t="shared" si="10"/>
        <v>1</v>
      </c>
      <c r="O135" s="43">
        <f t="shared" si="11"/>
        <v>0</v>
      </c>
      <c r="P135" s="113" t="e">
        <f t="shared" si="12"/>
        <v>#DIV/0!</v>
      </c>
      <c r="Q135" s="113" t="e">
        <f t="shared" si="13"/>
        <v>#DIV/0!</v>
      </c>
      <c r="R135" s="113" t="e">
        <f t="shared" si="14"/>
        <v>#DIV/0!</v>
      </c>
      <c r="S135" s="113" t="e">
        <f t="shared" si="15"/>
        <v>#DIV/0!</v>
      </c>
      <c r="T135" s="43">
        <f t="shared" si="8"/>
        <v>0</v>
      </c>
      <c r="U135" s="43"/>
      <c r="V135" s="525" t="e">
        <f>P135*('upper bound Kenaga'!$F$36/100)</f>
        <v>#DIV/0!</v>
      </c>
      <c r="W135" s="43"/>
      <c r="X135" s="525" t="e">
        <f>P135*('upper bound Kenaga'!$F$96/100)</f>
        <v>#DIV/0!</v>
      </c>
      <c r="Y135" s="43"/>
      <c r="Z135" s="43"/>
      <c r="AA135" s="43"/>
    </row>
    <row r="136" spans="13:27" ht="12.75">
      <c r="M136" s="43">
        <f t="shared" si="9"/>
        <v>115</v>
      </c>
      <c r="N136" s="43">
        <f t="shared" si="10"/>
        <v>1</v>
      </c>
      <c r="O136" s="43">
        <f t="shared" si="11"/>
        <v>0</v>
      </c>
      <c r="P136" s="113" t="e">
        <f t="shared" si="12"/>
        <v>#DIV/0!</v>
      </c>
      <c r="Q136" s="113" t="e">
        <f t="shared" si="13"/>
        <v>#DIV/0!</v>
      </c>
      <c r="R136" s="113" t="e">
        <f t="shared" si="14"/>
        <v>#DIV/0!</v>
      </c>
      <c r="S136" s="113" t="e">
        <f t="shared" si="15"/>
        <v>#DIV/0!</v>
      </c>
      <c r="T136" s="43">
        <f t="shared" si="8"/>
        <v>0</v>
      </c>
      <c r="U136" s="43"/>
      <c r="V136" s="525" t="e">
        <f>P136*('upper bound Kenaga'!$F$36/100)</f>
        <v>#DIV/0!</v>
      </c>
      <c r="W136" s="43"/>
      <c r="X136" s="525" t="e">
        <f>P136*('upper bound Kenaga'!$F$96/100)</f>
        <v>#DIV/0!</v>
      </c>
      <c r="Y136" s="43"/>
      <c r="Z136" s="43"/>
      <c r="AA136" s="43"/>
    </row>
    <row r="137" spans="13:27" ht="12.75">
      <c r="M137" s="43">
        <f t="shared" si="9"/>
        <v>116</v>
      </c>
      <c r="N137" s="43">
        <f t="shared" si="10"/>
        <v>1</v>
      </c>
      <c r="O137" s="43">
        <f t="shared" si="11"/>
        <v>0</v>
      </c>
      <c r="P137" s="113" t="e">
        <f t="shared" si="12"/>
        <v>#DIV/0!</v>
      </c>
      <c r="Q137" s="113" t="e">
        <f t="shared" si="13"/>
        <v>#DIV/0!</v>
      </c>
      <c r="R137" s="113" t="e">
        <f t="shared" si="14"/>
        <v>#DIV/0!</v>
      </c>
      <c r="S137" s="113" t="e">
        <f t="shared" si="15"/>
        <v>#DIV/0!</v>
      </c>
      <c r="T137" s="43">
        <f t="shared" si="8"/>
        <v>0</v>
      </c>
      <c r="U137" s="43"/>
      <c r="V137" s="525" t="e">
        <f>P137*('upper bound Kenaga'!$F$36/100)</f>
        <v>#DIV/0!</v>
      </c>
      <c r="W137" s="43"/>
      <c r="X137" s="525" t="e">
        <f>P137*('upper bound Kenaga'!$F$96/100)</f>
        <v>#DIV/0!</v>
      </c>
      <c r="Y137" s="43"/>
      <c r="Z137" s="43"/>
      <c r="AA137" s="43"/>
    </row>
    <row r="138" spans="13:27" ht="12.75">
      <c r="M138" s="43">
        <f t="shared" si="9"/>
        <v>117</v>
      </c>
      <c r="N138" s="43">
        <f t="shared" si="10"/>
        <v>1</v>
      </c>
      <c r="O138" s="43">
        <f t="shared" si="11"/>
        <v>0</v>
      </c>
      <c r="P138" s="113" t="e">
        <f t="shared" si="12"/>
        <v>#DIV/0!</v>
      </c>
      <c r="Q138" s="113" t="e">
        <f t="shared" si="13"/>
        <v>#DIV/0!</v>
      </c>
      <c r="R138" s="113" t="e">
        <f t="shared" si="14"/>
        <v>#DIV/0!</v>
      </c>
      <c r="S138" s="113" t="e">
        <f t="shared" si="15"/>
        <v>#DIV/0!</v>
      </c>
      <c r="T138" s="43">
        <f t="shared" si="8"/>
        <v>0</v>
      </c>
      <c r="U138" s="43"/>
      <c r="V138" s="525" t="e">
        <f>P138*('upper bound Kenaga'!$F$36/100)</f>
        <v>#DIV/0!</v>
      </c>
      <c r="W138" s="43"/>
      <c r="X138" s="525" t="e">
        <f>P138*('upper bound Kenaga'!$F$96/100)</f>
        <v>#DIV/0!</v>
      </c>
      <c r="Y138" s="43"/>
      <c r="Z138" s="43"/>
      <c r="AA138" s="43"/>
    </row>
    <row r="139" spans="13:27" ht="12.75">
      <c r="M139" s="43">
        <f t="shared" si="9"/>
        <v>118</v>
      </c>
      <c r="N139" s="43">
        <f t="shared" si="10"/>
        <v>1</v>
      </c>
      <c r="O139" s="43">
        <f t="shared" si="11"/>
        <v>0</v>
      </c>
      <c r="P139" s="113" t="e">
        <f t="shared" si="12"/>
        <v>#DIV/0!</v>
      </c>
      <c r="Q139" s="113" t="e">
        <f t="shared" si="13"/>
        <v>#DIV/0!</v>
      </c>
      <c r="R139" s="113" t="e">
        <f t="shared" si="14"/>
        <v>#DIV/0!</v>
      </c>
      <c r="S139" s="113" t="e">
        <f t="shared" si="15"/>
        <v>#DIV/0!</v>
      </c>
      <c r="T139" s="43">
        <f t="shared" si="8"/>
        <v>0</v>
      </c>
      <c r="U139" s="43"/>
      <c r="V139" s="525" t="e">
        <f>P139*('upper bound Kenaga'!$F$36/100)</f>
        <v>#DIV/0!</v>
      </c>
      <c r="W139" s="43"/>
      <c r="X139" s="525" t="e">
        <f>P139*('upper bound Kenaga'!$F$96/100)</f>
        <v>#DIV/0!</v>
      </c>
      <c r="Y139" s="43"/>
      <c r="Z139" s="43"/>
      <c r="AA139" s="43"/>
    </row>
    <row r="140" spans="13:27" ht="12.75">
      <c r="M140" s="43">
        <f t="shared" si="9"/>
        <v>119</v>
      </c>
      <c r="N140" s="43">
        <f t="shared" si="10"/>
        <v>1</v>
      </c>
      <c r="O140" s="43">
        <f t="shared" si="11"/>
        <v>0</v>
      </c>
      <c r="P140" s="113" t="e">
        <f t="shared" si="12"/>
        <v>#DIV/0!</v>
      </c>
      <c r="Q140" s="113" t="e">
        <f t="shared" si="13"/>
        <v>#DIV/0!</v>
      </c>
      <c r="R140" s="113" t="e">
        <f t="shared" si="14"/>
        <v>#DIV/0!</v>
      </c>
      <c r="S140" s="113" t="e">
        <f t="shared" si="15"/>
        <v>#DIV/0!</v>
      </c>
      <c r="T140" s="43">
        <f t="shared" si="8"/>
        <v>0</v>
      </c>
      <c r="U140" s="43"/>
      <c r="V140" s="525" t="e">
        <f>P140*('upper bound Kenaga'!$F$36/100)</f>
        <v>#DIV/0!</v>
      </c>
      <c r="W140" s="43"/>
      <c r="X140" s="525" t="e">
        <f>P140*('upper bound Kenaga'!$F$96/100)</f>
        <v>#DIV/0!</v>
      </c>
      <c r="Y140" s="43"/>
      <c r="Z140" s="43"/>
      <c r="AA140" s="43"/>
    </row>
    <row r="141" spans="13:27" ht="12.75">
      <c r="M141" s="43">
        <f t="shared" si="9"/>
        <v>120</v>
      </c>
      <c r="N141" s="43">
        <f t="shared" si="10"/>
        <v>1</v>
      </c>
      <c r="O141" s="43">
        <f t="shared" si="11"/>
        <v>0</v>
      </c>
      <c r="P141" s="113" t="e">
        <f t="shared" si="12"/>
        <v>#DIV/0!</v>
      </c>
      <c r="Q141" s="113" t="e">
        <f t="shared" si="13"/>
        <v>#DIV/0!</v>
      </c>
      <c r="R141" s="113" t="e">
        <f t="shared" si="14"/>
        <v>#DIV/0!</v>
      </c>
      <c r="S141" s="113" t="e">
        <f t="shared" si="15"/>
        <v>#DIV/0!</v>
      </c>
      <c r="T141" s="43">
        <f t="shared" si="8"/>
        <v>0</v>
      </c>
      <c r="U141" s="43"/>
      <c r="V141" s="525" t="e">
        <f>P141*('upper bound Kenaga'!$F$36/100)</f>
        <v>#DIV/0!</v>
      </c>
      <c r="W141" s="43"/>
      <c r="X141" s="525" t="e">
        <f>P141*('upper bound Kenaga'!$F$96/100)</f>
        <v>#DIV/0!</v>
      </c>
      <c r="Y141" s="43"/>
      <c r="Z141" s="43"/>
      <c r="AA141" s="43"/>
    </row>
    <row r="142" spans="13:27" ht="12.75">
      <c r="M142" s="43">
        <f t="shared" si="9"/>
        <v>121</v>
      </c>
      <c r="N142" s="43">
        <f t="shared" si="10"/>
        <v>1</v>
      </c>
      <c r="O142" s="43">
        <f t="shared" si="11"/>
        <v>0</v>
      </c>
      <c r="P142" s="113" t="e">
        <f t="shared" si="12"/>
        <v>#DIV/0!</v>
      </c>
      <c r="Q142" s="113" t="e">
        <f t="shared" si="13"/>
        <v>#DIV/0!</v>
      </c>
      <c r="R142" s="113" t="e">
        <f t="shared" si="14"/>
        <v>#DIV/0!</v>
      </c>
      <c r="S142" s="113" t="e">
        <f t="shared" si="15"/>
        <v>#DIV/0!</v>
      </c>
      <c r="T142" s="43">
        <f t="shared" si="8"/>
        <v>0</v>
      </c>
      <c r="U142" s="43"/>
      <c r="V142" s="525" t="e">
        <f>P142*('upper bound Kenaga'!$F$36/100)</f>
        <v>#DIV/0!</v>
      </c>
      <c r="W142" s="43"/>
      <c r="X142" s="525" t="e">
        <f>P142*('upper bound Kenaga'!$F$96/100)</f>
        <v>#DIV/0!</v>
      </c>
      <c r="Y142" s="43"/>
      <c r="Z142" s="43"/>
      <c r="AA142" s="43"/>
    </row>
    <row r="143" spans="13:27" ht="12.75">
      <c r="M143" s="43">
        <f t="shared" si="9"/>
        <v>122</v>
      </c>
      <c r="N143" s="43">
        <f t="shared" si="10"/>
        <v>1</v>
      </c>
      <c r="O143" s="43">
        <f t="shared" si="11"/>
        <v>0</v>
      </c>
      <c r="P143" s="113" t="e">
        <f t="shared" si="12"/>
        <v>#DIV/0!</v>
      </c>
      <c r="Q143" s="113" t="e">
        <f t="shared" si="13"/>
        <v>#DIV/0!</v>
      </c>
      <c r="R143" s="113" t="e">
        <f t="shared" si="14"/>
        <v>#DIV/0!</v>
      </c>
      <c r="S143" s="113" t="e">
        <f t="shared" si="15"/>
        <v>#DIV/0!</v>
      </c>
      <c r="T143" s="43">
        <f t="shared" si="8"/>
        <v>0</v>
      </c>
      <c r="U143" s="43"/>
      <c r="V143" s="525" t="e">
        <f>P143*('upper bound Kenaga'!$F$36/100)</f>
        <v>#DIV/0!</v>
      </c>
      <c r="W143" s="43"/>
      <c r="X143" s="525" t="e">
        <f>P143*('upper bound Kenaga'!$F$96/100)</f>
        <v>#DIV/0!</v>
      </c>
      <c r="Y143" s="43"/>
      <c r="Z143" s="43"/>
      <c r="AA143" s="43"/>
    </row>
    <row r="144" spans="13:27" ht="12.75">
      <c r="M144" s="43">
        <f t="shared" si="9"/>
        <v>123</v>
      </c>
      <c r="N144" s="43">
        <f t="shared" si="10"/>
        <v>1</v>
      </c>
      <c r="O144" s="43">
        <f t="shared" si="11"/>
        <v>0</v>
      </c>
      <c r="P144" s="113" t="e">
        <f t="shared" si="12"/>
        <v>#DIV/0!</v>
      </c>
      <c r="Q144" s="113" t="e">
        <f t="shared" si="13"/>
        <v>#DIV/0!</v>
      </c>
      <c r="R144" s="113" t="e">
        <f t="shared" si="14"/>
        <v>#DIV/0!</v>
      </c>
      <c r="S144" s="113" t="e">
        <f t="shared" si="15"/>
        <v>#DIV/0!</v>
      </c>
      <c r="T144" s="43">
        <f t="shared" si="8"/>
        <v>0</v>
      </c>
      <c r="U144" s="43"/>
      <c r="V144" s="525" t="e">
        <f>P144*('upper bound Kenaga'!$F$36/100)</f>
        <v>#DIV/0!</v>
      </c>
      <c r="W144" s="43"/>
      <c r="X144" s="525" t="e">
        <f>P144*('upper bound Kenaga'!$F$96/100)</f>
        <v>#DIV/0!</v>
      </c>
      <c r="Y144" s="43"/>
      <c r="Z144" s="43"/>
      <c r="AA144" s="43"/>
    </row>
    <row r="145" spans="13:27" ht="12.75">
      <c r="M145" s="43">
        <f t="shared" si="9"/>
        <v>124</v>
      </c>
      <c r="N145" s="43">
        <f t="shared" si="10"/>
        <v>1</v>
      </c>
      <c r="O145" s="43">
        <f t="shared" si="11"/>
        <v>0</v>
      </c>
      <c r="P145" s="113" t="e">
        <f t="shared" si="12"/>
        <v>#DIV/0!</v>
      </c>
      <c r="Q145" s="113" t="e">
        <f t="shared" si="13"/>
        <v>#DIV/0!</v>
      </c>
      <c r="R145" s="113" t="e">
        <f t="shared" si="14"/>
        <v>#DIV/0!</v>
      </c>
      <c r="S145" s="113" t="e">
        <f t="shared" si="15"/>
        <v>#DIV/0!</v>
      </c>
      <c r="T145" s="43">
        <f t="shared" si="8"/>
        <v>0</v>
      </c>
      <c r="U145" s="43"/>
      <c r="V145" s="525" t="e">
        <f>P145*('upper bound Kenaga'!$F$36/100)</f>
        <v>#DIV/0!</v>
      </c>
      <c r="W145" s="43"/>
      <c r="X145" s="525" t="e">
        <f>P145*('upper bound Kenaga'!$F$96/100)</f>
        <v>#DIV/0!</v>
      </c>
      <c r="Y145" s="43"/>
      <c r="Z145" s="43"/>
      <c r="AA145" s="43"/>
    </row>
    <row r="146" spans="13:27" ht="12.75">
      <c r="M146" s="43">
        <f t="shared" si="9"/>
        <v>125</v>
      </c>
      <c r="N146" s="43">
        <f t="shared" si="10"/>
        <v>1</v>
      </c>
      <c r="O146" s="43">
        <f t="shared" si="11"/>
        <v>0</v>
      </c>
      <c r="P146" s="113" t="e">
        <f t="shared" si="12"/>
        <v>#DIV/0!</v>
      </c>
      <c r="Q146" s="113" t="e">
        <f t="shared" si="13"/>
        <v>#DIV/0!</v>
      </c>
      <c r="R146" s="113" t="e">
        <f t="shared" si="14"/>
        <v>#DIV/0!</v>
      </c>
      <c r="S146" s="113" t="e">
        <f t="shared" si="15"/>
        <v>#DIV/0!</v>
      </c>
      <c r="T146" s="43">
        <f t="shared" si="8"/>
        <v>0</v>
      </c>
      <c r="U146" s="43"/>
      <c r="V146" s="525" t="e">
        <f>P146*('upper bound Kenaga'!$F$36/100)</f>
        <v>#DIV/0!</v>
      </c>
      <c r="W146" s="43"/>
      <c r="X146" s="525" t="e">
        <f>P146*('upper bound Kenaga'!$F$96/100)</f>
        <v>#DIV/0!</v>
      </c>
      <c r="Y146" s="43"/>
      <c r="Z146" s="43"/>
      <c r="AA146" s="43"/>
    </row>
    <row r="147" spans="13:27" ht="12.75">
      <c r="M147" s="43">
        <f t="shared" si="9"/>
        <v>126</v>
      </c>
      <c r="N147" s="43">
        <f t="shared" si="10"/>
        <v>1</v>
      </c>
      <c r="O147" s="43">
        <f t="shared" si="11"/>
        <v>0</v>
      </c>
      <c r="P147" s="113" t="e">
        <f t="shared" si="12"/>
        <v>#DIV/0!</v>
      </c>
      <c r="Q147" s="113" t="e">
        <f t="shared" si="13"/>
        <v>#DIV/0!</v>
      </c>
      <c r="R147" s="113" t="e">
        <f t="shared" si="14"/>
        <v>#DIV/0!</v>
      </c>
      <c r="S147" s="113" t="e">
        <f t="shared" si="15"/>
        <v>#DIV/0!</v>
      </c>
      <c r="T147" s="43">
        <f t="shared" si="8"/>
        <v>0</v>
      </c>
      <c r="U147" s="43"/>
      <c r="V147" s="525" t="e">
        <f>P147*('upper bound Kenaga'!$F$36/100)</f>
        <v>#DIV/0!</v>
      </c>
      <c r="W147" s="43"/>
      <c r="X147" s="525" t="e">
        <f>P147*('upper bound Kenaga'!$F$96/100)</f>
        <v>#DIV/0!</v>
      </c>
      <c r="Y147" s="43"/>
      <c r="Z147" s="43"/>
      <c r="AA147" s="43"/>
    </row>
    <row r="148" spans="13:27" ht="12.75">
      <c r="M148" s="43">
        <f t="shared" si="9"/>
        <v>127</v>
      </c>
      <c r="N148" s="43">
        <f t="shared" si="10"/>
        <v>1</v>
      </c>
      <c r="O148" s="43">
        <f t="shared" si="11"/>
        <v>0</v>
      </c>
      <c r="P148" s="113" t="e">
        <f t="shared" si="12"/>
        <v>#DIV/0!</v>
      </c>
      <c r="Q148" s="113" t="e">
        <f t="shared" si="13"/>
        <v>#DIV/0!</v>
      </c>
      <c r="R148" s="113" t="e">
        <f t="shared" si="14"/>
        <v>#DIV/0!</v>
      </c>
      <c r="S148" s="113" t="e">
        <f t="shared" si="15"/>
        <v>#DIV/0!</v>
      </c>
      <c r="T148" s="43">
        <f t="shared" si="8"/>
        <v>0</v>
      </c>
      <c r="U148" s="43"/>
      <c r="V148" s="525" t="e">
        <f>P148*('upper bound Kenaga'!$F$36/100)</f>
        <v>#DIV/0!</v>
      </c>
      <c r="W148" s="43"/>
      <c r="X148" s="525" t="e">
        <f>P148*('upper bound Kenaga'!$F$96/100)</f>
        <v>#DIV/0!</v>
      </c>
      <c r="Y148" s="43"/>
      <c r="Z148" s="43"/>
      <c r="AA148" s="43"/>
    </row>
    <row r="149" spans="13:27" ht="12.75">
      <c r="M149" s="43">
        <f t="shared" si="9"/>
        <v>128</v>
      </c>
      <c r="N149" s="43">
        <f t="shared" si="10"/>
        <v>1</v>
      </c>
      <c r="O149" s="43">
        <f t="shared" si="11"/>
        <v>0</v>
      </c>
      <c r="P149" s="113" t="e">
        <f t="shared" si="12"/>
        <v>#DIV/0!</v>
      </c>
      <c r="Q149" s="113" t="e">
        <f t="shared" si="13"/>
        <v>#DIV/0!</v>
      </c>
      <c r="R149" s="113" t="e">
        <f t="shared" si="14"/>
        <v>#DIV/0!</v>
      </c>
      <c r="S149" s="113" t="e">
        <f t="shared" si="15"/>
        <v>#DIV/0!</v>
      </c>
      <c r="T149" s="43">
        <f aca="true" t="shared" si="17" ref="T149:T212">$B$11</f>
        <v>0</v>
      </c>
      <c r="U149" s="43"/>
      <c r="V149" s="525" t="e">
        <f>P149*('upper bound Kenaga'!$F$36/100)</f>
        <v>#DIV/0!</v>
      </c>
      <c r="W149" s="43"/>
      <c r="X149" s="525" t="e">
        <f>P149*('upper bound Kenaga'!$F$96/100)</f>
        <v>#DIV/0!</v>
      </c>
      <c r="Y149" s="43"/>
      <c r="Z149" s="43"/>
      <c r="AA149" s="43"/>
    </row>
    <row r="150" spans="13:27" ht="12.75">
      <c r="M150" s="43">
        <f aca="true" t="shared" si="18" ref="M150:M213">(M149+1)</f>
        <v>129</v>
      </c>
      <c r="N150" s="43">
        <f aca="true" t="shared" si="19" ref="N150:N213">IF($B$9&gt;N149,IF(O149=($B$8-1),(N149+1),(N149)),(N149))</f>
        <v>1</v>
      </c>
      <c r="O150" s="43">
        <f aca="true" t="shared" si="20" ref="O150:O213">IF(O149&lt;($B$8-1),(1+O149),0)</f>
        <v>0</v>
      </c>
      <c r="P150" s="113" t="e">
        <f aca="true" t="shared" si="21" ref="P150:P213">IF((N150&gt;N149),(EXP(-$Q$16)*(P149)+$Q$11),((EXP(-$Q$16)*(P149))))</f>
        <v>#DIV/0!</v>
      </c>
      <c r="Q150" s="113" t="e">
        <f aca="true" t="shared" si="22" ref="Q150:Q213">IF((N150&gt;N149),(EXP(-$Q$16)*(Q149)+$Q$12),((EXP(-$Q$16)*(Q149))))</f>
        <v>#DIV/0!</v>
      </c>
      <c r="R150" s="113" t="e">
        <f aca="true" t="shared" si="23" ref="R150:R213">IF((N150&gt;N149),(EXP(-$Q$16)*(R149)+$Q$13),((EXP(-$Q$16)*(R149))))</f>
        <v>#DIV/0!</v>
      </c>
      <c r="S150" s="113" t="e">
        <f aca="true" t="shared" si="24" ref="S150:S213">IF((N150&gt;N149),(EXP(-$Q$16)*(S149)+$Q$14),((EXP(-$Q$16)*(S149))))</f>
        <v>#DIV/0!</v>
      </c>
      <c r="T150" s="43">
        <f t="shared" si="17"/>
        <v>0</v>
      </c>
      <c r="U150" s="43"/>
      <c r="V150" s="525" t="e">
        <f>P150*('upper bound Kenaga'!$F$36/100)</f>
        <v>#DIV/0!</v>
      </c>
      <c r="W150" s="43"/>
      <c r="X150" s="525" t="e">
        <f>P150*('upper bound Kenaga'!$F$96/100)</f>
        <v>#DIV/0!</v>
      </c>
      <c r="Y150" s="43"/>
      <c r="Z150" s="43"/>
      <c r="AA150" s="43"/>
    </row>
    <row r="151" spans="13:27" ht="12.75">
      <c r="M151" s="43">
        <f t="shared" si="18"/>
        <v>130</v>
      </c>
      <c r="N151" s="43">
        <f t="shared" si="19"/>
        <v>1</v>
      </c>
      <c r="O151" s="43">
        <f t="shared" si="20"/>
        <v>0</v>
      </c>
      <c r="P151" s="113" t="e">
        <f t="shared" si="21"/>
        <v>#DIV/0!</v>
      </c>
      <c r="Q151" s="113" t="e">
        <f t="shared" si="22"/>
        <v>#DIV/0!</v>
      </c>
      <c r="R151" s="113" t="e">
        <f t="shared" si="23"/>
        <v>#DIV/0!</v>
      </c>
      <c r="S151" s="113" t="e">
        <f t="shared" si="24"/>
        <v>#DIV/0!</v>
      </c>
      <c r="T151" s="43">
        <f t="shared" si="17"/>
        <v>0</v>
      </c>
      <c r="U151" s="43"/>
      <c r="V151" s="525" t="e">
        <f>P151*('upper bound Kenaga'!$F$36/100)</f>
        <v>#DIV/0!</v>
      </c>
      <c r="W151" s="43"/>
      <c r="X151" s="525" t="e">
        <f>P151*('upper bound Kenaga'!$F$96/100)</f>
        <v>#DIV/0!</v>
      </c>
      <c r="Y151" s="43"/>
      <c r="Z151" s="43"/>
      <c r="AA151" s="43"/>
    </row>
    <row r="152" spans="13:27" ht="12.75">
      <c r="M152" s="43">
        <f t="shared" si="18"/>
        <v>131</v>
      </c>
      <c r="N152" s="43">
        <f t="shared" si="19"/>
        <v>1</v>
      </c>
      <c r="O152" s="43">
        <f t="shared" si="20"/>
        <v>0</v>
      </c>
      <c r="P152" s="113" t="e">
        <f t="shared" si="21"/>
        <v>#DIV/0!</v>
      </c>
      <c r="Q152" s="113" t="e">
        <f t="shared" si="22"/>
        <v>#DIV/0!</v>
      </c>
      <c r="R152" s="113" t="e">
        <f t="shared" si="23"/>
        <v>#DIV/0!</v>
      </c>
      <c r="S152" s="113" t="e">
        <f t="shared" si="24"/>
        <v>#DIV/0!</v>
      </c>
      <c r="T152" s="43">
        <f t="shared" si="17"/>
        <v>0</v>
      </c>
      <c r="U152" s="43"/>
      <c r="V152" s="525" t="e">
        <f>P152*('upper bound Kenaga'!$F$36/100)</f>
        <v>#DIV/0!</v>
      </c>
      <c r="W152" s="43"/>
      <c r="X152" s="525" t="e">
        <f>P152*('upper bound Kenaga'!$F$96/100)</f>
        <v>#DIV/0!</v>
      </c>
      <c r="Y152" s="43"/>
      <c r="Z152" s="43"/>
      <c r="AA152" s="43"/>
    </row>
    <row r="153" spans="13:27" ht="12.75">
      <c r="M153" s="43">
        <f t="shared" si="18"/>
        <v>132</v>
      </c>
      <c r="N153" s="43">
        <f t="shared" si="19"/>
        <v>1</v>
      </c>
      <c r="O153" s="43">
        <f t="shared" si="20"/>
        <v>0</v>
      </c>
      <c r="P153" s="113" t="e">
        <f t="shared" si="21"/>
        <v>#DIV/0!</v>
      </c>
      <c r="Q153" s="113" t="e">
        <f t="shared" si="22"/>
        <v>#DIV/0!</v>
      </c>
      <c r="R153" s="113" t="e">
        <f t="shared" si="23"/>
        <v>#DIV/0!</v>
      </c>
      <c r="S153" s="113" t="e">
        <f t="shared" si="24"/>
        <v>#DIV/0!</v>
      </c>
      <c r="T153" s="43">
        <f t="shared" si="17"/>
        <v>0</v>
      </c>
      <c r="U153" s="43"/>
      <c r="V153" s="525" t="e">
        <f>P153*('upper bound Kenaga'!$F$36/100)</f>
        <v>#DIV/0!</v>
      </c>
      <c r="W153" s="43"/>
      <c r="X153" s="525" t="e">
        <f>P153*('upper bound Kenaga'!$F$96/100)</f>
        <v>#DIV/0!</v>
      </c>
      <c r="Y153" s="43"/>
      <c r="Z153" s="43"/>
      <c r="AA153" s="43"/>
    </row>
    <row r="154" spans="13:27" ht="12.75">
      <c r="M154" s="43">
        <f t="shared" si="18"/>
        <v>133</v>
      </c>
      <c r="N154" s="43">
        <f t="shared" si="19"/>
        <v>1</v>
      </c>
      <c r="O154" s="43">
        <f t="shared" si="20"/>
        <v>0</v>
      </c>
      <c r="P154" s="113" t="e">
        <f t="shared" si="21"/>
        <v>#DIV/0!</v>
      </c>
      <c r="Q154" s="113" t="e">
        <f t="shared" si="22"/>
        <v>#DIV/0!</v>
      </c>
      <c r="R154" s="113" t="e">
        <f t="shared" si="23"/>
        <v>#DIV/0!</v>
      </c>
      <c r="S154" s="113" t="e">
        <f t="shared" si="24"/>
        <v>#DIV/0!</v>
      </c>
      <c r="T154" s="43">
        <f t="shared" si="17"/>
        <v>0</v>
      </c>
      <c r="U154" s="43"/>
      <c r="V154" s="525" t="e">
        <f>P154*('upper bound Kenaga'!$F$36/100)</f>
        <v>#DIV/0!</v>
      </c>
      <c r="W154" s="43"/>
      <c r="X154" s="525" t="e">
        <f>P154*('upper bound Kenaga'!$F$96/100)</f>
        <v>#DIV/0!</v>
      </c>
      <c r="Y154" s="43"/>
      <c r="Z154" s="43"/>
      <c r="AA154" s="43"/>
    </row>
    <row r="155" spans="13:27" ht="12.75">
      <c r="M155" s="43">
        <f t="shared" si="18"/>
        <v>134</v>
      </c>
      <c r="N155" s="43">
        <f t="shared" si="19"/>
        <v>1</v>
      </c>
      <c r="O155" s="43">
        <f t="shared" si="20"/>
        <v>0</v>
      </c>
      <c r="P155" s="113" t="e">
        <f t="shared" si="21"/>
        <v>#DIV/0!</v>
      </c>
      <c r="Q155" s="113" t="e">
        <f t="shared" si="22"/>
        <v>#DIV/0!</v>
      </c>
      <c r="R155" s="113" t="e">
        <f t="shared" si="23"/>
        <v>#DIV/0!</v>
      </c>
      <c r="S155" s="113" t="e">
        <f t="shared" si="24"/>
        <v>#DIV/0!</v>
      </c>
      <c r="T155" s="43">
        <f t="shared" si="17"/>
        <v>0</v>
      </c>
      <c r="U155" s="43"/>
      <c r="V155" s="525" t="e">
        <f>P155*('upper bound Kenaga'!$F$36/100)</f>
        <v>#DIV/0!</v>
      </c>
      <c r="W155" s="43"/>
      <c r="X155" s="525" t="e">
        <f>P155*('upper bound Kenaga'!$F$96/100)</f>
        <v>#DIV/0!</v>
      </c>
      <c r="Y155" s="43"/>
      <c r="Z155" s="43"/>
      <c r="AA155" s="43"/>
    </row>
    <row r="156" spans="13:27" ht="12.75">
      <c r="M156" s="43">
        <f t="shared" si="18"/>
        <v>135</v>
      </c>
      <c r="N156" s="43">
        <f t="shared" si="19"/>
        <v>1</v>
      </c>
      <c r="O156" s="43">
        <f t="shared" si="20"/>
        <v>0</v>
      </c>
      <c r="P156" s="113" t="e">
        <f t="shared" si="21"/>
        <v>#DIV/0!</v>
      </c>
      <c r="Q156" s="113" t="e">
        <f t="shared" si="22"/>
        <v>#DIV/0!</v>
      </c>
      <c r="R156" s="113" t="e">
        <f t="shared" si="23"/>
        <v>#DIV/0!</v>
      </c>
      <c r="S156" s="113" t="e">
        <f t="shared" si="24"/>
        <v>#DIV/0!</v>
      </c>
      <c r="T156" s="43">
        <f t="shared" si="17"/>
        <v>0</v>
      </c>
      <c r="U156" s="43"/>
      <c r="V156" s="525" t="e">
        <f>P156*('upper bound Kenaga'!$F$36/100)</f>
        <v>#DIV/0!</v>
      </c>
      <c r="W156" s="43"/>
      <c r="X156" s="525" t="e">
        <f>P156*('upper bound Kenaga'!$F$96/100)</f>
        <v>#DIV/0!</v>
      </c>
      <c r="Y156" s="43"/>
      <c r="Z156" s="43"/>
      <c r="AA156" s="43"/>
    </row>
    <row r="157" spans="13:27" ht="12.75">
      <c r="M157" s="43">
        <f t="shared" si="18"/>
        <v>136</v>
      </c>
      <c r="N157" s="43">
        <f t="shared" si="19"/>
        <v>1</v>
      </c>
      <c r="O157" s="43">
        <f t="shared" si="20"/>
        <v>0</v>
      </c>
      <c r="P157" s="113" t="e">
        <f t="shared" si="21"/>
        <v>#DIV/0!</v>
      </c>
      <c r="Q157" s="113" t="e">
        <f t="shared" si="22"/>
        <v>#DIV/0!</v>
      </c>
      <c r="R157" s="113" t="e">
        <f t="shared" si="23"/>
        <v>#DIV/0!</v>
      </c>
      <c r="S157" s="113" t="e">
        <f t="shared" si="24"/>
        <v>#DIV/0!</v>
      </c>
      <c r="T157" s="43">
        <f t="shared" si="17"/>
        <v>0</v>
      </c>
      <c r="U157" s="43"/>
      <c r="V157" s="525" t="e">
        <f>P157*('upper bound Kenaga'!$F$36/100)</f>
        <v>#DIV/0!</v>
      </c>
      <c r="W157" s="43"/>
      <c r="X157" s="525" t="e">
        <f>P157*('upper bound Kenaga'!$F$96/100)</f>
        <v>#DIV/0!</v>
      </c>
      <c r="Y157" s="43"/>
      <c r="Z157" s="43"/>
      <c r="AA157" s="43"/>
    </row>
    <row r="158" spans="13:27" ht="12.75">
      <c r="M158" s="43">
        <f t="shared" si="18"/>
        <v>137</v>
      </c>
      <c r="N158" s="43">
        <f t="shared" si="19"/>
        <v>1</v>
      </c>
      <c r="O158" s="43">
        <f t="shared" si="20"/>
        <v>0</v>
      </c>
      <c r="P158" s="113" t="e">
        <f t="shared" si="21"/>
        <v>#DIV/0!</v>
      </c>
      <c r="Q158" s="113" t="e">
        <f t="shared" si="22"/>
        <v>#DIV/0!</v>
      </c>
      <c r="R158" s="113" t="e">
        <f t="shared" si="23"/>
        <v>#DIV/0!</v>
      </c>
      <c r="S158" s="113" t="e">
        <f t="shared" si="24"/>
        <v>#DIV/0!</v>
      </c>
      <c r="T158" s="43">
        <f t="shared" si="17"/>
        <v>0</v>
      </c>
      <c r="U158" s="43"/>
      <c r="V158" s="525" t="e">
        <f>P158*('upper bound Kenaga'!$F$36/100)</f>
        <v>#DIV/0!</v>
      </c>
      <c r="W158" s="43"/>
      <c r="X158" s="525" t="e">
        <f>P158*('upper bound Kenaga'!$F$96/100)</f>
        <v>#DIV/0!</v>
      </c>
      <c r="Y158" s="43"/>
      <c r="Z158" s="43"/>
      <c r="AA158" s="43"/>
    </row>
    <row r="159" spans="13:27" ht="12.75">
      <c r="M159" s="43">
        <f t="shared" si="18"/>
        <v>138</v>
      </c>
      <c r="N159" s="43">
        <f t="shared" si="19"/>
        <v>1</v>
      </c>
      <c r="O159" s="43">
        <f t="shared" si="20"/>
        <v>0</v>
      </c>
      <c r="P159" s="113" t="e">
        <f t="shared" si="21"/>
        <v>#DIV/0!</v>
      </c>
      <c r="Q159" s="113" t="e">
        <f t="shared" si="22"/>
        <v>#DIV/0!</v>
      </c>
      <c r="R159" s="113" t="e">
        <f t="shared" si="23"/>
        <v>#DIV/0!</v>
      </c>
      <c r="S159" s="113" t="e">
        <f t="shared" si="24"/>
        <v>#DIV/0!</v>
      </c>
      <c r="T159" s="43">
        <f t="shared" si="17"/>
        <v>0</v>
      </c>
      <c r="U159" s="43"/>
      <c r="V159" s="525" t="e">
        <f>P159*('upper bound Kenaga'!$F$36/100)</f>
        <v>#DIV/0!</v>
      </c>
      <c r="W159" s="43"/>
      <c r="X159" s="525" t="e">
        <f>P159*('upper bound Kenaga'!$F$96/100)</f>
        <v>#DIV/0!</v>
      </c>
      <c r="Y159" s="43"/>
      <c r="Z159" s="43"/>
      <c r="AA159" s="43"/>
    </row>
    <row r="160" spans="13:27" ht="12.75">
      <c r="M160" s="43">
        <f t="shared" si="18"/>
        <v>139</v>
      </c>
      <c r="N160" s="43">
        <f t="shared" si="19"/>
        <v>1</v>
      </c>
      <c r="O160" s="43">
        <f t="shared" si="20"/>
        <v>0</v>
      </c>
      <c r="P160" s="113" t="e">
        <f t="shared" si="21"/>
        <v>#DIV/0!</v>
      </c>
      <c r="Q160" s="113" t="e">
        <f t="shared" si="22"/>
        <v>#DIV/0!</v>
      </c>
      <c r="R160" s="113" t="e">
        <f t="shared" si="23"/>
        <v>#DIV/0!</v>
      </c>
      <c r="S160" s="113" t="e">
        <f t="shared" si="24"/>
        <v>#DIV/0!</v>
      </c>
      <c r="T160" s="43">
        <f t="shared" si="17"/>
        <v>0</v>
      </c>
      <c r="U160" s="43"/>
      <c r="V160" s="525" t="e">
        <f>P160*('upper bound Kenaga'!$F$36/100)</f>
        <v>#DIV/0!</v>
      </c>
      <c r="W160" s="43"/>
      <c r="X160" s="525" t="e">
        <f>P160*('upper bound Kenaga'!$F$96/100)</f>
        <v>#DIV/0!</v>
      </c>
      <c r="Y160" s="43"/>
      <c r="Z160" s="43"/>
      <c r="AA160" s="43"/>
    </row>
    <row r="161" spans="13:27" ht="12.75">
      <c r="M161" s="43">
        <f t="shared" si="18"/>
        <v>140</v>
      </c>
      <c r="N161" s="43">
        <f t="shared" si="19"/>
        <v>1</v>
      </c>
      <c r="O161" s="43">
        <f t="shared" si="20"/>
        <v>0</v>
      </c>
      <c r="P161" s="113" t="e">
        <f t="shared" si="21"/>
        <v>#DIV/0!</v>
      </c>
      <c r="Q161" s="113" t="e">
        <f t="shared" si="22"/>
        <v>#DIV/0!</v>
      </c>
      <c r="R161" s="113" t="e">
        <f t="shared" si="23"/>
        <v>#DIV/0!</v>
      </c>
      <c r="S161" s="113" t="e">
        <f t="shared" si="24"/>
        <v>#DIV/0!</v>
      </c>
      <c r="T161" s="43">
        <f t="shared" si="17"/>
        <v>0</v>
      </c>
      <c r="U161" s="43"/>
      <c r="V161" s="525" t="e">
        <f>P161*('upper bound Kenaga'!$F$36/100)</f>
        <v>#DIV/0!</v>
      </c>
      <c r="W161" s="43"/>
      <c r="X161" s="525" t="e">
        <f>P161*('upper bound Kenaga'!$F$96/100)</f>
        <v>#DIV/0!</v>
      </c>
      <c r="Y161" s="43"/>
      <c r="Z161" s="43"/>
      <c r="AA161" s="43"/>
    </row>
    <row r="162" spans="13:27" ht="12.75">
      <c r="M162" s="43">
        <f t="shared" si="18"/>
        <v>141</v>
      </c>
      <c r="N162" s="43">
        <f t="shared" si="19"/>
        <v>1</v>
      </c>
      <c r="O162" s="43">
        <f t="shared" si="20"/>
        <v>0</v>
      </c>
      <c r="P162" s="113" t="e">
        <f t="shared" si="21"/>
        <v>#DIV/0!</v>
      </c>
      <c r="Q162" s="113" t="e">
        <f t="shared" si="22"/>
        <v>#DIV/0!</v>
      </c>
      <c r="R162" s="113" t="e">
        <f t="shared" si="23"/>
        <v>#DIV/0!</v>
      </c>
      <c r="S162" s="113" t="e">
        <f t="shared" si="24"/>
        <v>#DIV/0!</v>
      </c>
      <c r="T162" s="43">
        <f t="shared" si="17"/>
        <v>0</v>
      </c>
      <c r="U162" s="43"/>
      <c r="V162" s="525" t="e">
        <f>P162*('upper bound Kenaga'!$F$36/100)</f>
        <v>#DIV/0!</v>
      </c>
      <c r="W162" s="43"/>
      <c r="X162" s="525" t="e">
        <f>P162*('upper bound Kenaga'!$F$96/100)</f>
        <v>#DIV/0!</v>
      </c>
      <c r="Y162" s="43"/>
      <c r="Z162" s="43"/>
      <c r="AA162" s="43"/>
    </row>
    <row r="163" spans="13:27" ht="12.75">
      <c r="M163" s="43">
        <f t="shared" si="18"/>
        <v>142</v>
      </c>
      <c r="N163" s="43">
        <f t="shared" si="19"/>
        <v>1</v>
      </c>
      <c r="O163" s="43">
        <f t="shared" si="20"/>
        <v>0</v>
      </c>
      <c r="P163" s="113" t="e">
        <f t="shared" si="21"/>
        <v>#DIV/0!</v>
      </c>
      <c r="Q163" s="113" t="e">
        <f t="shared" si="22"/>
        <v>#DIV/0!</v>
      </c>
      <c r="R163" s="113" t="e">
        <f t="shared" si="23"/>
        <v>#DIV/0!</v>
      </c>
      <c r="S163" s="113" t="e">
        <f t="shared" si="24"/>
        <v>#DIV/0!</v>
      </c>
      <c r="T163" s="43">
        <f t="shared" si="17"/>
        <v>0</v>
      </c>
      <c r="U163" s="43"/>
      <c r="V163" s="525" t="e">
        <f>P163*('upper bound Kenaga'!$F$36/100)</f>
        <v>#DIV/0!</v>
      </c>
      <c r="W163" s="43"/>
      <c r="X163" s="525" t="e">
        <f>P163*('upper bound Kenaga'!$F$96/100)</f>
        <v>#DIV/0!</v>
      </c>
      <c r="Y163" s="43"/>
      <c r="Z163" s="43"/>
      <c r="AA163" s="43"/>
    </row>
    <row r="164" spans="13:27" ht="12.75">
      <c r="M164" s="43">
        <f t="shared" si="18"/>
        <v>143</v>
      </c>
      <c r="N164" s="43">
        <f t="shared" si="19"/>
        <v>1</v>
      </c>
      <c r="O164" s="43">
        <f t="shared" si="20"/>
        <v>0</v>
      </c>
      <c r="P164" s="113" t="e">
        <f t="shared" si="21"/>
        <v>#DIV/0!</v>
      </c>
      <c r="Q164" s="113" t="e">
        <f t="shared" si="22"/>
        <v>#DIV/0!</v>
      </c>
      <c r="R164" s="113" t="e">
        <f t="shared" si="23"/>
        <v>#DIV/0!</v>
      </c>
      <c r="S164" s="113" t="e">
        <f t="shared" si="24"/>
        <v>#DIV/0!</v>
      </c>
      <c r="T164" s="43">
        <f t="shared" si="17"/>
        <v>0</v>
      </c>
      <c r="U164" s="43"/>
      <c r="V164" s="525" t="e">
        <f>P164*('upper bound Kenaga'!$F$36/100)</f>
        <v>#DIV/0!</v>
      </c>
      <c r="W164" s="43"/>
      <c r="X164" s="525" t="e">
        <f>P164*('upper bound Kenaga'!$F$96/100)</f>
        <v>#DIV/0!</v>
      </c>
      <c r="Y164" s="43"/>
      <c r="Z164" s="43"/>
      <c r="AA164" s="43"/>
    </row>
    <row r="165" spans="13:27" ht="12.75">
      <c r="M165" s="43">
        <f t="shared" si="18"/>
        <v>144</v>
      </c>
      <c r="N165" s="43">
        <f t="shared" si="19"/>
        <v>1</v>
      </c>
      <c r="O165" s="43">
        <f t="shared" si="20"/>
        <v>0</v>
      </c>
      <c r="P165" s="113" t="e">
        <f t="shared" si="21"/>
        <v>#DIV/0!</v>
      </c>
      <c r="Q165" s="113" t="e">
        <f t="shared" si="22"/>
        <v>#DIV/0!</v>
      </c>
      <c r="R165" s="113" t="e">
        <f t="shared" si="23"/>
        <v>#DIV/0!</v>
      </c>
      <c r="S165" s="113" t="e">
        <f t="shared" si="24"/>
        <v>#DIV/0!</v>
      </c>
      <c r="T165" s="43">
        <f t="shared" si="17"/>
        <v>0</v>
      </c>
      <c r="U165" s="43"/>
      <c r="V165" s="525" t="e">
        <f>P165*('upper bound Kenaga'!$F$36/100)</f>
        <v>#DIV/0!</v>
      </c>
      <c r="W165" s="43"/>
      <c r="X165" s="525" t="e">
        <f>P165*('upper bound Kenaga'!$F$96/100)</f>
        <v>#DIV/0!</v>
      </c>
      <c r="Y165" s="43"/>
      <c r="Z165" s="43"/>
      <c r="AA165" s="43"/>
    </row>
    <row r="166" spans="13:27" ht="12.75">
      <c r="M166" s="43">
        <f t="shared" si="18"/>
        <v>145</v>
      </c>
      <c r="N166" s="43">
        <f t="shared" si="19"/>
        <v>1</v>
      </c>
      <c r="O166" s="43">
        <f t="shared" si="20"/>
        <v>0</v>
      </c>
      <c r="P166" s="113" t="e">
        <f t="shared" si="21"/>
        <v>#DIV/0!</v>
      </c>
      <c r="Q166" s="113" t="e">
        <f t="shared" si="22"/>
        <v>#DIV/0!</v>
      </c>
      <c r="R166" s="113" t="e">
        <f t="shared" si="23"/>
        <v>#DIV/0!</v>
      </c>
      <c r="S166" s="113" t="e">
        <f t="shared" si="24"/>
        <v>#DIV/0!</v>
      </c>
      <c r="T166" s="43">
        <f t="shared" si="17"/>
        <v>0</v>
      </c>
      <c r="U166" s="43"/>
      <c r="V166" s="525" t="e">
        <f>P166*('upper bound Kenaga'!$F$36/100)</f>
        <v>#DIV/0!</v>
      </c>
      <c r="W166" s="43"/>
      <c r="X166" s="525" t="e">
        <f>P166*('upper bound Kenaga'!$F$96/100)</f>
        <v>#DIV/0!</v>
      </c>
      <c r="Y166" s="43"/>
      <c r="Z166" s="43"/>
      <c r="AA166" s="43"/>
    </row>
    <row r="167" spans="13:27" ht="12.75">
      <c r="M167" s="43">
        <f t="shared" si="18"/>
        <v>146</v>
      </c>
      <c r="N167" s="43">
        <f t="shared" si="19"/>
        <v>1</v>
      </c>
      <c r="O167" s="43">
        <f t="shared" si="20"/>
        <v>0</v>
      </c>
      <c r="P167" s="113" t="e">
        <f t="shared" si="21"/>
        <v>#DIV/0!</v>
      </c>
      <c r="Q167" s="113" t="e">
        <f t="shared" si="22"/>
        <v>#DIV/0!</v>
      </c>
      <c r="R167" s="113" t="e">
        <f t="shared" si="23"/>
        <v>#DIV/0!</v>
      </c>
      <c r="S167" s="113" t="e">
        <f t="shared" si="24"/>
        <v>#DIV/0!</v>
      </c>
      <c r="T167" s="43">
        <f t="shared" si="17"/>
        <v>0</v>
      </c>
      <c r="U167" s="43"/>
      <c r="V167" s="525" t="e">
        <f>P167*('upper bound Kenaga'!$F$36/100)</f>
        <v>#DIV/0!</v>
      </c>
      <c r="W167" s="43"/>
      <c r="X167" s="525" t="e">
        <f>P167*('upper bound Kenaga'!$F$96/100)</f>
        <v>#DIV/0!</v>
      </c>
      <c r="Y167" s="43"/>
      <c r="Z167" s="43"/>
      <c r="AA167" s="43"/>
    </row>
    <row r="168" spans="13:27" ht="12.75">
      <c r="M168" s="43">
        <f t="shared" si="18"/>
        <v>147</v>
      </c>
      <c r="N168" s="43">
        <f t="shared" si="19"/>
        <v>1</v>
      </c>
      <c r="O168" s="43">
        <f t="shared" si="20"/>
        <v>0</v>
      </c>
      <c r="P168" s="113" t="e">
        <f t="shared" si="21"/>
        <v>#DIV/0!</v>
      </c>
      <c r="Q168" s="113" t="e">
        <f t="shared" si="22"/>
        <v>#DIV/0!</v>
      </c>
      <c r="R168" s="113" t="e">
        <f t="shared" si="23"/>
        <v>#DIV/0!</v>
      </c>
      <c r="S168" s="113" t="e">
        <f t="shared" si="24"/>
        <v>#DIV/0!</v>
      </c>
      <c r="T168" s="43">
        <f t="shared" si="17"/>
        <v>0</v>
      </c>
      <c r="U168" s="43"/>
      <c r="V168" s="525" t="e">
        <f>P168*('upper bound Kenaga'!$F$36/100)</f>
        <v>#DIV/0!</v>
      </c>
      <c r="W168" s="43"/>
      <c r="X168" s="525" t="e">
        <f>P168*('upper bound Kenaga'!$F$96/100)</f>
        <v>#DIV/0!</v>
      </c>
      <c r="Y168" s="43"/>
      <c r="Z168" s="43"/>
      <c r="AA168" s="43"/>
    </row>
    <row r="169" spans="13:27" ht="12.75">
      <c r="M169" s="43">
        <f t="shared" si="18"/>
        <v>148</v>
      </c>
      <c r="N169" s="43">
        <f t="shared" si="19"/>
        <v>1</v>
      </c>
      <c r="O169" s="43">
        <f t="shared" si="20"/>
        <v>0</v>
      </c>
      <c r="P169" s="113" t="e">
        <f t="shared" si="21"/>
        <v>#DIV/0!</v>
      </c>
      <c r="Q169" s="113" t="e">
        <f t="shared" si="22"/>
        <v>#DIV/0!</v>
      </c>
      <c r="R169" s="113" t="e">
        <f t="shared" si="23"/>
        <v>#DIV/0!</v>
      </c>
      <c r="S169" s="113" t="e">
        <f t="shared" si="24"/>
        <v>#DIV/0!</v>
      </c>
      <c r="T169" s="43">
        <f t="shared" si="17"/>
        <v>0</v>
      </c>
      <c r="U169" s="43"/>
      <c r="V169" s="525" t="e">
        <f>P169*('upper bound Kenaga'!$F$36/100)</f>
        <v>#DIV/0!</v>
      </c>
      <c r="W169" s="43"/>
      <c r="X169" s="525" t="e">
        <f>P169*('upper bound Kenaga'!$F$96/100)</f>
        <v>#DIV/0!</v>
      </c>
      <c r="Y169" s="43"/>
      <c r="Z169" s="43"/>
      <c r="AA169" s="43"/>
    </row>
    <row r="170" spans="13:27" ht="12.75">
      <c r="M170" s="43">
        <f t="shared" si="18"/>
        <v>149</v>
      </c>
      <c r="N170" s="43">
        <f t="shared" si="19"/>
        <v>1</v>
      </c>
      <c r="O170" s="43">
        <f t="shared" si="20"/>
        <v>0</v>
      </c>
      <c r="P170" s="113" t="e">
        <f t="shared" si="21"/>
        <v>#DIV/0!</v>
      </c>
      <c r="Q170" s="113" t="e">
        <f t="shared" si="22"/>
        <v>#DIV/0!</v>
      </c>
      <c r="R170" s="113" t="e">
        <f t="shared" si="23"/>
        <v>#DIV/0!</v>
      </c>
      <c r="S170" s="113" t="e">
        <f t="shared" si="24"/>
        <v>#DIV/0!</v>
      </c>
      <c r="T170" s="43">
        <f t="shared" si="17"/>
        <v>0</v>
      </c>
      <c r="U170" s="43"/>
      <c r="V170" s="525" t="e">
        <f>P170*('upper bound Kenaga'!$F$36/100)</f>
        <v>#DIV/0!</v>
      </c>
      <c r="W170" s="43"/>
      <c r="X170" s="525" t="e">
        <f>P170*('upper bound Kenaga'!$F$96/100)</f>
        <v>#DIV/0!</v>
      </c>
      <c r="Y170" s="43"/>
      <c r="Z170" s="43"/>
      <c r="AA170" s="43"/>
    </row>
    <row r="171" spans="13:27" ht="12.75">
      <c r="M171" s="43">
        <f t="shared" si="18"/>
        <v>150</v>
      </c>
      <c r="N171" s="43">
        <f t="shared" si="19"/>
        <v>1</v>
      </c>
      <c r="O171" s="43">
        <f t="shared" si="20"/>
        <v>0</v>
      </c>
      <c r="P171" s="113" t="e">
        <f t="shared" si="21"/>
        <v>#DIV/0!</v>
      </c>
      <c r="Q171" s="113" t="e">
        <f t="shared" si="22"/>
        <v>#DIV/0!</v>
      </c>
      <c r="R171" s="113" t="e">
        <f t="shared" si="23"/>
        <v>#DIV/0!</v>
      </c>
      <c r="S171" s="113" t="e">
        <f t="shared" si="24"/>
        <v>#DIV/0!</v>
      </c>
      <c r="T171" s="43">
        <f t="shared" si="17"/>
        <v>0</v>
      </c>
      <c r="U171" s="43"/>
      <c r="V171" s="525" t="e">
        <f>P171*('upper bound Kenaga'!$F$36/100)</f>
        <v>#DIV/0!</v>
      </c>
      <c r="W171" s="43"/>
      <c r="X171" s="525" t="e">
        <f>P171*('upper bound Kenaga'!$F$96/100)</f>
        <v>#DIV/0!</v>
      </c>
      <c r="Y171" s="43"/>
      <c r="Z171" s="43"/>
      <c r="AA171" s="43"/>
    </row>
    <row r="172" spans="13:27" ht="12.75">
      <c r="M172" s="43">
        <f t="shared" si="18"/>
        <v>151</v>
      </c>
      <c r="N172" s="43">
        <f t="shared" si="19"/>
        <v>1</v>
      </c>
      <c r="O172" s="43">
        <f t="shared" si="20"/>
        <v>0</v>
      </c>
      <c r="P172" s="113" t="e">
        <f t="shared" si="21"/>
        <v>#DIV/0!</v>
      </c>
      <c r="Q172" s="113" t="e">
        <f t="shared" si="22"/>
        <v>#DIV/0!</v>
      </c>
      <c r="R172" s="113" t="e">
        <f t="shared" si="23"/>
        <v>#DIV/0!</v>
      </c>
      <c r="S172" s="113" t="e">
        <f t="shared" si="24"/>
        <v>#DIV/0!</v>
      </c>
      <c r="T172" s="43">
        <f t="shared" si="17"/>
        <v>0</v>
      </c>
      <c r="U172" s="43"/>
      <c r="V172" s="525" t="e">
        <f>P172*('upper bound Kenaga'!$F$36/100)</f>
        <v>#DIV/0!</v>
      </c>
      <c r="W172" s="43"/>
      <c r="X172" s="525" t="e">
        <f>P172*('upper bound Kenaga'!$F$96/100)</f>
        <v>#DIV/0!</v>
      </c>
      <c r="Y172" s="43"/>
      <c r="Z172" s="43"/>
      <c r="AA172" s="43"/>
    </row>
    <row r="173" spans="13:27" ht="12.75">
      <c r="M173" s="43">
        <f t="shared" si="18"/>
        <v>152</v>
      </c>
      <c r="N173" s="43">
        <f t="shared" si="19"/>
        <v>1</v>
      </c>
      <c r="O173" s="43">
        <f t="shared" si="20"/>
        <v>0</v>
      </c>
      <c r="P173" s="113" t="e">
        <f t="shared" si="21"/>
        <v>#DIV/0!</v>
      </c>
      <c r="Q173" s="113" t="e">
        <f t="shared" si="22"/>
        <v>#DIV/0!</v>
      </c>
      <c r="R173" s="113" t="e">
        <f t="shared" si="23"/>
        <v>#DIV/0!</v>
      </c>
      <c r="S173" s="113" t="e">
        <f t="shared" si="24"/>
        <v>#DIV/0!</v>
      </c>
      <c r="T173" s="43">
        <f t="shared" si="17"/>
        <v>0</v>
      </c>
      <c r="U173" s="43"/>
      <c r="V173" s="525" t="e">
        <f>P173*('upper bound Kenaga'!$F$36/100)</f>
        <v>#DIV/0!</v>
      </c>
      <c r="W173" s="43"/>
      <c r="X173" s="525" t="e">
        <f>P173*('upper bound Kenaga'!$F$96/100)</f>
        <v>#DIV/0!</v>
      </c>
      <c r="Y173" s="43"/>
      <c r="Z173" s="43"/>
      <c r="AA173" s="43"/>
    </row>
    <row r="174" spans="13:27" ht="12.75">
      <c r="M174" s="43">
        <f t="shared" si="18"/>
        <v>153</v>
      </c>
      <c r="N174" s="43">
        <f t="shared" si="19"/>
        <v>1</v>
      </c>
      <c r="O174" s="43">
        <f t="shared" si="20"/>
        <v>0</v>
      </c>
      <c r="P174" s="113" t="e">
        <f t="shared" si="21"/>
        <v>#DIV/0!</v>
      </c>
      <c r="Q174" s="113" t="e">
        <f t="shared" si="22"/>
        <v>#DIV/0!</v>
      </c>
      <c r="R174" s="113" t="e">
        <f t="shared" si="23"/>
        <v>#DIV/0!</v>
      </c>
      <c r="S174" s="113" t="e">
        <f t="shared" si="24"/>
        <v>#DIV/0!</v>
      </c>
      <c r="T174" s="43">
        <f t="shared" si="17"/>
        <v>0</v>
      </c>
      <c r="U174" s="43"/>
      <c r="V174" s="525" t="e">
        <f>P174*('upper bound Kenaga'!$F$36/100)</f>
        <v>#DIV/0!</v>
      </c>
      <c r="W174" s="43"/>
      <c r="X174" s="525" t="e">
        <f>P174*('upper bound Kenaga'!$F$96/100)</f>
        <v>#DIV/0!</v>
      </c>
      <c r="Y174" s="43"/>
      <c r="Z174" s="43"/>
      <c r="AA174" s="43"/>
    </row>
    <row r="175" spans="13:27" ht="12.75">
      <c r="M175" s="43">
        <f t="shared" si="18"/>
        <v>154</v>
      </c>
      <c r="N175" s="43">
        <f t="shared" si="19"/>
        <v>1</v>
      </c>
      <c r="O175" s="43">
        <f t="shared" si="20"/>
        <v>0</v>
      </c>
      <c r="P175" s="113" t="e">
        <f t="shared" si="21"/>
        <v>#DIV/0!</v>
      </c>
      <c r="Q175" s="113" t="e">
        <f t="shared" si="22"/>
        <v>#DIV/0!</v>
      </c>
      <c r="R175" s="113" t="e">
        <f t="shared" si="23"/>
        <v>#DIV/0!</v>
      </c>
      <c r="S175" s="113" t="e">
        <f t="shared" si="24"/>
        <v>#DIV/0!</v>
      </c>
      <c r="T175" s="43">
        <f t="shared" si="17"/>
        <v>0</v>
      </c>
      <c r="U175" s="43"/>
      <c r="V175" s="525" t="e">
        <f>P175*('upper bound Kenaga'!$F$36/100)</f>
        <v>#DIV/0!</v>
      </c>
      <c r="W175" s="43"/>
      <c r="X175" s="525" t="e">
        <f>P175*('upper bound Kenaga'!$F$96/100)</f>
        <v>#DIV/0!</v>
      </c>
      <c r="Y175" s="43"/>
      <c r="Z175" s="43"/>
      <c r="AA175" s="43"/>
    </row>
    <row r="176" spans="13:27" ht="12.75">
      <c r="M176" s="43">
        <f t="shared" si="18"/>
        <v>155</v>
      </c>
      <c r="N176" s="43">
        <f t="shared" si="19"/>
        <v>1</v>
      </c>
      <c r="O176" s="43">
        <f t="shared" si="20"/>
        <v>0</v>
      </c>
      <c r="P176" s="113" t="e">
        <f t="shared" si="21"/>
        <v>#DIV/0!</v>
      </c>
      <c r="Q176" s="113" t="e">
        <f t="shared" si="22"/>
        <v>#DIV/0!</v>
      </c>
      <c r="R176" s="113" t="e">
        <f t="shared" si="23"/>
        <v>#DIV/0!</v>
      </c>
      <c r="S176" s="113" t="e">
        <f t="shared" si="24"/>
        <v>#DIV/0!</v>
      </c>
      <c r="T176" s="43">
        <f t="shared" si="17"/>
        <v>0</v>
      </c>
      <c r="U176" s="43"/>
      <c r="V176" s="525" t="e">
        <f>P176*('upper bound Kenaga'!$F$36/100)</f>
        <v>#DIV/0!</v>
      </c>
      <c r="W176" s="43"/>
      <c r="X176" s="525" t="e">
        <f>P176*('upper bound Kenaga'!$F$96/100)</f>
        <v>#DIV/0!</v>
      </c>
      <c r="Y176" s="43"/>
      <c r="Z176" s="43"/>
      <c r="AA176" s="43"/>
    </row>
    <row r="177" spans="13:27" ht="12.75">
      <c r="M177" s="43">
        <f t="shared" si="18"/>
        <v>156</v>
      </c>
      <c r="N177" s="43">
        <f t="shared" si="19"/>
        <v>1</v>
      </c>
      <c r="O177" s="43">
        <f t="shared" si="20"/>
        <v>0</v>
      </c>
      <c r="P177" s="113" t="e">
        <f t="shared" si="21"/>
        <v>#DIV/0!</v>
      </c>
      <c r="Q177" s="113" t="e">
        <f t="shared" si="22"/>
        <v>#DIV/0!</v>
      </c>
      <c r="R177" s="113" t="e">
        <f t="shared" si="23"/>
        <v>#DIV/0!</v>
      </c>
      <c r="S177" s="113" t="e">
        <f t="shared" si="24"/>
        <v>#DIV/0!</v>
      </c>
      <c r="T177" s="43">
        <f t="shared" si="17"/>
        <v>0</v>
      </c>
      <c r="U177" s="43"/>
      <c r="V177" s="525" t="e">
        <f>P177*('upper bound Kenaga'!$F$36/100)</f>
        <v>#DIV/0!</v>
      </c>
      <c r="W177" s="43"/>
      <c r="X177" s="525" t="e">
        <f>P177*('upper bound Kenaga'!$F$96/100)</f>
        <v>#DIV/0!</v>
      </c>
      <c r="Y177" s="43"/>
      <c r="Z177" s="43"/>
      <c r="AA177" s="43"/>
    </row>
    <row r="178" spans="13:27" ht="12.75">
      <c r="M178" s="43">
        <f t="shared" si="18"/>
        <v>157</v>
      </c>
      <c r="N178" s="43">
        <f t="shared" si="19"/>
        <v>1</v>
      </c>
      <c r="O178" s="43">
        <f t="shared" si="20"/>
        <v>0</v>
      </c>
      <c r="P178" s="113" t="e">
        <f t="shared" si="21"/>
        <v>#DIV/0!</v>
      </c>
      <c r="Q178" s="113" t="e">
        <f t="shared" si="22"/>
        <v>#DIV/0!</v>
      </c>
      <c r="R178" s="113" t="e">
        <f t="shared" si="23"/>
        <v>#DIV/0!</v>
      </c>
      <c r="S178" s="113" t="e">
        <f t="shared" si="24"/>
        <v>#DIV/0!</v>
      </c>
      <c r="T178" s="43">
        <f t="shared" si="17"/>
        <v>0</v>
      </c>
      <c r="U178" s="43"/>
      <c r="V178" s="525" t="e">
        <f>P178*('upper bound Kenaga'!$F$36/100)</f>
        <v>#DIV/0!</v>
      </c>
      <c r="W178" s="43"/>
      <c r="X178" s="525" t="e">
        <f>P178*('upper bound Kenaga'!$F$96/100)</f>
        <v>#DIV/0!</v>
      </c>
      <c r="Y178" s="43"/>
      <c r="Z178" s="43"/>
      <c r="AA178" s="43"/>
    </row>
    <row r="179" spans="13:27" ht="12.75">
      <c r="M179" s="43">
        <f t="shared" si="18"/>
        <v>158</v>
      </c>
      <c r="N179" s="43">
        <f t="shared" si="19"/>
        <v>1</v>
      </c>
      <c r="O179" s="43">
        <f t="shared" si="20"/>
        <v>0</v>
      </c>
      <c r="P179" s="113" t="e">
        <f t="shared" si="21"/>
        <v>#DIV/0!</v>
      </c>
      <c r="Q179" s="113" t="e">
        <f t="shared" si="22"/>
        <v>#DIV/0!</v>
      </c>
      <c r="R179" s="113" t="e">
        <f t="shared" si="23"/>
        <v>#DIV/0!</v>
      </c>
      <c r="S179" s="113" t="e">
        <f t="shared" si="24"/>
        <v>#DIV/0!</v>
      </c>
      <c r="T179" s="43">
        <f t="shared" si="17"/>
        <v>0</v>
      </c>
      <c r="U179" s="43"/>
      <c r="V179" s="525" t="e">
        <f>P179*('upper bound Kenaga'!$F$36/100)</f>
        <v>#DIV/0!</v>
      </c>
      <c r="W179" s="43"/>
      <c r="X179" s="525" t="e">
        <f>P179*('upper bound Kenaga'!$F$96/100)</f>
        <v>#DIV/0!</v>
      </c>
      <c r="Y179" s="43"/>
      <c r="Z179" s="43"/>
      <c r="AA179" s="43"/>
    </row>
    <row r="180" spans="13:27" ht="12.75">
      <c r="M180" s="43">
        <f t="shared" si="18"/>
        <v>159</v>
      </c>
      <c r="N180" s="43">
        <f t="shared" si="19"/>
        <v>1</v>
      </c>
      <c r="O180" s="43">
        <f t="shared" si="20"/>
        <v>0</v>
      </c>
      <c r="P180" s="113" t="e">
        <f t="shared" si="21"/>
        <v>#DIV/0!</v>
      </c>
      <c r="Q180" s="113" t="e">
        <f t="shared" si="22"/>
        <v>#DIV/0!</v>
      </c>
      <c r="R180" s="113" t="e">
        <f t="shared" si="23"/>
        <v>#DIV/0!</v>
      </c>
      <c r="S180" s="113" t="e">
        <f t="shared" si="24"/>
        <v>#DIV/0!</v>
      </c>
      <c r="T180" s="43">
        <f t="shared" si="17"/>
        <v>0</v>
      </c>
      <c r="U180" s="43"/>
      <c r="V180" s="525" t="e">
        <f>P180*('upper bound Kenaga'!$F$36/100)</f>
        <v>#DIV/0!</v>
      </c>
      <c r="W180" s="43"/>
      <c r="X180" s="525" t="e">
        <f>P180*('upper bound Kenaga'!$F$96/100)</f>
        <v>#DIV/0!</v>
      </c>
      <c r="Y180" s="43"/>
      <c r="Z180" s="43"/>
      <c r="AA180" s="43"/>
    </row>
    <row r="181" spans="13:27" ht="12.75">
      <c r="M181" s="43">
        <f t="shared" si="18"/>
        <v>160</v>
      </c>
      <c r="N181" s="43">
        <f t="shared" si="19"/>
        <v>1</v>
      </c>
      <c r="O181" s="43">
        <f t="shared" si="20"/>
        <v>0</v>
      </c>
      <c r="P181" s="113" t="e">
        <f t="shared" si="21"/>
        <v>#DIV/0!</v>
      </c>
      <c r="Q181" s="113" t="e">
        <f t="shared" si="22"/>
        <v>#DIV/0!</v>
      </c>
      <c r="R181" s="113" t="e">
        <f t="shared" si="23"/>
        <v>#DIV/0!</v>
      </c>
      <c r="S181" s="113" t="e">
        <f t="shared" si="24"/>
        <v>#DIV/0!</v>
      </c>
      <c r="T181" s="43">
        <f t="shared" si="17"/>
        <v>0</v>
      </c>
      <c r="U181" s="43"/>
      <c r="V181" s="525" t="e">
        <f>P181*('upper bound Kenaga'!$F$36/100)</f>
        <v>#DIV/0!</v>
      </c>
      <c r="W181" s="43"/>
      <c r="X181" s="525" t="e">
        <f>P181*('upper bound Kenaga'!$F$96/100)</f>
        <v>#DIV/0!</v>
      </c>
      <c r="Y181" s="43"/>
      <c r="Z181" s="43"/>
      <c r="AA181" s="43"/>
    </row>
    <row r="182" spans="13:27" ht="12.75">
      <c r="M182" s="43">
        <f t="shared" si="18"/>
        <v>161</v>
      </c>
      <c r="N182" s="43">
        <f t="shared" si="19"/>
        <v>1</v>
      </c>
      <c r="O182" s="43">
        <f t="shared" si="20"/>
        <v>0</v>
      </c>
      <c r="P182" s="113" t="e">
        <f t="shared" si="21"/>
        <v>#DIV/0!</v>
      </c>
      <c r="Q182" s="113" t="e">
        <f t="shared" si="22"/>
        <v>#DIV/0!</v>
      </c>
      <c r="R182" s="113" t="e">
        <f t="shared" si="23"/>
        <v>#DIV/0!</v>
      </c>
      <c r="S182" s="113" t="e">
        <f t="shared" si="24"/>
        <v>#DIV/0!</v>
      </c>
      <c r="T182" s="43">
        <f t="shared" si="17"/>
        <v>0</v>
      </c>
      <c r="U182" s="43"/>
      <c r="V182" s="525" t="e">
        <f>P182*('upper bound Kenaga'!$F$36/100)</f>
        <v>#DIV/0!</v>
      </c>
      <c r="W182" s="43"/>
      <c r="X182" s="525" t="e">
        <f>P182*('upper bound Kenaga'!$F$96/100)</f>
        <v>#DIV/0!</v>
      </c>
      <c r="Y182" s="43"/>
      <c r="Z182" s="43"/>
      <c r="AA182" s="43"/>
    </row>
    <row r="183" spans="13:27" ht="12.75">
      <c r="M183" s="43">
        <f t="shared" si="18"/>
        <v>162</v>
      </c>
      <c r="N183" s="43">
        <f t="shared" si="19"/>
        <v>1</v>
      </c>
      <c r="O183" s="43">
        <f t="shared" si="20"/>
        <v>0</v>
      </c>
      <c r="P183" s="113" t="e">
        <f t="shared" si="21"/>
        <v>#DIV/0!</v>
      </c>
      <c r="Q183" s="113" t="e">
        <f t="shared" si="22"/>
        <v>#DIV/0!</v>
      </c>
      <c r="R183" s="113" t="e">
        <f t="shared" si="23"/>
        <v>#DIV/0!</v>
      </c>
      <c r="S183" s="113" t="e">
        <f t="shared" si="24"/>
        <v>#DIV/0!</v>
      </c>
      <c r="T183" s="43">
        <f t="shared" si="17"/>
        <v>0</v>
      </c>
      <c r="U183" s="43"/>
      <c r="V183" s="525" t="e">
        <f>P183*('upper bound Kenaga'!$F$36/100)</f>
        <v>#DIV/0!</v>
      </c>
      <c r="W183" s="43"/>
      <c r="X183" s="525" t="e">
        <f>P183*('upper bound Kenaga'!$F$96/100)</f>
        <v>#DIV/0!</v>
      </c>
      <c r="Y183" s="43"/>
      <c r="Z183" s="43"/>
      <c r="AA183" s="43"/>
    </row>
    <row r="184" spans="13:27" ht="12.75">
      <c r="M184" s="43">
        <f t="shared" si="18"/>
        <v>163</v>
      </c>
      <c r="N184" s="43">
        <f t="shared" si="19"/>
        <v>1</v>
      </c>
      <c r="O184" s="43">
        <f t="shared" si="20"/>
        <v>0</v>
      </c>
      <c r="P184" s="113" t="e">
        <f t="shared" si="21"/>
        <v>#DIV/0!</v>
      </c>
      <c r="Q184" s="113" t="e">
        <f t="shared" si="22"/>
        <v>#DIV/0!</v>
      </c>
      <c r="R184" s="113" t="e">
        <f t="shared" si="23"/>
        <v>#DIV/0!</v>
      </c>
      <c r="S184" s="113" t="e">
        <f t="shared" si="24"/>
        <v>#DIV/0!</v>
      </c>
      <c r="T184" s="43">
        <f t="shared" si="17"/>
        <v>0</v>
      </c>
      <c r="U184" s="43"/>
      <c r="V184" s="525" t="e">
        <f>P184*('upper bound Kenaga'!$F$36/100)</f>
        <v>#DIV/0!</v>
      </c>
      <c r="W184" s="43"/>
      <c r="X184" s="525" t="e">
        <f>P184*('upper bound Kenaga'!$F$96/100)</f>
        <v>#DIV/0!</v>
      </c>
      <c r="Y184" s="43"/>
      <c r="Z184" s="43"/>
      <c r="AA184" s="43"/>
    </row>
    <row r="185" spans="13:27" ht="12.75">
      <c r="M185" s="43">
        <f t="shared" si="18"/>
        <v>164</v>
      </c>
      <c r="N185" s="43">
        <f t="shared" si="19"/>
        <v>1</v>
      </c>
      <c r="O185" s="43">
        <f t="shared" si="20"/>
        <v>0</v>
      </c>
      <c r="P185" s="113" t="e">
        <f t="shared" si="21"/>
        <v>#DIV/0!</v>
      </c>
      <c r="Q185" s="113" t="e">
        <f t="shared" si="22"/>
        <v>#DIV/0!</v>
      </c>
      <c r="R185" s="113" t="e">
        <f t="shared" si="23"/>
        <v>#DIV/0!</v>
      </c>
      <c r="S185" s="113" t="e">
        <f t="shared" si="24"/>
        <v>#DIV/0!</v>
      </c>
      <c r="T185" s="43">
        <f t="shared" si="17"/>
        <v>0</v>
      </c>
      <c r="U185" s="43"/>
      <c r="V185" s="525" t="e">
        <f>P185*('upper bound Kenaga'!$F$36/100)</f>
        <v>#DIV/0!</v>
      </c>
      <c r="W185" s="43"/>
      <c r="X185" s="525" t="e">
        <f>P185*('upper bound Kenaga'!$F$96/100)</f>
        <v>#DIV/0!</v>
      </c>
      <c r="Y185" s="43"/>
      <c r="Z185" s="43"/>
      <c r="AA185" s="43"/>
    </row>
    <row r="186" spans="13:27" ht="12.75">
      <c r="M186" s="43">
        <f t="shared" si="18"/>
        <v>165</v>
      </c>
      <c r="N186" s="43">
        <f t="shared" si="19"/>
        <v>1</v>
      </c>
      <c r="O186" s="43">
        <f t="shared" si="20"/>
        <v>0</v>
      </c>
      <c r="P186" s="113" t="e">
        <f t="shared" si="21"/>
        <v>#DIV/0!</v>
      </c>
      <c r="Q186" s="113" t="e">
        <f t="shared" si="22"/>
        <v>#DIV/0!</v>
      </c>
      <c r="R186" s="113" t="e">
        <f t="shared" si="23"/>
        <v>#DIV/0!</v>
      </c>
      <c r="S186" s="113" t="e">
        <f t="shared" si="24"/>
        <v>#DIV/0!</v>
      </c>
      <c r="T186" s="43">
        <f t="shared" si="17"/>
        <v>0</v>
      </c>
      <c r="U186" s="43"/>
      <c r="V186" s="525" t="e">
        <f>P186*('upper bound Kenaga'!$F$36/100)</f>
        <v>#DIV/0!</v>
      </c>
      <c r="W186" s="43"/>
      <c r="X186" s="525" t="e">
        <f>P186*('upper bound Kenaga'!$F$96/100)</f>
        <v>#DIV/0!</v>
      </c>
      <c r="Y186" s="43"/>
      <c r="Z186" s="43"/>
      <c r="AA186" s="43"/>
    </row>
    <row r="187" spans="13:27" ht="12.75">
      <c r="M187" s="43">
        <f t="shared" si="18"/>
        <v>166</v>
      </c>
      <c r="N187" s="43">
        <f t="shared" si="19"/>
        <v>1</v>
      </c>
      <c r="O187" s="43">
        <f t="shared" si="20"/>
        <v>0</v>
      </c>
      <c r="P187" s="113" t="e">
        <f t="shared" si="21"/>
        <v>#DIV/0!</v>
      </c>
      <c r="Q187" s="113" t="e">
        <f t="shared" si="22"/>
        <v>#DIV/0!</v>
      </c>
      <c r="R187" s="113" t="e">
        <f t="shared" si="23"/>
        <v>#DIV/0!</v>
      </c>
      <c r="S187" s="113" t="e">
        <f t="shared" si="24"/>
        <v>#DIV/0!</v>
      </c>
      <c r="T187" s="43">
        <f t="shared" si="17"/>
        <v>0</v>
      </c>
      <c r="U187" s="43"/>
      <c r="V187" s="525" t="e">
        <f>P187*('upper bound Kenaga'!$F$36/100)</f>
        <v>#DIV/0!</v>
      </c>
      <c r="W187" s="43"/>
      <c r="X187" s="525" t="e">
        <f>P187*('upper bound Kenaga'!$F$96/100)</f>
        <v>#DIV/0!</v>
      </c>
      <c r="Y187" s="43"/>
      <c r="Z187" s="43"/>
      <c r="AA187" s="43"/>
    </row>
    <row r="188" spans="13:27" ht="12.75">
      <c r="M188" s="43">
        <f t="shared" si="18"/>
        <v>167</v>
      </c>
      <c r="N188" s="43">
        <f t="shared" si="19"/>
        <v>1</v>
      </c>
      <c r="O188" s="43">
        <f t="shared" si="20"/>
        <v>0</v>
      </c>
      <c r="P188" s="113" t="e">
        <f t="shared" si="21"/>
        <v>#DIV/0!</v>
      </c>
      <c r="Q188" s="113" t="e">
        <f t="shared" si="22"/>
        <v>#DIV/0!</v>
      </c>
      <c r="R188" s="113" t="e">
        <f t="shared" si="23"/>
        <v>#DIV/0!</v>
      </c>
      <c r="S188" s="113" t="e">
        <f t="shared" si="24"/>
        <v>#DIV/0!</v>
      </c>
      <c r="T188" s="43">
        <f t="shared" si="17"/>
        <v>0</v>
      </c>
      <c r="U188" s="43"/>
      <c r="V188" s="525" t="e">
        <f>P188*('upper bound Kenaga'!$F$36/100)</f>
        <v>#DIV/0!</v>
      </c>
      <c r="W188" s="43"/>
      <c r="X188" s="525" t="e">
        <f>P188*('upper bound Kenaga'!$F$96/100)</f>
        <v>#DIV/0!</v>
      </c>
      <c r="Y188" s="43"/>
      <c r="Z188" s="43"/>
      <c r="AA188" s="43"/>
    </row>
    <row r="189" spans="13:27" ht="12.75">
      <c r="M189" s="43">
        <f t="shared" si="18"/>
        <v>168</v>
      </c>
      <c r="N189" s="43">
        <f t="shared" si="19"/>
        <v>1</v>
      </c>
      <c r="O189" s="43">
        <f t="shared" si="20"/>
        <v>0</v>
      </c>
      <c r="P189" s="113" t="e">
        <f t="shared" si="21"/>
        <v>#DIV/0!</v>
      </c>
      <c r="Q189" s="113" t="e">
        <f t="shared" si="22"/>
        <v>#DIV/0!</v>
      </c>
      <c r="R189" s="113" t="e">
        <f t="shared" si="23"/>
        <v>#DIV/0!</v>
      </c>
      <c r="S189" s="113" t="e">
        <f t="shared" si="24"/>
        <v>#DIV/0!</v>
      </c>
      <c r="T189" s="43">
        <f t="shared" si="17"/>
        <v>0</v>
      </c>
      <c r="U189" s="43"/>
      <c r="V189" s="525" t="e">
        <f>P189*('upper bound Kenaga'!$F$36/100)</f>
        <v>#DIV/0!</v>
      </c>
      <c r="W189" s="43"/>
      <c r="X189" s="525" t="e">
        <f>P189*('upper bound Kenaga'!$F$96/100)</f>
        <v>#DIV/0!</v>
      </c>
      <c r="Y189" s="43"/>
      <c r="Z189" s="43"/>
      <c r="AA189" s="43"/>
    </row>
    <row r="190" spans="13:27" ht="12.75">
      <c r="M190" s="43">
        <f t="shared" si="18"/>
        <v>169</v>
      </c>
      <c r="N190" s="43">
        <f t="shared" si="19"/>
        <v>1</v>
      </c>
      <c r="O190" s="43">
        <f t="shared" si="20"/>
        <v>0</v>
      </c>
      <c r="P190" s="113" t="e">
        <f t="shared" si="21"/>
        <v>#DIV/0!</v>
      </c>
      <c r="Q190" s="113" t="e">
        <f t="shared" si="22"/>
        <v>#DIV/0!</v>
      </c>
      <c r="R190" s="113" t="e">
        <f t="shared" si="23"/>
        <v>#DIV/0!</v>
      </c>
      <c r="S190" s="113" t="e">
        <f t="shared" si="24"/>
        <v>#DIV/0!</v>
      </c>
      <c r="T190" s="43">
        <f t="shared" si="17"/>
        <v>0</v>
      </c>
      <c r="U190" s="43"/>
      <c r="V190" s="525" t="e">
        <f>P190*('upper bound Kenaga'!$F$36/100)</f>
        <v>#DIV/0!</v>
      </c>
      <c r="W190" s="43"/>
      <c r="X190" s="525" t="e">
        <f>P190*('upper bound Kenaga'!$F$96/100)</f>
        <v>#DIV/0!</v>
      </c>
      <c r="Y190" s="43"/>
      <c r="Z190" s="43"/>
      <c r="AA190" s="43"/>
    </row>
    <row r="191" spans="13:27" ht="12.75">
      <c r="M191" s="43">
        <f t="shared" si="18"/>
        <v>170</v>
      </c>
      <c r="N191" s="43">
        <f t="shared" si="19"/>
        <v>1</v>
      </c>
      <c r="O191" s="43">
        <f t="shared" si="20"/>
        <v>0</v>
      </c>
      <c r="P191" s="113" t="e">
        <f t="shared" si="21"/>
        <v>#DIV/0!</v>
      </c>
      <c r="Q191" s="113" t="e">
        <f t="shared" si="22"/>
        <v>#DIV/0!</v>
      </c>
      <c r="R191" s="113" t="e">
        <f t="shared" si="23"/>
        <v>#DIV/0!</v>
      </c>
      <c r="S191" s="113" t="e">
        <f t="shared" si="24"/>
        <v>#DIV/0!</v>
      </c>
      <c r="T191" s="43">
        <f t="shared" si="17"/>
        <v>0</v>
      </c>
      <c r="U191" s="43"/>
      <c r="V191" s="525" t="e">
        <f>P191*('upper bound Kenaga'!$F$36/100)</f>
        <v>#DIV/0!</v>
      </c>
      <c r="W191" s="43"/>
      <c r="X191" s="525" t="e">
        <f>P191*('upper bound Kenaga'!$F$96/100)</f>
        <v>#DIV/0!</v>
      </c>
      <c r="Y191" s="43"/>
      <c r="Z191" s="43"/>
      <c r="AA191" s="43"/>
    </row>
    <row r="192" spans="13:27" ht="12.75">
      <c r="M192" s="43">
        <f t="shared" si="18"/>
        <v>171</v>
      </c>
      <c r="N192" s="43">
        <f t="shared" si="19"/>
        <v>1</v>
      </c>
      <c r="O192" s="43">
        <f t="shared" si="20"/>
        <v>0</v>
      </c>
      <c r="P192" s="113" t="e">
        <f t="shared" si="21"/>
        <v>#DIV/0!</v>
      </c>
      <c r="Q192" s="113" t="e">
        <f t="shared" si="22"/>
        <v>#DIV/0!</v>
      </c>
      <c r="R192" s="113" t="e">
        <f t="shared" si="23"/>
        <v>#DIV/0!</v>
      </c>
      <c r="S192" s="113" t="e">
        <f t="shared" si="24"/>
        <v>#DIV/0!</v>
      </c>
      <c r="T192" s="43">
        <f t="shared" si="17"/>
        <v>0</v>
      </c>
      <c r="U192" s="43"/>
      <c r="V192" s="525" t="e">
        <f>P192*('upper bound Kenaga'!$F$36/100)</f>
        <v>#DIV/0!</v>
      </c>
      <c r="W192" s="43"/>
      <c r="X192" s="525" t="e">
        <f>P192*('upper bound Kenaga'!$F$96/100)</f>
        <v>#DIV/0!</v>
      </c>
      <c r="Y192" s="43"/>
      <c r="Z192" s="43"/>
      <c r="AA192" s="43"/>
    </row>
    <row r="193" spans="13:27" ht="12.75">
      <c r="M193" s="43">
        <f t="shared" si="18"/>
        <v>172</v>
      </c>
      <c r="N193" s="43">
        <f t="shared" si="19"/>
        <v>1</v>
      </c>
      <c r="O193" s="43">
        <f t="shared" si="20"/>
        <v>0</v>
      </c>
      <c r="P193" s="113" t="e">
        <f t="shared" si="21"/>
        <v>#DIV/0!</v>
      </c>
      <c r="Q193" s="113" t="e">
        <f t="shared" si="22"/>
        <v>#DIV/0!</v>
      </c>
      <c r="R193" s="113" t="e">
        <f t="shared" si="23"/>
        <v>#DIV/0!</v>
      </c>
      <c r="S193" s="113" t="e">
        <f t="shared" si="24"/>
        <v>#DIV/0!</v>
      </c>
      <c r="T193" s="43">
        <f t="shared" si="17"/>
        <v>0</v>
      </c>
      <c r="U193" s="43"/>
      <c r="V193" s="525" t="e">
        <f>P193*('upper bound Kenaga'!$F$36/100)</f>
        <v>#DIV/0!</v>
      </c>
      <c r="W193" s="43"/>
      <c r="X193" s="525" t="e">
        <f>P193*('upper bound Kenaga'!$F$96/100)</f>
        <v>#DIV/0!</v>
      </c>
      <c r="Y193" s="43"/>
      <c r="Z193" s="43"/>
      <c r="AA193" s="43"/>
    </row>
    <row r="194" spans="13:27" ht="12.75">
      <c r="M194" s="43">
        <f t="shared" si="18"/>
        <v>173</v>
      </c>
      <c r="N194" s="43">
        <f t="shared" si="19"/>
        <v>1</v>
      </c>
      <c r="O194" s="43">
        <f t="shared" si="20"/>
        <v>0</v>
      </c>
      <c r="P194" s="113" t="e">
        <f t="shared" si="21"/>
        <v>#DIV/0!</v>
      </c>
      <c r="Q194" s="113" t="e">
        <f t="shared" si="22"/>
        <v>#DIV/0!</v>
      </c>
      <c r="R194" s="113" t="e">
        <f t="shared" si="23"/>
        <v>#DIV/0!</v>
      </c>
      <c r="S194" s="113" t="e">
        <f t="shared" si="24"/>
        <v>#DIV/0!</v>
      </c>
      <c r="T194" s="43">
        <f t="shared" si="17"/>
        <v>0</v>
      </c>
      <c r="U194" s="43"/>
      <c r="V194" s="525" t="e">
        <f>P194*('upper bound Kenaga'!$F$36/100)</f>
        <v>#DIV/0!</v>
      </c>
      <c r="W194" s="43"/>
      <c r="X194" s="525" t="e">
        <f>P194*('upper bound Kenaga'!$F$96/100)</f>
        <v>#DIV/0!</v>
      </c>
      <c r="Y194" s="43"/>
      <c r="Z194" s="43"/>
      <c r="AA194" s="43"/>
    </row>
    <row r="195" spans="13:27" ht="12.75">
      <c r="M195" s="43">
        <f t="shared" si="18"/>
        <v>174</v>
      </c>
      <c r="N195" s="43">
        <f t="shared" si="19"/>
        <v>1</v>
      </c>
      <c r="O195" s="43">
        <f t="shared" si="20"/>
        <v>0</v>
      </c>
      <c r="P195" s="113" t="e">
        <f t="shared" si="21"/>
        <v>#DIV/0!</v>
      </c>
      <c r="Q195" s="113" t="e">
        <f t="shared" si="22"/>
        <v>#DIV/0!</v>
      </c>
      <c r="R195" s="113" t="e">
        <f t="shared" si="23"/>
        <v>#DIV/0!</v>
      </c>
      <c r="S195" s="113" t="e">
        <f t="shared" si="24"/>
        <v>#DIV/0!</v>
      </c>
      <c r="T195" s="43">
        <f t="shared" si="17"/>
        <v>0</v>
      </c>
      <c r="U195" s="43"/>
      <c r="V195" s="525" t="e">
        <f>P195*('upper bound Kenaga'!$F$36/100)</f>
        <v>#DIV/0!</v>
      </c>
      <c r="W195" s="43"/>
      <c r="X195" s="525" t="e">
        <f>P195*('upper bound Kenaga'!$F$96/100)</f>
        <v>#DIV/0!</v>
      </c>
      <c r="Y195" s="43"/>
      <c r="Z195" s="43"/>
      <c r="AA195" s="43"/>
    </row>
    <row r="196" spans="13:27" ht="12.75">
      <c r="M196" s="43">
        <f t="shared" si="18"/>
        <v>175</v>
      </c>
      <c r="N196" s="43">
        <f t="shared" si="19"/>
        <v>1</v>
      </c>
      <c r="O196" s="43">
        <f t="shared" si="20"/>
        <v>0</v>
      </c>
      <c r="P196" s="113" t="e">
        <f t="shared" si="21"/>
        <v>#DIV/0!</v>
      </c>
      <c r="Q196" s="113" t="e">
        <f t="shared" si="22"/>
        <v>#DIV/0!</v>
      </c>
      <c r="R196" s="113" t="e">
        <f t="shared" si="23"/>
        <v>#DIV/0!</v>
      </c>
      <c r="S196" s="113" t="e">
        <f t="shared" si="24"/>
        <v>#DIV/0!</v>
      </c>
      <c r="T196" s="43">
        <f t="shared" si="17"/>
        <v>0</v>
      </c>
      <c r="U196" s="43"/>
      <c r="V196" s="525" t="e">
        <f>P196*('upper bound Kenaga'!$F$36/100)</f>
        <v>#DIV/0!</v>
      </c>
      <c r="W196" s="43"/>
      <c r="X196" s="525" t="e">
        <f>P196*('upper bound Kenaga'!$F$96/100)</f>
        <v>#DIV/0!</v>
      </c>
      <c r="Y196" s="43"/>
      <c r="Z196" s="43"/>
      <c r="AA196" s="43"/>
    </row>
    <row r="197" spans="13:27" ht="12.75">
      <c r="M197" s="43">
        <f t="shared" si="18"/>
        <v>176</v>
      </c>
      <c r="N197" s="43">
        <f t="shared" si="19"/>
        <v>1</v>
      </c>
      <c r="O197" s="43">
        <f t="shared" si="20"/>
        <v>0</v>
      </c>
      <c r="P197" s="113" t="e">
        <f t="shared" si="21"/>
        <v>#DIV/0!</v>
      </c>
      <c r="Q197" s="113" t="e">
        <f t="shared" si="22"/>
        <v>#DIV/0!</v>
      </c>
      <c r="R197" s="113" t="e">
        <f t="shared" si="23"/>
        <v>#DIV/0!</v>
      </c>
      <c r="S197" s="113" t="e">
        <f t="shared" si="24"/>
        <v>#DIV/0!</v>
      </c>
      <c r="T197" s="43">
        <f t="shared" si="17"/>
        <v>0</v>
      </c>
      <c r="U197" s="43"/>
      <c r="V197" s="525" t="e">
        <f>P197*('upper bound Kenaga'!$F$36/100)</f>
        <v>#DIV/0!</v>
      </c>
      <c r="W197" s="43"/>
      <c r="X197" s="525" t="e">
        <f>P197*('upper bound Kenaga'!$F$96/100)</f>
        <v>#DIV/0!</v>
      </c>
      <c r="Y197" s="43"/>
      <c r="Z197" s="43"/>
      <c r="AA197" s="43"/>
    </row>
    <row r="198" spans="13:27" ht="12.75">
      <c r="M198" s="43">
        <f t="shared" si="18"/>
        <v>177</v>
      </c>
      <c r="N198" s="43">
        <f t="shared" si="19"/>
        <v>1</v>
      </c>
      <c r="O198" s="43">
        <f t="shared" si="20"/>
        <v>0</v>
      </c>
      <c r="P198" s="113" t="e">
        <f t="shared" si="21"/>
        <v>#DIV/0!</v>
      </c>
      <c r="Q198" s="113" t="e">
        <f t="shared" si="22"/>
        <v>#DIV/0!</v>
      </c>
      <c r="R198" s="113" t="e">
        <f t="shared" si="23"/>
        <v>#DIV/0!</v>
      </c>
      <c r="S198" s="113" t="e">
        <f t="shared" si="24"/>
        <v>#DIV/0!</v>
      </c>
      <c r="T198" s="43">
        <f t="shared" si="17"/>
        <v>0</v>
      </c>
      <c r="U198" s="43"/>
      <c r="V198" s="525" t="e">
        <f>P198*('upper bound Kenaga'!$F$36/100)</f>
        <v>#DIV/0!</v>
      </c>
      <c r="W198" s="43"/>
      <c r="X198" s="525" t="e">
        <f>P198*('upper bound Kenaga'!$F$96/100)</f>
        <v>#DIV/0!</v>
      </c>
      <c r="Y198" s="43"/>
      <c r="Z198" s="43"/>
      <c r="AA198" s="43"/>
    </row>
    <row r="199" spans="13:27" ht="12.75">
      <c r="M199" s="43">
        <f t="shared" si="18"/>
        <v>178</v>
      </c>
      <c r="N199" s="43">
        <f t="shared" si="19"/>
        <v>1</v>
      </c>
      <c r="O199" s="43">
        <f t="shared" si="20"/>
        <v>0</v>
      </c>
      <c r="P199" s="113" t="e">
        <f t="shared" si="21"/>
        <v>#DIV/0!</v>
      </c>
      <c r="Q199" s="113" t="e">
        <f t="shared" si="22"/>
        <v>#DIV/0!</v>
      </c>
      <c r="R199" s="113" t="e">
        <f t="shared" si="23"/>
        <v>#DIV/0!</v>
      </c>
      <c r="S199" s="113" t="e">
        <f t="shared" si="24"/>
        <v>#DIV/0!</v>
      </c>
      <c r="T199" s="43">
        <f t="shared" si="17"/>
        <v>0</v>
      </c>
      <c r="U199" s="43"/>
      <c r="V199" s="525" t="e">
        <f>P199*('upper bound Kenaga'!$F$36/100)</f>
        <v>#DIV/0!</v>
      </c>
      <c r="W199" s="43"/>
      <c r="X199" s="525" t="e">
        <f>P199*('upper bound Kenaga'!$F$96/100)</f>
        <v>#DIV/0!</v>
      </c>
      <c r="Y199" s="43"/>
      <c r="Z199" s="43"/>
      <c r="AA199" s="43"/>
    </row>
    <row r="200" spans="13:27" ht="12.75">
      <c r="M200" s="43">
        <f t="shared" si="18"/>
        <v>179</v>
      </c>
      <c r="N200" s="43">
        <f t="shared" si="19"/>
        <v>1</v>
      </c>
      <c r="O200" s="43">
        <f t="shared" si="20"/>
        <v>0</v>
      </c>
      <c r="P200" s="113" t="e">
        <f t="shared" si="21"/>
        <v>#DIV/0!</v>
      </c>
      <c r="Q200" s="113" t="e">
        <f t="shared" si="22"/>
        <v>#DIV/0!</v>
      </c>
      <c r="R200" s="113" t="e">
        <f t="shared" si="23"/>
        <v>#DIV/0!</v>
      </c>
      <c r="S200" s="113" t="e">
        <f t="shared" si="24"/>
        <v>#DIV/0!</v>
      </c>
      <c r="T200" s="43">
        <f t="shared" si="17"/>
        <v>0</v>
      </c>
      <c r="U200" s="43"/>
      <c r="V200" s="525" t="e">
        <f>P200*('upper bound Kenaga'!$F$36/100)</f>
        <v>#DIV/0!</v>
      </c>
      <c r="W200" s="43"/>
      <c r="X200" s="525" t="e">
        <f>P200*('upper bound Kenaga'!$F$96/100)</f>
        <v>#DIV/0!</v>
      </c>
      <c r="Y200" s="43"/>
      <c r="Z200" s="43"/>
      <c r="AA200" s="43"/>
    </row>
    <row r="201" spans="13:27" ht="12.75">
      <c r="M201" s="43">
        <f t="shared" si="18"/>
        <v>180</v>
      </c>
      <c r="N201" s="43">
        <f t="shared" si="19"/>
        <v>1</v>
      </c>
      <c r="O201" s="43">
        <f t="shared" si="20"/>
        <v>0</v>
      </c>
      <c r="P201" s="113" t="e">
        <f t="shared" si="21"/>
        <v>#DIV/0!</v>
      </c>
      <c r="Q201" s="113" t="e">
        <f t="shared" si="22"/>
        <v>#DIV/0!</v>
      </c>
      <c r="R201" s="113" t="e">
        <f t="shared" si="23"/>
        <v>#DIV/0!</v>
      </c>
      <c r="S201" s="113" t="e">
        <f t="shared" si="24"/>
        <v>#DIV/0!</v>
      </c>
      <c r="T201" s="43">
        <f t="shared" si="17"/>
        <v>0</v>
      </c>
      <c r="U201" s="43"/>
      <c r="V201" s="525" t="e">
        <f>P201*('upper bound Kenaga'!$F$36/100)</f>
        <v>#DIV/0!</v>
      </c>
      <c r="W201" s="43"/>
      <c r="X201" s="525" t="e">
        <f>P201*('upper bound Kenaga'!$F$96/100)</f>
        <v>#DIV/0!</v>
      </c>
      <c r="Y201" s="43"/>
      <c r="Z201" s="43"/>
      <c r="AA201" s="43"/>
    </row>
    <row r="202" spans="13:27" ht="12.75">
      <c r="M202" s="43">
        <f t="shared" si="18"/>
        <v>181</v>
      </c>
      <c r="N202" s="43">
        <f t="shared" si="19"/>
        <v>1</v>
      </c>
      <c r="O202" s="43">
        <f t="shared" si="20"/>
        <v>0</v>
      </c>
      <c r="P202" s="113" t="e">
        <f t="shared" si="21"/>
        <v>#DIV/0!</v>
      </c>
      <c r="Q202" s="113" t="e">
        <f t="shared" si="22"/>
        <v>#DIV/0!</v>
      </c>
      <c r="R202" s="113" t="e">
        <f t="shared" si="23"/>
        <v>#DIV/0!</v>
      </c>
      <c r="S202" s="113" t="e">
        <f t="shared" si="24"/>
        <v>#DIV/0!</v>
      </c>
      <c r="T202" s="43">
        <f t="shared" si="17"/>
        <v>0</v>
      </c>
      <c r="U202" s="43"/>
      <c r="V202" s="525" t="e">
        <f>P202*('upper bound Kenaga'!$F$36/100)</f>
        <v>#DIV/0!</v>
      </c>
      <c r="W202" s="43"/>
      <c r="X202" s="525" t="e">
        <f>P202*('upper bound Kenaga'!$F$96/100)</f>
        <v>#DIV/0!</v>
      </c>
      <c r="Y202" s="43"/>
      <c r="Z202" s="43"/>
      <c r="AA202" s="43"/>
    </row>
    <row r="203" spans="13:27" ht="12.75">
      <c r="M203" s="43">
        <f t="shared" si="18"/>
        <v>182</v>
      </c>
      <c r="N203" s="43">
        <f t="shared" si="19"/>
        <v>1</v>
      </c>
      <c r="O203" s="43">
        <f t="shared" si="20"/>
        <v>0</v>
      </c>
      <c r="P203" s="113" t="e">
        <f t="shared" si="21"/>
        <v>#DIV/0!</v>
      </c>
      <c r="Q203" s="113" t="e">
        <f t="shared" si="22"/>
        <v>#DIV/0!</v>
      </c>
      <c r="R203" s="113" t="e">
        <f t="shared" si="23"/>
        <v>#DIV/0!</v>
      </c>
      <c r="S203" s="113" t="e">
        <f t="shared" si="24"/>
        <v>#DIV/0!</v>
      </c>
      <c r="T203" s="43">
        <f t="shared" si="17"/>
        <v>0</v>
      </c>
      <c r="U203" s="43"/>
      <c r="V203" s="525" t="e">
        <f>P203*('upper bound Kenaga'!$F$36/100)</f>
        <v>#DIV/0!</v>
      </c>
      <c r="W203" s="43"/>
      <c r="X203" s="525" t="e">
        <f>P203*('upper bound Kenaga'!$F$96/100)</f>
        <v>#DIV/0!</v>
      </c>
      <c r="Y203" s="43"/>
      <c r="Z203" s="43"/>
      <c r="AA203" s="43"/>
    </row>
    <row r="204" spans="13:27" ht="12.75">
      <c r="M204" s="43">
        <f t="shared" si="18"/>
        <v>183</v>
      </c>
      <c r="N204" s="43">
        <f t="shared" si="19"/>
        <v>1</v>
      </c>
      <c r="O204" s="43">
        <f t="shared" si="20"/>
        <v>0</v>
      </c>
      <c r="P204" s="113" t="e">
        <f t="shared" si="21"/>
        <v>#DIV/0!</v>
      </c>
      <c r="Q204" s="113" t="e">
        <f t="shared" si="22"/>
        <v>#DIV/0!</v>
      </c>
      <c r="R204" s="113" t="e">
        <f t="shared" si="23"/>
        <v>#DIV/0!</v>
      </c>
      <c r="S204" s="113" t="e">
        <f t="shared" si="24"/>
        <v>#DIV/0!</v>
      </c>
      <c r="T204" s="43">
        <f t="shared" si="17"/>
        <v>0</v>
      </c>
      <c r="U204" s="43"/>
      <c r="V204" s="525" t="e">
        <f>P204*('upper bound Kenaga'!$F$36/100)</f>
        <v>#DIV/0!</v>
      </c>
      <c r="W204" s="43"/>
      <c r="X204" s="525" t="e">
        <f>P204*('upper bound Kenaga'!$F$96/100)</f>
        <v>#DIV/0!</v>
      </c>
      <c r="Y204" s="43"/>
      <c r="Z204" s="43"/>
      <c r="AA204" s="43"/>
    </row>
    <row r="205" spans="13:27" ht="12.75">
      <c r="M205" s="43">
        <f t="shared" si="18"/>
        <v>184</v>
      </c>
      <c r="N205" s="43">
        <f t="shared" si="19"/>
        <v>1</v>
      </c>
      <c r="O205" s="43">
        <f t="shared" si="20"/>
        <v>0</v>
      </c>
      <c r="P205" s="113" t="e">
        <f t="shared" si="21"/>
        <v>#DIV/0!</v>
      </c>
      <c r="Q205" s="113" t="e">
        <f t="shared" si="22"/>
        <v>#DIV/0!</v>
      </c>
      <c r="R205" s="113" t="e">
        <f t="shared" si="23"/>
        <v>#DIV/0!</v>
      </c>
      <c r="S205" s="113" t="e">
        <f t="shared" si="24"/>
        <v>#DIV/0!</v>
      </c>
      <c r="T205" s="43">
        <f t="shared" si="17"/>
        <v>0</v>
      </c>
      <c r="U205" s="43"/>
      <c r="V205" s="525" t="e">
        <f>P205*('upper bound Kenaga'!$F$36/100)</f>
        <v>#DIV/0!</v>
      </c>
      <c r="W205" s="43"/>
      <c r="X205" s="525" t="e">
        <f>P205*('upper bound Kenaga'!$F$96/100)</f>
        <v>#DIV/0!</v>
      </c>
      <c r="Y205" s="43"/>
      <c r="Z205" s="43"/>
      <c r="AA205" s="43"/>
    </row>
    <row r="206" spans="13:27" ht="12.75">
      <c r="M206" s="43">
        <f t="shared" si="18"/>
        <v>185</v>
      </c>
      <c r="N206" s="43">
        <f t="shared" si="19"/>
        <v>1</v>
      </c>
      <c r="O206" s="43">
        <f t="shared" si="20"/>
        <v>0</v>
      </c>
      <c r="P206" s="113" t="e">
        <f t="shared" si="21"/>
        <v>#DIV/0!</v>
      </c>
      <c r="Q206" s="113" t="e">
        <f t="shared" si="22"/>
        <v>#DIV/0!</v>
      </c>
      <c r="R206" s="113" t="e">
        <f t="shared" si="23"/>
        <v>#DIV/0!</v>
      </c>
      <c r="S206" s="113" t="e">
        <f t="shared" si="24"/>
        <v>#DIV/0!</v>
      </c>
      <c r="T206" s="43">
        <f t="shared" si="17"/>
        <v>0</v>
      </c>
      <c r="U206" s="43"/>
      <c r="V206" s="525" t="e">
        <f>P206*('upper bound Kenaga'!$F$36/100)</f>
        <v>#DIV/0!</v>
      </c>
      <c r="W206" s="43"/>
      <c r="X206" s="525" t="e">
        <f>P206*('upper bound Kenaga'!$F$96/100)</f>
        <v>#DIV/0!</v>
      </c>
      <c r="Y206" s="43"/>
      <c r="Z206" s="43"/>
      <c r="AA206" s="43"/>
    </row>
    <row r="207" spans="13:27" ht="12.75">
      <c r="M207" s="43">
        <f t="shared" si="18"/>
        <v>186</v>
      </c>
      <c r="N207" s="43">
        <f t="shared" si="19"/>
        <v>1</v>
      </c>
      <c r="O207" s="43">
        <f t="shared" si="20"/>
        <v>0</v>
      </c>
      <c r="P207" s="113" t="e">
        <f t="shared" si="21"/>
        <v>#DIV/0!</v>
      </c>
      <c r="Q207" s="113" t="e">
        <f t="shared" si="22"/>
        <v>#DIV/0!</v>
      </c>
      <c r="R207" s="113" t="e">
        <f t="shared" si="23"/>
        <v>#DIV/0!</v>
      </c>
      <c r="S207" s="113" t="e">
        <f t="shared" si="24"/>
        <v>#DIV/0!</v>
      </c>
      <c r="T207" s="43">
        <f t="shared" si="17"/>
        <v>0</v>
      </c>
      <c r="U207" s="43"/>
      <c r="V207" s="525" t="e">
        <f>P207*('upper bound Kenaga'!$F$36/100)</f>
        <v>#DIV/0!</v>
      </c>
      <c r="W207" s="43"/>
      <c r="X207" s="525" t="e">
        <f>P207*('upper bound Kenaga'!$F$96/100)</f>
        <v>#DIV/0!</v>
      </c>
      <c r="Y207" s="43"/>
      <c r="Z207" s="43"/>
      <c r="AA207" s="43"/>
    </row>
    <row r="208" spans="13:27" ht="12.75">
      <c r="M208" s="43">
        <f t="shared" si="18"/>
        <v>187</v>
      </c>
      <c r="N208" s="43">
        <f t="shared" si="19"/>
        <v>1</v>
      </c>
      <c r="O208" s="43">
        <f t="shared" si="20"/>
        <v>0</v>
      </c>
      <c r="P208" s="113" t="e">
        <f t="shared" si="21"/>
        <v>#DIV/0!</v>
      </c>
      <c r="Q208" s="113" t="e">
        <f t="shared" si="22"/>
        <v>#DIV/0!</v>
      </c>
      <c r="R208" s="113" t="e">
        <f t="shared" si="23"/>
        <v>#DIV/0!</v>
      </c>
      <c r="S208" s="113" t="e">
        <f t="shared" si="24"/>
        <v>#DIV/0!</v>
      </c>
      <c r="T208" s="43">
        <f t="shared" si="17"/>
        <v>0</v>
      </c>
      <c r="U208" s="43"/>
      <c r="V208" s="525" t="e">
        <f>P208*('upper bound Kenaga'!$F$36/100)</f>
        <v>#DIV/0!</v>
      </c>
      <c r="W208" s="43"/>
      <c r="X208" s="525" t="e">
        <f>P208*('upper bound Kenaga'!$F$96/100)</f>
        <v>#DIV/0!</v>
      </c>
      <c r="Y208" s="43"/>
      <c r="Z208" s="43"/>
      <c r="AA208" s="43"/>
    </row>
    <row r="209" spans="13:27" ht="12.75">
      <c r="M209" s="43">
        <f t="shared" si="18"/>
        <v>188</v>
      </c>
      <c r="N209" s="43">
        <f t="shared" si="19"/>
        <v>1</v>
      </c>
      <c r="O209" s="43">
        <f t="shared" si="20"/>
        <v>0</v>
      </c>
      <c r="P209" s="113" t="e">
        <f t="shared" si="21"/>
        <v>#DIV/0!</v>
      </c>
      <c r="Q209" s="113" t="e">
        <f t="shared" si="22"/>
        <v>#DIV/0!</v>
      </c>
      <c r="R209" s="113" t="e">
        <f t="shared" si="23"/>
        <v>#DIV/0!</v>
      </c>
      <c r="S209" s="113" t="e">
        <f t="shared" si="24"/>
        <v>#DIV/0!</v>
      </c>
      <c r="T209" s="43">
        <f t="shared" si="17"/>
        <v>0</v>
      </c>
      <c r="U209" s="43"/>
      <c r="V209" s="525" t="e">
        <f>P209*('upper bound Kenaga'!$F$36/100)</f>
        <v>#DIV/0!</v>
      </c>
      <c r="W209" s="43"/>
      <c r="X209" s="525" t="e">
        <f>P209*('upper bound Kenaga'!$F$96/100)</f>
        <v>#DIV/0!</v>
      </c>
      <c r="Y209" s="43"/>
      <c r="Z209" s="43"/>
      <c r="AA209" s="43"/>
    </row>
    <row r="210" spans="13:27" ht="12.75">
      <c r="M210" s="43">
        <f t="shared" si="18"/>
        <v>189</v>
      </c>
      <c r="N210" s="43">
        <f t="shared" si="19"/>
        <v>1</v>
      </c>
      <c r="O210" s="43">
        <f t="shared" si="20"/>
        <v>0</v>
      </c>
      <c r="P210" s="113" t="e">
        <f t="shared" si="21"/>
        <v>#DIV/0!</v>
      </c>
      <c r="Q210" s="113" t="e">
        <f t="shared" si="22"/>
        <v>#DIV/0!</v>
      </c>
      <c r="R210" s="113" t="e">
        <f t="shared" si="23"/>
        <v>#DIV/0!</v>
      </c>
      <c r="S210" s="113" t="e">
        <f t="shared" si="24"/>
        <v>#DIV/0!</v>
      </c>
      <c r="T210" s="43">
        <f t="shared" si="17"/>
        <v>0</v>
      </c>
      <c r="U210" s="43"/>
      <c r="V210" s="525" t="e">
        <f>P210*('upper bound Kenaga'!$F$36/100)</f>
        <v>#DIV/0!</v>
      </c>
      <c r="W210" s="43"/>
      <c r="X210" s="525" t="e">
        <f>P210*('upper bound Kenaga'!$F$96/100)</f>
        <v>#DIV/0!</v>
      </c>
      <c r="Y210" s="43"/>
      <c r="Z210" s="43"/>
      <c r="AA210" s="43"/>
    </row>
    <row r="211" spans="13:27" ht="12.75">
      <c r="M211" s="43">
        <f t="shared" si="18"/>
        <v>190</v>
      </c>
      <c r="N211" s="43">
        <f t="shared" si="19"/>
        <v>1</v>
      </c>
      <c r="O211" s="43">
        <f t="shared" si="20"/>
        <v>0</v>
      </c>
      <c r="P211" s="113" t="e">
        <f t="shared" si="21"/>
        <v>#DIV/0!</v>
      </c>
      <c r="Q211" s="113" t="e">
        <f t="shared" si="22"/>
        <v>#DIV/0!</v>
      </c>
      <c r="R211" s="113" t="e">
        <f t="shared" si="23"/>
        <v>#DIV/0!</v>
      </c>
      <c r="S211" s="113" t="e">
        <f t="shared" si="24"/>
        <v>#DIV/0!</v>
      </c>
      <c r="T211" s="43">
        <f t="shared" si="17"/>
        <v>0</v>
      </c>
      <c r="U211" s="43"/>
      <c r="V211" s="525" t="e">
        <f>P211*('upper bound Kenaga'!$F$36/100)</f>
        <v>#DIV/0!</v>
      </c>
      <c r="W211" s="43"/>
      <c r="X211" s="525" t="e">
        <f>P211*('upper bound Kenaga'!$F$96/100)</f>
        <v>#DIV/0!</v>
      </c>
      <c r="Y211" s="43"/>
      <c r="Z211" s="43"/>
      <c r="AA211" s="43"/>
    </row>
    <row r="212" spans="13:27" ht="12.75">
      <c r="M212" s="43">
        <f t="shared" si="18"/>
        <v>191</v>
      </c>
      <c r="N212" s="43">
        <f t="shared" si="19"/>
        <v>1</v>
      </c>
      <c r="O212" s="43">
        <f t="shared" si="20"/>
        <v>0</v>
      </c>
      <c r="P212" s="113" t="e">
        <f t="shared" si="21"/>
        <v>#DIV/0!</v>
      </c>
      <c r="Q212" s="113" t="e">
        <f t="shared" si="22"/>
        <v>#DIV/0!</v>
      </c>
      <c r="R212" s="113" t="e">
        <f t="shared" si="23"/>
        <v>#DIV/0!</v>
      </c>
      <c r="S212" s="113" t="e">
        <f t="shared" si="24"/>
        <v>#DIV/0!</v>
      </c>
      <c r="T212" s="43">
        <f t="shared" si="17"/>
        <v>0</v>
      </c>
      <c r="U212" s="43"/>
      <c r="V212" s="525" t="e">
        <f>P212*('upper bound Kenaga'!$F$36/100)</f>
        <v>#DIV/0!</v>
      </c>
      <c r="W212" s="43"/>
      <c r="X212" s="525" t="e">
        <f>P212*('upper bound Kenaga'!$F$96/100)</f>
        <v>#DIV/0!</v>
      </c>
      <c r="Y212" s="43"/>
      <c r="Z212" s="43"/>
      <c r="AA212" s="43"/>
    </row>
    <row r="213" spans="13:27" ht="12.75">
      <c r="M213" s="43">
        <f t="shared" si="18"/>
        <v>192</v>
      </c>
      <c r="N213" s="43">
        <f t="shared" si="19"/>
        <v>1</v>
      </c>
      <c r="O213" s="43">
        <f t="shared" si="20"/>
        <v>0</v>
      </c>
      <c r="P213" s="113" t="e">
        <f t="shared" si="21"/>
        <v>#DIV/0!</v>
      </c>
      <c r="Q213" s="113" t="e">
        <f t="shared" si="22"/>
        <v>#DIV/0!</v>
      </c>
      <c r="R213" s="113" t="e">
        <f t="shared" si="23"/>
        <v>#DIV/0!</v>
      </c>
      <c r="S213" s="113" t="e">
        <f t="shared" si="24"/>
        <v>#DIV/0!</v>
      </c>
      <c r="T213" s="43">
        <f aca="true" t="shared" si="25" ref="T213:T276">$B$11</f>
        <v>0</v>
      </c>
      <c r="U213" s="43"/>
      <c r="V213" s="525" t="e">
        <f>P213*('upper bound Kenaga'!$F$36/100)</f>
        <v>#DIV/0!</v>
      </c>
      <c r="W213" s="43"/>
      <c r="X213" s="525" t="e">
        <f>P213*('upper bound Kenaga'!$F$96/100)</f>
        <v>#DIV/0!</v>
      </c>
      <c r="Y213" s="43"/>
      <c r="Z213" s="43"/>
      <c r="AA213" s="43"/>
    </row>
    <row r="214" spans="13:27" ht="12.75">
      <c r="M214" s="43">
        <f aca="true" t="shared" si="26" ref="M214:M277">(M213+1)</f>
        <v>193</v>
      </c>
      <c r="N214" s="43">
        <f aca="true" t="shared" si="27" ref="N214:N277">IF($B$9&gt;N213,IF(O213=($B$8-1),(N213+1),(N213)),(N213))</f>
        <v>1</v>
      </c>
      <c r="O214" s="43">
        <f aca="true" t="shared" si="28" ref="O214:O277">IF(O213&lt;($B$8-1),(1+O213),0)</f>
        <v>0</v>
      </c>
      <c r="P214" s="113" t="e">
        <f aca="true" t="shared" si="29" ref="P214:P277">IF((N214&gt;N213),(EXP(-$Q$16)*(P213)+$Q$11),((EXP(-$Q$16)*(P213))))</f>
        <v>#DIV/0!</v>
      </c>
      <c r="Q214" s="113" t="e">
        <f aca="true" t="shared" si="30" ref="Q214:Q277">IF((N214&gt;N213),(EXP(-$Q$16)*(Q213)+$Q$12),((EXP(-$Q$16)*(Q213))))</f>
        <v>#DIV/0!</v>
      </c>
      <c r="R214" s="113" t="e">
        <f aca="true" t="shared" si="31" ref="R214:R277">IF((N214&gt;N213),(EXP(-$Q$16)*(R213)+$Q$13),((EXP(-$Q$16)*(R213))))</f>
        <v>#DIV/0!</v>
      </c>
      <c r="S214" s="113" t="e">
        <f aca="true" t="shared" si="32" ref="S214:S277">IF((N214&gt;N213),(EXP(-$Q$16)*(S213)+$Q$14),((EXP(-$Q$16)*(S213))))</f>
        <v>#DIV/0!</v>
      </c>
      <c r="T214" s="43">
        <f t="shared" si="25"/>
        <v>0</v>
      </c>
      <c r="U214" s="43"/>
      <c r="V214" s="525" t="e">
        <f>P214*('upper bound Kenaga'!$F$36/100)</f>
        <v>#DIV/0!</v>
      </c>
      <c r="W214" s="43"/>
      <c r="X214" s="525" t="e">
        <f>P214*('upper bound Kenaga'!$F$96/100)</f>
        <v>#DIV/0!</v>
      </c>
      <c r="Y214" s="43"/>
      <c r="Z214" s="43"/>
      <c r="AA214" s="43"/>
    </row>
    <row r="215" spans="13:27" ht="12.75">
      <c r="M215" s="43">
        <f t="shared" si="26"/>
        <v>194</v>
      </c>
      <c r="N215" s="43">
        <f t="shared" si="27"/>
        <v>1</v>
      </c>
      <c r="O215" s="43">
        <f t="shared" si="28"/>
        <v>0</v>
      </c>
      <c r="P215" s="113" t="e">
        <f t="shared" si="29"/>
        <v>#DIV/0!</v>
      </c>
      <c r="Q215" s="113" t="e">
        <f t="shared" si="30"/>
        <v>#DIV/0!</v>
      </c>
      <c r="R215" s="113" t="e">
        <f t="shared" si="31"/>
        <v>#DIV/0!</v>
      </c>
      <c r="S215" s="113" t="e">
        <f t="shared" si="32"/>
        <v>#DIV/0!</v>
      </c>
      <c r="T215" s="43">
        <f t="shared" si="25"/>
        <v>0</v>
      </c>
      <c r="U215" s="43"/>
      <c r="V215" s="525" t="e">
        <f>P215*('upper bound Kenaga'!$F$36/100)</f>
        <v>#DIV/0!</v>
      </c>
      <c r="W215" s="43"/>
      <c r="X215" s="525" t="e">
        <f>P215*('upper bound Kenaga'!$F$96/100)</f>
        <v>#DIV/0!</v>
      </c>
      <c r="Y215" s="43"/>
      <c r="Z215" s="43"/>
      <c r="AA215" s="43"/>
    </row>
    <row r="216" spans="13:27" ht="12.75">
      <c r="M216" s="43">
        <f t="shared" si="26"/>
        <v>195</v>
      </c>
      <c r="N216" s="43">
        <f t="shared" si="27"/>
        <v>1</v>
      </c>
      <c r="O216" s="43">
        <f t="shared" si="28"/>
        <v>0</v>
      </c>
      <c r="P216" s="113" t="e">
        <f t="shared" si="29"/>
        <v>#DIV/0!</v>
      </c>
      <c r="Q216" s="113" t="e">
        <f t="shared" si="30"/>
        <v>#DIV/0!</v>
      </c>
      <c r="R216" s="113" t="e">
        <f t="shared" si="31"/>
        <v>#DIV/0!</v>
      </c>
      <c r="S216" s="113" t="e">
        <f t="shared" si="32"/>
        <v>#DIV/0!</v>
      </c>
      <c r="T216" s="43">
        <f t="shared" si="25"/>
        <v>0</v>
      </c>
      <c r="U216" s="43"/>
      <c r="V216" s="525" t="e">
        <f>P216*('upper bound Kenaga'!$F$36/100)</f>
        <v>#DIV/0!</v>
      </c>
      <c r="W216" s="43"/>
      <c r="X216" s="525" t="e">
        <f>P216*('upper bound Kenaga'!$F$96/100)</f>
        <v>#DIV/0!</v>
      </c>
      <c r="Y216" s="43"/>
      <c r="Z216" s="43"/>
      <c r="AA216" s="43"/>
    </row>
    <row r="217" spans="13:27" ht="12.75">
      <c r="M217" s="43">
        <f t="shared" si="26"/>
        <v>196</v>
      </c>
      <c r="N217" s="43">
        <f t="shared" si="27"/>
        <v>1</v>
      </c>
      <c r="O217" s="43">
        <f t="shared" si="28"/>
        <v>0</v>
      </c>
      <c r="P217" s="113" t="e">
        <f t="shared" si="29"/>
        <v>#DIV/0!</v>
      </c>
      <c r="Q217" s="113" t="e">
        <f t="shared" si="30"/>
        <v>#DIV/0!</v>
      </c>
      <c r="R217" s="113" t="e">
        <f t="shared" si="31"/>
        <v>#DIV/0!</v>
      </c>
      <c r="S217" s="113" t="e">
        <f t="shared" si="32"/>
        <v>#DIV/0!</v>
      </c>
      <c r="T217" s="43">
        <f t="shared" si="25"/>
        <v>0</v>
      </c>
      <c r="U217" s="43"/>
      <c r="V217" s="525" t="e">
        <f>P217*('upper bound Kenaga'!$F$36/100)</f>
        <v>#DIV/0!</v>
      </c>
      <c r="W217" s="43"/>
      <c r="X217" s="525" t="e">
        <f>P217*('upper bound Kenaga'!$F$96/100)</f>
        <v>#DIV/0!</v>
      </c>
      <c r="Y217" s="43"/>
      <c r="Z217" s="43"/>
      <c r="AA217" s="43"/>
    </row>
    <row r="218" spans="13:27" ht="12.75">
      <c r="M218" s="43">
        <f t="shared" si="26"/>
        <v>197</v>
      </c>
      <c r="N218" s="43">
        <f t="shared" si="27"/>
        <v>1</v>
      </c>
      <c r="O218" s="43">
        <f t="shared" si="28"/>
        <v>0</v>
      </c>
      <c r="P218" s="113" t="e">
        <f t="shared" si="29"/>
        <v>#DIV/0!</v>
      </c>
      <c r="Q218" s="113" t="e">
        <f t="shared" si="30"/>
        <v>#DIV/0!</v>
      </c>
      <c r="R218" s="113" t="e">
        <f t="shared" si="31"/>
        <v>#DIV/0!</v>
      </c>
      <c r="S218" s="113" t="e">
        <f t="shared" si="32"/>
        <v>#DIV/0!</v>
      </c>
      <c r="T218" s="43">
        <f t="shared" si="25"/>
        <v>0</v>
      </c>
      <c r="U218" s="43"/>
      <c r="V218" s="525" t="e">
        <f>P218*('upper bound Kenaga'!$F$36/100)</f>
        <v>#DIV/0!</v>
      </c>
      <c r="W218" s="43"/>
      <c r="X218" s="525" t="e">
        <f>P218*('upper bound Kenaga'!$F$96/100)</f>
        <v>#DIV/0!</v>
      </c>
      <c r="Y218" s="43"/>
      <c r="Z218" s="43"/>
      <c r="AA218" s="43"/>
    </row>
    <row r="219" spans="13:27" ht="12.75">
      <c r="M219" s="43">
        <f t="shared" si="26"/>
        <v>198</v>
      </c>
      <c r="N219" s="43">
        <f t="shared" si="27"/>
        <v>1</v>
      </c>
      <c r="O219" s="43">
        <f t="shared" si="28"/>
        <v>0</v>
      </c>
      <c r="P219" s="113" t="e">
        <f t="shared" si="29"/>
        <v>#DIV/0!</v>
      </c>
      <c r="Q219" s="113" t="e">
        <f t="shared" si="30"/>
        <v>#DIV/0!</v>
      </c>
      <c r="R219" s="113" t="e">
        <f t="shared" si="31"/>
        <v>#DIV/0!</v>
      </c>
      <c r="S219" s="113" t="e">
        <f t="shared" si="32"/>
        <v>#DIV/0!</v>
      </c>
      <c r="T219" s="43">
        <f t="shared" si="25"/>
        <v>0</v>
      </c>
      <c r="U219" s="43"/>
      <c r="V219" s="525" t="e">
        <f>P219*('upper bound Kenaga'!$F$36/100)</f>
        <v>#DIV/0!</v>
      </c>
      <c r="W219" s="43"/>
      <c r="X219" s="525" t="e">
        <f>P219*('upper bound Kenaga'!$F$96/100)</f>
        <v>#DIV/0!</v>
      </c>
      <c r="Y219" s="43"/>
      <c r="Z219" s="43"/>
      <c r="AA219" s="43"/>
    </row>
    <row r="220" spans="13:27" ht="12.75">
      <c r="M220" s="43">
        <f t="shared" si="26"/>
        <v>199</v>
      </c>
      <c r="N220" s="43">
        <f t="shared" si="27"/>
        <v>1</v>
      </c>
      <c r="O220" s="43">
        <f t="shared" si="28"/>
        <v>0</v>
      </c>
      <c r="P220" s="113" t="e">
        <f t="shared" si="29"/>
        <v>#DIV/0!</v>
      </c>
      <c r="Q220" s="113" t="e">
        <f t="shared" si="30"/>
        <v>#DIV/0!</v>
      </c>
      <c r="R220" s="113" t="e">
        <f t="shared" si="31"/>
        <v>#DIV/0!</v>
      </c>
      <c r="S220" s="113" t="e">
        <f t="shared" si="32"/>
        <v>#DIV/0!</v>
      </c>
      <c r="T220" s="43">
        <f t="shared" si="25"/>
        <v>0</v>
      </c>
      <c r="U220" s="43"/>
      <c r="V220" s="525" t="e">
        <f>P220*('upper bound Kenaga'!$F$36/100)</f>
        <v>#DIV/0!</v>
      </c>
      <c r="W220" s="43"/>
      <c r="X220" s="525" t="e">
        <f>P220*('upper bound Kenaga'!$F$96/100)</f>
        <v>#DIV/0!</v>
      </c>
      <c r="Y220" s="43"/>
      <c r="Z220" s="43"/>
      <c r="AA220" s="43"/>
    </row>
    <row r="221" spans="13:27" ht="12.75">
      <c r="M221" s="43">
        <f t="shared" si="26"/>
        <v>200</v>
      </c>
      <c r="N221" s="43">
        <f t="shared" si="27"/>
        <v>1</v>
      </c>
      <c r="O221" s="43">
        <f t="shared" si="28"/>
        <v>0</v>
      </c>
      <c r="P221" s="113" t="e">
        <f t="shared" si="29"/>
        <v>#DIV/0!</v>
      </c>
      <c r="Q221" s="113" t="e">
        <f t="shared" si="30"/>
        <v>#DIV/0!</v>
      </c>
      <c r="R221" s="113" t="e">
        <f t="shared" si="31"/>
        <v>#DIV/0!</v>
      </c>
      <c r="S221" s="113" t="e">
        <f t="shared" si="32"/>
        <v>#DIV/0!</v>
      </c>
      <c r="T221" s="43">
        <f t="shared" si="25"/>
        <v>0</v>
      </c>
      <c r="U221" s="43"/>
      <c r="V221" s="525" t="e">
        <f>P221*('upper bound Kenaga'!$F$36/100)</f>
        <v>#DIV/0!</v>
      </c>
      <c r="W221" s="43"/>
      <c r="X221" s="525" t="e">
        <f>P221*('upper bound Kenaga'!$F$96/100)</f>
        <v>#DIV/0!</v>
      </c>
      <c r="Y221" s="43"/>
      <c r="Z221" s="43"/>
      <c r="AA221" s="43"/>
    </row>
    <row r="222" spans="13:27" ht="12.75">
      <c r="M222" s="43">
        <f t="shared" si="26"/>
        <v>201</v>
      </c>
      <c r="N222" s="43">
        <f t="shared" si="27"/>
        <v>1</v>
      </c>
      <c r="O222" s="43">
        <f t="shared" si="28"/>
        <v>0</v>
      </c>
      <c r="P222" s="113" t="e">
        <f t="shared" si="29"/>
        <v>#DIV/0!</v>
      </c>
      <c r="Q222" s="113" t="e">
        <f t="shared" si="30"/>
        <v>#DIV/0!</v>
      </c>
      <c r="R222" s="113" t="e">
        <f t="shared" si="31"/>
        <v>#DIV/0!</v>
      </c>
      <c r="S222" s="113" t="e">
        <f t="shared" si="32"/>
        <v>#DIV/0!</v>
      </c>
      <c r="T222" s="43">
        <f t="shared" si="25"/>
        <v>0</v>
      </c>
      <c r="U222" s="43"/>
      <c r="V222" s="525" t="e">
        <f>P222*('upper bound Kenaga'!$F$36/100)</f>
        <v>#DIV/0!</v>
      </c>
      <c r="W222" s="43"/>
      <c r="X222" s="525" t="e">
        <f>P222*('upper bound Kenaga'!$F$96/100)</f>
        <v>#DIV/0!</v>
      </c>
      <c r="Y222" s="43"/>
      <c r="Z222" s="43"/>
      <c r="AA222" s="43"/>
    </row>
    <row r="223" spans="13:27" ht="12.75">
      <c r="M223" s="43">
        <f t="shared" si="26"/>
        <v>202</v>
      </c>
      <c r="N223" s="43">
        <f t="shared" si="27"/>
        <v>1</v>
      </c>
      <c r="O223" s="43">
        <f t="shared" si="28"/>
        <v>0</v>
      </c>
      <c r="P223" s="113" t="e">
        <f t="shared" si="29"/>
        <v>#DIV/0!</v>
      </c>
      <c r="Q223" s="113" t="e">
        <f t="shared" si="30"/>
        <v>#DIV/0!</v>
      </c>
      <c r="R223" s="113" t="e">
        <f t="shared" si="31"/>
        <v>#DIV/0!</v>
      </c>
      <c r="S223" s="113" t="e">
        <f t="shared" si="32"/>
        <v>#DIV/0!</v>
      </c>
      <c r="T223" s="43">
        <f t="shared" si="25"/>
        <v>0</v>
      </c>
      <c r="U223" s="43"/>
      <c r="V223" s="525" t="e">
        <f>P223*('upper bound Kenaga'!$F$36/100)</f>
        <v>#DIV/0!</v>
      </c>
      <c r="W223" s="43"/>
      <c r="X223" s="525" t="e">
        <f>P223*('upper bound Kenaga'!$F$96/100)</f>
        <v>#DIV/0!</v>
      </c>
      <c r="Y223" s="43"/>
      <c r="Z223" s="43"/>
      <c r="AA223" s="43"/>
    </row>
    <row r="224" spans="13:27" ht="12.75">
      <c r="M224" s="43">
        <f t="shared" si="26"/>
        <v>203</v>
      </c>
      <c r="N224" s="43">
        <f t="shared" si="27"/>
        <v>1</v>
      </c>
      <c r="O224" s="43">
        <f t="shared" si="28"/>
        <v>0</v>
      </c>
      <c r="P224" s="113" t="e">
        <f t="shared" si="29"/>
        <v>#DIV/0!</v>
      </c>
      <c r="Q224" s="113" t="e">
        <f t="shared" si="30"/>
        <v>#DIV/0!</v>
      </c>
      <c r="R224" s="113" t="e">
        <f t="shared" si="31"/>
        <v>#DIV/0!</v>
      </c>
      <c r="S224" s="113" t="e">
        <f t="shared" si="32"/>
        <v>#DIV/0!</v>
      </c>
      <c r="T224" s="43">
        <f t="shared" si="25"/>
        <v>0</v>
      </c>
      <c r="U224" s="43"/>
      <c r="V224" s="525" t="e">
        <f>P224*('upper bound Kenaga'!$F$36/100)</f>
        <v>#DIV/0!</v>
      </c>
      <c r="W224" s="43"/>
      <c r="X224" s="525" t="e">
        <f>P224*('upper bound Kenaga'!$F$96/100)</f>
        <v>#DIV/0!</v>
      </c>
      <c r="Y224" s="43"/>
      <c r="Z224" s="43"/>
      <c r="AA224" s="43"/>
    </row>
    <row r="225" spans="13:27" ht="12.75">
      <c r="M225" s="43">
        <f t="shared" si="26"/>
        <v>204</v>
      </c>
      <c r="N225" s="43">
        <f t="shared" si="27"/>
        <v>1</v>
      </c>
      <c r="O225" s="43">
        <f t="shared" si="28"/>
        <v>0</v>
      </c>
      <c r="P225" s="113" t="e">
        <f t="shared" si="29"/>
        <v>#DIV/0!</v>
      </c>
      <c r="Q225" s="113" t="e">
        <f t="shared" si="30"/>
        <v>#DIV/0!</v>
      </c>
      <c r="R225" s="113" t="e">
        <f t="shared" si="31"/>
        <v>#DIV/0!</v>
      </c>
      <c r="S225" s="113" t="e">
        <f t="shared" si="32"/>
        <v>#DIV/0!</v>
      </c>
      <c r="T225" s="43">
        <f t="shared" si="25"/>
        <v>0</v>
      </c>
      <c r="U225" s="43"/>
      <c r="V225" s="525" t="e">
        <f>P225*('upper bound Kenaga'!$F$36/100)</f>
        <v>#DIV/0!</v>
      </c>
      <c r="W225" s="43"/>
      <c r="X225" s="525" t="e">
        <f>P225*('upper bound Kenaga'!$F$96/100)</f>
        <v>#DIV/0!</v>
      </c>
      <c r="Y225" s="43"/>
      <c r="Z225" s="43"/>
      <c r="AA225" s="43"/>
    </row>
    <row r="226" spans="13:27" ht="12.75">
      <c r="M226" s="43">
        <f t="shared" si="26"/>
        <v>205</v>
      </c>
      <c r="N226" s="43">
        <f t="shared" si="27"/>
        <v>1</v>
      </c>
      <c r="O226" s="43">
        <f t="shared" si="28"/>
        <v>0</v>
      </c>
      <c r="P226" s="113" t="e">
        <f t="shared" si="29"/>
        <v>#DIV/0!</v>
      </c>
      <c r="Q226" s="113" t="e">
        <f t="shared" si="30"/>
        <v>#DIV/0!</v>
      </c>
      <c r="R226" s="113" t="e">
        <f t="shared" si="31"/>
        <v>#DIV/0!</v>
      </c>
      <c r="S226" s="113" t="e">
        <f t="shared" si="32"/>
        <v>#DIV/0!</v>
      </c>
      <c r="T226" s="43">
        <f t="shared" si="25"/>
        <v>0</v>
      </c>
      <c r="U226" s="43"/>
      <c r="V226" s="525" t="e">
        <f>P226*('upper bound Kenaga'!$F$36/100)</f>
        <v>#DIV/0!</v>
      </c>
      <c r="W226" s="43"/>
      <c r="X226" s="525" t="e">
        <f>P226*('upper bound Kenaga'!$F$96/100)</f>
        <v>#DIV/0!</v>
      </c>
      <c r="Y226" s="43"/>
      <c r="Z226" s="43"/>
      <c r="AA226" s="43"/>
    </row>
    <row r="227" spans="13:27" ht="12.75">
      <c r="M227" s="43">
        <f t="shared" si="26"/>
        <v>206</v>
      </c>
      <c r="N227" s="43">
        <f t="shared" si="27"/>
        <v>1</v>
      </c>
      <c r="O227" s="43">
        <f t="shared" si="28"/>
        <v>0</v>
      </c>
      <c r="P227" s="113" t="e">
        <f t="shared" si="29"/>
        <v>#DIV/0!</v>
      </c>
      <c r="Q227" s="113" t="e">
        <f t="shared" si="30"/>
        <v>#DIV/0!</v>
      </c>
      <c r="R227" s="113" t="e">
        <f t="shared" si="31"/>
        <v>#DIV/0!</v>
      </c>
      <c r="S227" s="113" t="e">
        <f t="shared" si="32"/>
        <v>#DIV/0!</v>
      </c>
      <c r="T227" s="43">
        <f t="shared" si="25"/>
        <v>0</v>
      </c>
      <c r="U227" s="43"/>
      <c r="V227" s="525" t="e">
        <f>P227*('upper bound Kenaga'!$F$36/100)</f>
        <v>#DIV/0!</v>
      </c>
      <c r="W227" s="43"/>
      <c r="X227" s="525" t="e">
        <f>P227*('upper bound Kenaga'!$F$96/100)</f>
        <v>#DIV/0!</v>
      </c>
      <c r="Y227" s="43"/>
      <c r="Z227" s="43"/>
      <c r="AA227" s="43"/>
    </row>
    <row r="228" spans="13:27" ht="12.75">
      <c r="M228" s="43">
        <f t="shared" si="26"/>
        <v>207</v>
      </c>
      <c r="N228" s="43">
        <f t="shared" si="27"/>
        <v>1</v>
      </c>
      <c r="O228" s="43">
        <f t="shared" si="28"/>
        <v>0</v>
      </c>
      <c r="P228" s="113" t="e">
        <f t="shared" si="29"/>
        <v>#DIV/0!</v>
      </c>
      <c r="Q228" s="113" t="e">
        <f t="shared" si="30"/>
        <v>#DIV/0!</v>
      </c>
      <c r="R228" s="113" t="e">
        <f t="shared" si="31"/>
        <v>#DIV/0!</v>
      </c>
      <c r="S228" s="113" t="e">
        <f t="shared" si="32"/>
        <v>#DIV/0!</v>
      </c>
      <c r="T228" s="43">
        <f t="shared" si="25"/>
        <v>0</v>
      </c>
      <c r="U228" s="43"/>
      <c r="V228" s="525" t="e">
        <f>P228*('upper bound Kenaga'!$F$36/100)</f>
        <v>#DIV/0!</v>
      </c>
      <c r="W228" s="43"/>
      <c r="X228" s="525" t="e">
        <f>P228*('upper bound Kenaga'!$F$96/100)</f>
        <v>#DIV/0!</v>
      </c>
      <c r="Y228" s="43"/>
      <c r="Z228" s="43"/>
      <c r="AA228" s="43"/>
    </row>
    <row r="229" spans="13:27" ht="12.75">
      <c r="M229" s="43">
        <f t="shared" si="26"/>
        <v>208</v>
      </c>
      <c r="N229" s="43">
        <f t="shared" si="27"/>
        <v>1</v>
      </c>
      <c r="O229" s="43">
        <f t="shared" si="28"/>
        <v>0</v>
      </c>
      <c r="P229" s="113" t="e">
        <f t="shared" si="29"/>
        <v>#DIV/0!</v>
      </c>
      <c r="Q229" s="113" t="e">
        <f t="shared" si="30"/>
        <v>#DIV/0!</v>
      </c>
      <c r="R229" s="113" t="e">
        <f t="shared" si="31"/>
        <v>#DIV/0!</v>
      </c>
      <c r="S229" s="113" t="e">
        <f t="shared" si="32"/>
        <v>#DIV/0!</v>
      </c>
      <c r="T229" s="43">
        <f t="shared" si="25"/>
        <v>0</v>
      </c>
      <c r="U229" s="43"/>
      <c r="V229" s="525" t="e">
        <f>P229*('upper bound Kenaga'!$F$36/100)</f>
        <v>#DIV/0!</v>
      </c>
      <c r="W229" s="43"/>
      <c r="X229" s="525" t="e">
        <f>P229*('upper bound Kenaga'!$F$96/100)</f>
        <v>#DIV/0!</v>
      </c>
      <c r="Y229" s="43"/>
      <c r="Z229" s="43"/>
      <c r="AA229" s="43"/>
    </row>
    <row r="230" spans="13:27" ht="12.75">
      <c r="M230" s="43">
        <f t="shared" si="26"/>
        <v>209</v>
      </c>
      <c r="N230" s="43">
        <f t="shared" si="27"/>
        <v>1</v>
      </c>
      <c r="O230" s="43">
        <f t="shared" si="28"/>
        <v>0</v>
      </c>
      <c r="P230" s="113" t="e">
        <f t="shared" si="29"/>
        <v>#DIV/0!</v>
      </c>
      <c r="Q230" s="113" t="e">
        <f t="shared" si="30"/>
        <v>#DIV/0!</v>
      </c>
      <c r="R230" s="113" t="e">
        <f t="shared" si="31"/>
        <v>#DIV/0!</v>
      </c>
      <c r="S230" s="113" t="e">
        <f t="shared" si="32"/>
        <v>#DIV/0!</v>
      </c>
      <c r="T230" s="43">
        <f t="shared" si="25"/>
        <v>0</v>
      </c>
      <c r="U230" s="43"/>
      <c r="V230" s="525" t="e">
        <f>P230*('upper bound Kenaga'!$F$36/100)</f>
        <v>#DIV/0!</v>
      </c>
      <c r="W230" s="43"/>
      <c r="X230" s="525" t="e">
        <f>P230*('upper bound Kenaga'!$F$96/100)</f>
        <v>#DIV/0!</v>
      </c>
      <c r="Y230" s="43"/>
      <c r="Z230" s="43"/>
      <c r="AA230" s="43"/>
    </row>
    <row r="231" spans="13:27" ht="12.75">
      <c r="M231" s="43">
        <f t="shared" si="26"/>
        <v>210</v>
      </c>
      <c r="N231" s="43">
        <f t="shared" si="27"/>
        <v>1</v>
      </c>
      <c r="O231" s="43">
        <f t="shared" si="28"/>
        <v>0</v>
      </c>
      <c r="P231" s="113" t="e">
        <f t="shared" si="29"/>
        <v>#DIV/0!</v>
      </c>
      <c r="Q231" s="113" t="e">
        <f t="shared" si="30"/>
        <v>#DIV/0!</v>
      </c>
      <c r="R231" s="113" t="e">
        <f t="shared" si="31"/>
        <v>#DIV/0!</v>
      </c>
      <c r="S231" s="113" t="e">
        <f t="shared" si="32"/>
        <v>#DIV/0!</v>
      </c>
      <c r="T231" s="43">
        <f t="shared" si="25"/>
        <v>0</v>
      </c>
      <c r="U231" s="43"/>
      <c r="V231" s="525" t="e">
        <f>P231*('upper bound Kenaga'!$F$36/100)</f>
        <v>#DIV/0!</v>
      </c>
      <c r="W231" s="43"/>
      <c r="X231" s="525" t="e">
        <f>P231*('upper bound Kenaga'!$F$96/100)</f>
        <v>#DIV/0!</v>
      </c>
      <c r="Y231" s="43"/>
      <c r="Z231" s="43"/>
      <c r="AA231" s="43"/>
    </row>
    <row r="232" spans="13:27" ht="12.75">
      <c r="M232" s="43">
        <f t="shared" si="26"/>
        <v>211</v>
      </c>
      <c r="N232" s="43">
        <f t="shared" si="27"/>
        <v>1</v>
      </c>
      <c r="O232" s="43">
        <f t="shared" si="28"/>
        <v>0</v>
      </c>
      <c r="P232" s="113" t="e">
        <f t="shared" si="29"/>
        <v>#DIV/0!</v>
      </c>
      <c r="Q232" s="113" t="e">
        <f t="shared" si="30"/>
        <v>#DIV/0!</v>
      </c>
      <c r="R232" s="113" t="e">
        <f t="shared" si="31"/>
        <v>#DIV/0!</v>
      </c>
      <c r="S232" s="113" t="e">
        <f t="shared" si="32"/>
        <v>#DIV/0!</v>
      </c>
      <c r="T232" s="43">
        <f t="shared" si="25"/>
        <v>0</v>
      </c>
      <c r="U232" s="43"/>
      <c r="V232" s="525" t="e">
        <f>P232*('upper bound Kenaga'!$F$36/100)</f>
        <v>#DIV/0!</v>
      </c>
      <c r="W232" s="43"/>
      <c r="X232" s="525" t="e">
        <f>P232*('upper bound Kenaga'!$F$96/100)</f>
        <v>#DIV/0!</v>
      </c>
      <c r="Y232" s="43"/>
      <c r="Z232" s="43"/>
      <c r="AA232" s="43"/>
    </row>
    <row r="233" spans="13:27" ht="12.75">
      <c r="M233" s="43">
        <f t="shared" si="26"/>
        <v>212</v>
      </c>
      <c r="N233" s="43">
        <f t="shared" si="27"/>
        <v>1</v>
      </c>
      <c r="O233" s="43">
        <f t="shared" si="28"/>
        <v>0</v>
      </c>
      <c r="P233" s="113" t="e">
        <f t="shared" si="29"/>
        <v>#DIV/0!</v>
      </c>
      <c r="Q233" s="113" t="e">
        <f t="shared" si="30"/>
        <v>#DIV/0!</v>
      </c>
      <c r="R233" s="113" t="e">
        <f t="shared" si="31"/>
        <v>#DIV/0!</v>
      </c>
      <c r="S233" s="113" t="e">
        <f t="shared" si="32"/>
        <v>#DIV/0!</v>
      </c>
      <c r="T233" s="43">
        <f t="shared" si="25"/>
        <v>0</v>
      </c>
      <c r="U233" s="43"/>
      <c r="V233" s="525" t="e">
        <f>P233*('upper bound Kenaga'!$F$36/100)</f>
        <v>#DIV/0!</v>
      </c>
      <c r="W233" s="43"/>
      <c r="X233" s="525" t="e">
        <f>P233*('upper bound Kenaga'!$F$96/100)</f>
        <v>#DIV/0!</v>
      </c>
      <c r="Y233" s="43"/>
      <c r="Z233" s="43"/>
      <c r="AA233" s="43"/>
    </row>
    <row r="234" spans="13:27" ht="12.75">
      <c r="M234" s="43">
        <f t="shared" si="26"/>
        <v>213</v>
      </c>
      <c r="N234" s="43">
        <f t="shared" si="27"/>
        <v>1</v>
      </c>
      <c r="O234" s="43">
        <f t="shared" si="28"/>
        <v>0</v>
      </c>
      <c r="P234" s="113" t="e">
        <f t="shared" si="29"/>
        <v>#DIV/0!</v>
      </c>
      <c r="Q234" s="113" t="e">
        <f t="shared" si="30"/>
        <v>#DIV/0!</v>
      </c>
      <c r="R234" s="113" t="e">
        <f t="shared" si="31"/>
        <v>#DIV/0!</v>
      </c>
      <c r="S234" s="113" t="e">
        <f t="shared" si="32"/>
        <v>#DIV/0!</v>
      </c>
      <c r="T234" s="43">
        <f t="shared" si="25"/>
        <v>0</v>
      </c>
      <c r="U234" s="43"/>
      <c r="V234" s="525" t="e">
        <f>P234*('upper bound Kenaga'!$F$36/100)</f>
        <v>#DIV/0!</v>
      </c>
      <c r="W234" s="43"/>
      <c r="X234" s="525" t="e">
        <f>P234*('upper bound Kenaga'!$F$96/100)</f>
        <v>#DIV/0!</v>
      </c>
      <c r="Y234" s="43"/>
      <c r="Z234" s="43"/>
      <c r="AA234" s="43"/>
    </row>
    <row r="235" spans="13:27" ht="12.75">
      <c r="M235" s="43">
        <f t="shared" si="26"/>
        <v>214</v>
      </c>
      <c r="N235" s="43">
        <f t="shared" si="27"/>
        <v>1</v>
      </c>
      <c r="O235" s="43">
        <f t="shared" si="28"/>
        <v>0</v>
      </c>
      <c r="P235" s="113" t="e">
        <f t="shared" si="29"/>
        <v>#DIV/0!</v>
      </c>
      <c r="Q235" s="113" t="e">
        <f t="shared" si="30"/>
        <v>#DIV/0!</v>
      </c>
      <c r="R235" s="113" t="e">
        <f t="shared" si="31"/>
        <v>#DIV/0!</v>
      </c>
      <c r="S235" s="113" t="e">
        <f t="shared" si="32"/>
        <v>#DIV/0!</v>
      </c>
      <c r="T235" s="43">
        <f t="shared" si="25"/>
        <v>0</v>
      </c>
      <c r="U235" s="43"/>
      <c r="V235" s="525" t="e">
        <f>P235*('upper bound Kenaga'!$F$36/100)</f>
        <v>#DIV/0!</v>
      </c>
      <c r="W235" s="43"/>
      <c r="X235" s="525" t="e">
        <f>P235*('upper bound Kenaga'!$F$96/100)</f>
        <v>#DIV/0!</v>
      </c>
      <c r="Y235" s="43"/>
      <c r="Z235" s="43"/>
      <c r="AA235" s="43"/>
    </row>
    <row r="236" spans="13:27" ht="12.75">
      <c r="M236" s="43">
        <f t="shared" si="26"/>
        <v>215</v>
      </c>
      <c r="N236" s="43">
        <f t="shared" si="27"/>
        <v>1</v>
      </c>
      <c r="O236" s="43">
        <f t="shared" si="28"/>
        <v>0</v>
      </c>
      <c r="P236" s="113" t="e">
        <f t="shared" si="29"/>
        <v>#DIV/0!</v>
      </c>
      <c r="Q236" s="113" t="e">
        <f t="shared" si="30"/>
        <v>#DIV/0!</v>
      </c>
      <c r="R236" s="113" t="e">
        <f t="shared" si="31"/>
        <v>#DIV/0!</v>
      </c>
      <c r="S236" s="113" t="e">
        <f t="shared" si="32"/>
        <v>#DIV/0!</v>
      </c>
      <c r="T236" s="43">
        <f t="shared" si="25"/>
        <v>0</v>
      </c>
      <c r="U236" s="43"/>
      <c r="V236" s="525" t="e">
        <f>P236*('upper bound Kenaga'!$F$36/100)</f>
        <v>#DIV/0!</v>
      </c>
      <c r="W236" s="43"/>
      <c r="X236" s="525" t="e">
        <f>P236*('upper bound Kenaga'!$F$96/100)</f>
        <v>#DIV/0!</v>
      </c>
      <c r="Y236" s="43"/>
      <c r="Z236" s="43"/>
      <c r="AA236" s="43"/>
    </row>
    <row r="237" spans="13:27" ht="12.75">
      <c r="M237" s="43">
        <f t="shared" si="26"/>
        <v>216</v>
      </c>
      <c r="N237" s="43">
        <f t="shared" si="27"/>
        <v>1</v>
      </c>
      <c r="O237" s="43">
        <f t="shared" si="28"/>
        <v>0</v>
      </c>
      <c r="P237" s="113" t="e">
        <f t="shared" si="29"/>
        <v>#DIV/0!</v>
      </c>
      <c r="Q237" s="113" t="e">
        <f t="shared" si="30"/>
        <v>#DIV/0!</v>
      </c>
      <c r="R237" s="113" t="e">
        <f t="shared" si="31"/>
        <v>#DIV/0!</v>
      </c>
      <c r="S237" s="113" t="e">
        <f t="shared" si="32"/>
        <v>#DIV/0!</v>
      </c>
      <c r="T237" s="43">
        <f t="shared" si="25"/>
        <v>0</v>
      </c>
      <c r="U237" s="43"/>
      <c r="V237" s="525" t="e">
        <f>P237*('upper bound Kenaga'!$F$36/100)</f>
        <v>#DIV/0!</v>
      </c>
      <c r="W237" s="43"/>
      <c r="X237" s="525" t="e">
        <f>P237*('upper bound Kenaga'!$F$96/100)</f>
        <v>#DIV/0!</v>
      </c>
      <c r="Y237" s="43"/>
      <c r="Z237" s="43"/>
      <c r="AA237" s="43"/>
    </row>
    <row r="238" spans="13:27" ht="12.75">
      <c r="M238" s="43">
        <f t="shared" si="26"/>
        <v>217</v>
      </c>
      <c r="N238" s="43">
        <f t="shared" si="27"/>
        <v>1</v>
      </c>
      <c r="O238" s="43">
        <f t="shared" si="28"/>
        <v>0</v>
      </c>
      <c r="P238" s="113" t="e">
        <f t="shared" si="29"/>
        <v>#DIV/0!</v>
      </c>
      <c r="Q238" s="113" t="e">
        <f t="shared" si="30"/>
        <v>#DIV/0!</v>
      </c>
      <c r="R238" s="113" t="e">
        <f t="shared" si="31"/>
        <v>#DIV/0!</v>
      </c>
      <c r="S238" s="113" t="e">
        <f t="shared" si="32"/>
        <v>#DIV/0!</v>
      </c>
      <c r="T238" s="43">
        <f t="shared" si="25"/>
        <v>0</v>
      </c>
      <c r="U238" s="43"/>
      <c r="V238" s="525" t="e">
        <f>P238*('upper bound Kenaga'!$F$36/100)</f>
        <v>#DIV/0!</v>
      </c>
      <c r="W238" s="43"/>
      <c r="X238" s="525" t="e">
        <f>P238*('upper bound Kenaga'!$F$96/100)</f>
        <v>#DIV/0!</v>
      </c>
      <c r="Y238" s="43"/>
      <c r="Z238" s="43"/>
      <c r="AA238" s="43"/>
    </row>
    <row r="239" spans="13:27" ht="12.75">
      <c r="M239" s="43">
        <f t="shared" si="26"/>
        <v>218</v>
      </c>
      <c r="N239" s="43">
        <f t="shared" si="27"/>
        <v>1</v>
      </c>
      <c r="O239" s="43">
        <f t="shared" si="28"/>
        <v>0</v>
      </c>
      <c r="P239" s="113" t="e">
        <f t="shared" si="29"/>
        <v>#DIV/0!</v>
      </c>
      <c r="Q239" s="113" t="e">
        <f t="shared" si="30"/>
        <v>#DIV/0!</v>
      </c>
      <c r="R239" s="113" t="e">
        <f t="shared" si="31"/>
        <v>#DIV/0!</v>
      </c>
      <c r="S239" s="113" t="e">
        <f t="shared" si="32"/>
        <v>#DIV/0!</v>
      </c>
      <c r="T239" s="43">
        <f t="shared" si="25"/>
        <v>0</v>
      </c>
      <c r="U239" s="43"/>
      <c r="V239" s="525" t="e">
        <f>P239*('upper bound Kenaga'!$F$36/100)</f>
        <v>#DIV/0!</v>
      </c>
      <c r="W239" s="43"/>
      <c r="X239" s="525" t="e">
        <f>P239*('upper bound Kenaga'!$F$96/100)</f>
        <v>#DIV/0!</v>
      </c>
      <c r="Y239" s="43"/>
      <c r="Z239" s="43"/>
      <c r="AA239" s="43"/>
    </row>
    <row r="240" spans="13:27" ht="12.75">
      <c r="M240" s="43">
        <f t="shared" si="26"/>
        <v>219</v>
      </c>
      <c r="N240" s="43">
        <f t="shared" si="27"/>
        <v>1</v>
      </c>
      <c r="O240" s="43">
        <f t="shared" si="28"/>
        <v>0</v>
      </c>
      <c r="P240" s="113" t="e">
        <f t="shared" si="29"/>
        <v>#DIV/0!</v>
      </c>
      <c r="Q240" s="113" t="e">
        <f t="shared" si="30"/>
        <v>#DIV/0!</v>
      </c>
      <c r="R240" s="113" t="e">
        <f t="shared" si="31"/>
        <v>#DIV/0!</v>
      </c>
      <c r="S240" s="113" t="e">
        <f t="shared" si="32"/>
        <v>#DIV/0!</v>
      </c>
      <c r="T240" s="43">
        <f t="shared" si="25"/>
        <v>0</v>
      </c>
      <c r="U240" s="43"/>
      <c r="V240" s="525" t="e">
        <f>P240*('upper bound Kenaga'!$F$36/100)</f>
        <v>#DIV/0!</v>
      </c>
      <c r="W240" s="43"/>
      <c r="X240" s="525" t="e">
        <f>P240*('upper bound Kenaga'!$F$96/100)</f>
        <v>#DIV/0!</v>
      </c>
      <c r="Y240" s="43"/>
      <c r="Z240" s="43"/>
      <c r="AA240" s="43"/>
    </row>
    <row r="241" spans="13:27" ht="12.75">
      <c r="M241" s="43">
        <f t="shared" si="26"/>
        <v>220</v>
      </c>
      <c r="N241" s="43">
        <f t="shared" si="27"/>
        <v>1</v>
      </c>
      <c r="O241" s="43">
        <f t="shared" si="28"/>
        <v>0</v>
      </c>
      <c r="P241" s="113" t="e">
        <f t="shared" si="29"/>
        <v>#DIV/0!</v>
      </c>
      <c r="Q241" s="113" t="e">
        <f t="shared" si="30"/>
        <v>#DIV/0!</v>
      </c>
      <c r="R241" s="113" t="e">
        <f t="shared" si="31"/>
        <v>#DIV/0!</v>
      </c>
      <c r="S241" s="113" t="e">
        <f t="shared" si="32"/>
        <v>#DIV/0!</v>
      </c>
      <c r="T241" s="43">
        <f t="shared" si="25"/>
        <v>0</v>
      </c>
      <c r="U241" s="43"/>
      <c r="V241" s="525" t="e">
        <f>P241*('upper bound Kenaga'!$F$36/100)</f>
        <v>#DIV/0!</v>
      </c>
      <c r="W241" s="43"/>
      <c r="X241" s="525" t="e">
        <f>P241*('upper bound Kenaga'!$F$96/100)</f>
        <v>#DIV/0!</v>
      </c>
      <c r="Y241" s="43"/>
      <c r="Z241" s="43"/>
      <c r="AA241" s="43"/>
    </row>
    <row r="242" spans="13:27" ht="12.75">
      <c r="M242" s="43">
        <f t="shared" si="26"/>
        <v>221</v>
      </c>
      <c r="N242" s="43">
        <f t="shared" si="27"/>
        <v>1</v>
      </c>
      <c r="O242" s="43">
        <f t="shared" si="28"/>
        <v>0</v>
      </c>
      <c r="P242" s="113" t="e">
        <f t="shared" si="29"/>
        <v>#DIV/0!</v>
      </c>
      <c r="Q242" s="113" t="e">
        <f t="shared" si="30"/>
        <v>#DIV/0!</v>
      </c>
      <c r="R242" s="113" t="e">
        <f t="shared" si="31"/>
        <v>#DIV/0!</v>
      </c>
      <c r="S242" s="113" t="e">
        <f t="shared" si="32"/>
        <v>#DIV/0!</v>
      </c>
      <c r="T242" s="43">
        <f t="shared" si="25"/>
        <v>0</v>
      </c>
      <c r="U242" s="43"/>
      <c r="V242" s="525" t="e">
        <f>P242*('upper bound Kenaga'!$F$36/100)</f>
        <v>#DIV/0!</v>
      </c>
      <c r="W242" s="43"/>
      <c r="X242" s="525" t="e">
        <f>P242*('upper bound Kenaga'!$F$96/100)</f>
        <v>#DIV/0!</v>
      </c>
      <c r="Y242" s="43"/>
      <c r="Z242" s="43"/>
      <c r="AA242" s="43"/>
    </row>
    <row r="243" spans="13:27" ht="12.75">
      <c r="M243" s="43">
        <f t="shared" si="26"/>
        <v>222</v>
      </c>
      <c r="N243" s="43">
        <f t="shared" si="27"/>
        <v>1</v>
      </c>
      <c r="O243" s="43">
        <f t="shared" si="28"/>
        <v>0</v>
      </c>
      <c r="P243" s="113" t="e">
        <f t="shared" si="29"/>
        <v>#DIV/0!</v>
      </c>
      <c r="Q243" s="113" t="e">
        <f t="shared" si="30"/>
        <v>#DIV/0!</v>
      </c>
      <c r="R243" s="113" t="e">
        <f t="shared" si="31"/>
        <v>#DIV/0!</v>
      </c>
      <c r="S243" s="113" t="e">
        <f t="shared" si="32"/>
        <v>#DIV/0!</v>
      </c>
      <c r="T243" s="43">
        <f t="shared" si="25"/>
        <v>0</v>
      </c>
      <c r="U243" s="43"/>
      <c r="V243" s="525" t="e">
        <f>P243*('upper bound Kenaga'!$F$36/100)</f>
        <v>#DIV/0!</v>
      </c>
      <c r="W243" s="43"/>
      <c r="X243" s="525" t="e">
        <f>P243*('upper bound Kenaga'!$F$96/100)</f>
        <v>#DIV/0!</v>
      </c>
      <c r="Y243" s="43"/>
      <c r="Z243" s="43"/>
      <c r="AA243" s="43"/>
    </row>
    <row r="244" spans="13:27" ht="12.75">
      <c r="M244" s="43">
        <f t="shared" si="26"/>
        <v>223</v>
      </c>
      <c r="N244" s="43">
        <f t="shared" si="27"/>
        <v>1</v>
      </c>
      <c r="O244" s="43">
        <f t="shared" si="28"/>
        <v>0</v>
      </c>
      <c r="P244" s="113" t="e">
        <f t="shared" si="29"/>
        <v>#DIV/0!</v>
      </c>
      <c r="Q244" s="113" t="e">
        <f t="shared" si="30"/>
        <v>#DIV/0!</v>
      </c>
      <c r="R244" s="113" t="e">
        <f t="shared" si="31"/>
        <v>#DIV/0!</v>
      </c>
      <c r="S244" s="113" t="e">
        <f t="shared" si="32"/>
        <v>#DIV/0!</v>
      </c>
      <c r="T244" s="43">
        <f t="shared" si="25"/>
        <v>0</v>
      </c>
      <c r="U244" s="43"/>
      <c r="V244" s="525" t="e">
        <f>P244*('upper bound Kenaga'!$F$36/100)</f>
        <v>#DIV/0!</v>
      </c>
      <c r="W244" s="43"/>
      <c r="X244" s="525" t="e">
        <f>P244*('upper bound Kenaga'!$F$96/100)</f>
        <v>#DIV/0!</v>
      </c>
      <c r="Y244" s="43"/>
      <c r="Z244" s="43"/>
      <c r="AA244" s="43"/>
    </row>
    <row r="245" spans="13:27" ht="12.75">
      <c r="M245" s="43">
        <f t="shared" si="26"/>
        <v>224</v>
      </c>
      <c r="N245" s="43">
        <f t="shared" si="27"/>
        <v>1</v>
      </c>
      <c r="O245" s="43">
        <f t="shared" si="28"/>
        <v>0</v>
      </c>
      <c r="P245" s="113" t="e">
        <f t="shared" si="29"/>
        <v>#DIV/0!</v>
      </c>
      <c r="Q245" s="113" t="e">
        <f t="shared" si="30"/>
        <v>#DIV/0!</v>
      </c>
      <c r="R245" s="113" t="e">
        <f t="shared" si="31"/>
        <v>#DIV/0!</v>
      </c>
      <c r="S245" s="113" t="e">
        <f t="shared" si="32"/>
        <v>#DIV/0!</v>
      </c>
      <c r="T245" s="43">
        <f t="shared" si="25"/>
        <v>0</v>
      </c>
      <c r="U245" s="43"/>
      <c r="V245" s="525" t="e">
        <f>P245*('upper bound Kenaga'!$F$36/100)</f>
        <v>#DIV/0!</v>
      </c>
      <c r="W245" s="43"/>
      <c r="X245" s="525" t="e">
        <f>P245*('upper bound Kenaga'!$F$96/100)</f>
        <v>#DIV/0!</v>
      </c>
      <c r="Y245" s="43"/>
      <c r="Z245" s="43"/>
      <c r="AA245" s="43"/>
    </row>
    <row r="246" spans="13:27" ht="12.75">
      <c r="M246" s="43">
        <f t="shared" si="26"/>
        <v>225</v>
      </c>
      <c r="N246" s="43">
        <f t="shared" si="27"/>
        <v>1</v>
      </c>
      <c r="O246" s="43">
        <f t="shared" si="28"/>
        <v>0</v>
      </c>
      <c r="P246" s="113" t="e">
        <f t="shared" si="29"/>
        <v>#DIV/0!</v>
      </c>
      <c r="Q246" s="113" t="e">
        <f t="shared" si="30"/>
        <v>#DIV/0!</v>
      </c>
      <c r="R246" s="113" t="e">
        <f t="shared" si="31"/>
        <v>#DIV/0!</v>
      </c>
      <c r="S246" s="113" t="e">
        <f t="shared" si="32"/>
        <v>#DIV/0!</v>
      </c>
      <c r="T246" s="43">
        <f t="shared" si="25"/>
        <v>0</v>
      </c>
      <c r="U246" s="43"/>
      <c r="V246" s="525" t="e">
        <f>P246*('upper bound Kenaga'!$F$36/100)</f>
        <v>#DIV/0!</v>
      </c>
      <c r="W246" s="43"/>
      <c r="X246" s="525" t="e">
        <f>P246*('upper bound Kenaga'!$F$96/100)</f>
        <v>#DIV/0!</v>
      </c>
      <c r="Y246" s="43"/>
      <c r="Z246" s="43"/>
      <c r="AA246" s="43"/>
    </row>
    <row r="247" spans="13:27" ht="12.75">
      <c r="M247" s="43">
        <f t="shared" si="26"/>
        <v>226</v>
      </c>
      <c r="N247" s="43">
        <f t="shared" si="27"/>
        <v>1</v>
      </c>
      <c r="O247" s="43">
        <f t="shared" si="28"/>
        <v>0</v>
      </c>
      <c r="P247" s="113" t="e">
        <f t="shared" si="29"/>
        <v>#DIV/0!</v>
      </c>
      <c r="Q247" s="113" t="e">
        <f t="shared" si="30"/>
        <v>#DIV/0!</v>
      </c>
      <c r="R247" s="113" t="e">
        <f t="shared" si="31"/>
        <v>#DIV/0!</v>
      </c>
      <c r="S247" s="113" t="e">
        <f t="shared" si="32"/>
        <v>#DIV/0!</v>
      </c>
      <c r="T247" s="43">
        <f t="shared" si="25"/>
        <v>0</v>
      </c>
      <c r="U247" s="43"/>
      <c r="V247" s="525" t="e">
        <f>P247*('upper bound Kenaga'!$F$36/100)</f>
        <v>#DIV/0!</v>
      </c>
      <c r="W247" s="43"/>
      <c r="X247" s="525" t="e">
        <f>P247*('upper bound Kenaga'!$F$96/100)</f>
        <v>#DIV/0!</v>
      </c>
      <c r="Y247" s="43"/>
      <c r="Z247" s="43"/>
      <c r="AA247" s="43"/>
    </row>
    <row r="248" spans="13:27" ht="12.75">
      <c r="M248" s="43">
        <f t="shared" si="26"/>
        <v>227</v>
      </c>
      <c r="N248" s="43">
        <f t="shared" si="27"/>
        <v>1</v>
      </c>
      <c r="O248" s="43">
        <f t="shared" si="28"/>
        <v>0</v>
      </c>
      <c r="P248" s="113" t="e">
        <f t="shared" si="29"/>
        <v>#DIV/0!</v>
      </c>
      <c r="Q248" s="113" t="e">
        <f t="shared" si="30"/>
        <v>#DIV/0!</v>
      </c>
      <c r="R248" s="113" t="e">
        <f t="shared" si="31"/>
        <v>#DIV/0!</v>
      </c>
      <c r="S248" s="113" t="e">
        <f t="shared" si="32"/>
        <v>#DIV/0!</v>
      </c>
      <c r="T248" s="43">
        <f t="shared" si="25"/>
        <v>0</v>
      </c>
      <c r="U248" s="43"/>
      <c r="V248" s="525" t="e">
        <f>P248*('upper bound Kenaga'!$F$36/100)</f>
        <v>#DIV/0!</v>
      </c>
      <c r="W248" s="43"/>
      <c r="X248" s="525" t="e">
        <f>P248*('upper bound Kenaga'!$F$96/100)</f>
        <v>#DIV/0!</v>
      </c>
      <c r="Y248" s="43"/>
      <c r="Z248" s="43"/>
      <c r="AA248" s="43"/>
    </row>
    <row r="249" spans="13:27" ht="12.75">
      <c r="M249" s="43">
        <f t="shared" si="26"/>
        <v>228</v>
      </c>
      <c r="N249" s="43">
        <f t="shared" si="27"/>
        <v>1</v>
      </c>
      <c r="O249" s="43">
        <f t="shared" si="28"/>
        <v>0</v>
      </c>
      <c r="P249" s="113" t="e">
        <f t="shared" si="29"/>
        <v>#DIV/0!</v>
      </c>
      <c r="Q249" s="113" t="e">
        <f t="shared" si="30"/>
        <v>#DIV/0!</v>
      </c>
      <c r="R249" s="113" t="e">
        <f t="shared" si="31"/>
        <v>#DIV/0!</v>
      </c>
      <c r="S249" s="113" t="e">
        <f t="shared" si="32"/>
        <v>#DIV/0!</v>
      </c>
      <c r="T249" s="43">
        <f t="shared" si="25"/>
        <v>0</v>
      </c>
      <c r="U249" s="43"/>
      <c r="V249" s="525" t="e">
        <f>P249*('upper bound Kenaga'!$F$36/100)</f>
        <v>#DIV/0!</v>
      </c>
      <c r="W249" s="43"/>
      <c r="X249" s="525" t="e">
        <f>P249*('upper bound Kenaga'!$F$96/100)</f>
        <v>#DIV/0!</v>
      </c>
      <c r="Y249" s="43"/>
      <c r="Z249" s="43"/>
      <c r="AA249" s="43"/>
    </row>
    <row r="250" spans="13:27" ht="12.75">
      <c r="M250" s="43">
        <f t="shared" si="26"/>
        <v>229</v>
      </c>
      <c r="N250" s="43">
        <f t="shared" si="27"/>
        <v>1</v>
      </c>
      <c r="O250" s="43">
        <f t="shared" si="28"/>
        <v>0</v>
      </c>
      <c r="P250" s="113" t="e">
        <f t="shared" si="29"/>
        <v>#DIV/0!</v>
      </c>
      <c r="Q250" s="113" t="e">
        <f t="shared" si="30"/>
        <v>#DIV/0!</v>
      </c>
      <c r="R250" s="113" t="e">
        <f t="shared" si="31"/>
        <v>#DIV/0!</v>
      </c>
      <c r="S250" s="113" t="e">
        <f t="shared" si="32"/>
        <v>#DIV/0!</v>
      </c>
      <c r="T250" s="43">
        <f t="shared" si="25"/>
        <v>0</v>
      </c>
      <c r="U250" s="43"/>
      <c r="V250" s="525" t="e">
        <f>P250*('upper bound Kenaga'!$F$36/100)</f>
        <v>#DIV/0!</v>
      </c>
      <c r="W250" s="43"/>
      <c r="X250" s="525" t="e">
        <f>P250*('upper bound Kenaga'!$F$96/100)</f>
        <v>#DIV/0!</v>
      </c>
      <c r="Y250" s="43"/>
      <c r="Z250" s="43"/>
      <c r="AA250" s="43"/>
    </row>
    <row r="251" spans="13:27" ht="12.75">
      <c r="M251" s="43">
        <f t="shared" si="26"/>
        <v>230</v>
      </c>
      <c r="N251" s="43">
        <f t="shared" si="27"/>
        <v>1</v>
      </c>
      <c r="O251" s="43">
        <f t="shared" si="28"/>
        <v>0</v>
      </c>
      <c r="P251" s="113" t="e">
        <f t="shared" si="29"/>
        <v>#DIV/0!</v>
      </c>
      <c r="Q251" s="113" t="e">
        <f t="shared" si="30"/>
        <v>#DIV/0!</v>
      </c>
      <c r="R251" s="113" t="e">
        <f t="shared" si="31"/>
        <v>#DIV/0!</v>
      </c>
      <c r="S251" s="113" t="e">
        <f t="shared" si="32"/>
        <v>#DIV/0!</v>
      </c>
      <c r="T251" s="43">
        <f t="shared" si="25"/>
        <v>0</v>
      </c>
      <c r="U251" s="43"/>
      <c r="V251" s="525" t="e">
        <f>P251*('upper bound Kenaga'!$F$36/100)</f>
        <v>#DIV/0!</v>
      </c>
      <c r="W251" s="43"/>
      <c r="X251" s="525" t="e">
        <f>P251*('upper bound Kenaga'!$F$96/100)</f>
        <v>#DIV/0!</v>
      </c>
      <c r="Y251" s="43"/>
      <c r="Z251" s="43"/>
      <c r="AA251" s="43"/>
    </row>
    <row r="252" spans="13:27" ht="12.75">
      <c r="M252" s="43">
        <f t="shared" si="26"/>
        <v>231</v>
      </c>
      <c r="N252" s="43">
        <f t="shared" si="27"/>
        <v>1</v>
      </c>
      <c r="O252" s="43">
        <f t="shared" si="28"/>
        <v>0</v>
      </c>
      <c r="P252" s="113" t="e">
        <f t="shared" si="29"/>
        <v>#DIV/0!</v>
      </c>
      <c r="Q252" s="113" t="e">
        <f t="shared" si="30"/>
        <v>#DIV/0!</v>
      </c>
      <c r="R252" s="113" t="e">
        <f t="shared" si="31"/>
        <v>#DIV/0!</v>
      </c>
      <c r="S252" s="113" t="e">
        <f t="shared" si="32"/>
        <v>#DIV/0!</v>
      </c>
      <c r="T252" s="43">
        <f t="shared" si="25"/>
        <v>0</v>
      </c>
      <c r="U252" s="43"/>
      <c r="V252" s="525" t="e">
        <f>P252*('upper bound Kenaga'!$F$36/100)</f>
        <v>#DIV/0!</v>
      </c>
      <c r="W252" s="43"/>
      <c r="X252" s="525" t="e">
        <f>P252*('upper bound Kenaga'!$F$96/100)</f>
        <v>#DIV/0!</v>
      </c>
      <c r="Y252" s="43"/>
      <c r="Z252" s="43"/>
      <c r="AA252" s="43"/>
    </row>
    <row r="253" spans="13:27" ht="12.75">
      <c r="M253" s="43">
        <f t="shared" si="26"/>
        <v>232</v>
      </c>
      <c r="N253" s="43">
        <f t="shared" si="27"/>
        <v>1</v>
      </c>
      <c r="O253" s="43">
        <f t="shared" si="28"/>
        <v>0</v>
      </c>
      <c r="P253" s="113" t="e">
        <f t="shared" si="29"/>
        <v>#DIV/0!</v>
      </c>
      <c r="Q253" s="113" t="e">
        <f t="shared" si="30"/>
        <v>#DIV/0!</v>
      </c>
      <c r="R253" s="113" t="e">
        <f t="shared" si="31"/>
        <v>#DIV/0!</v>
      </c>
      <c r="S253" s="113" t="e">
        <f t="shared" si="32"/>
        <v>#DIV/0!</v>
      </c>
      <c r="T253" s="43">
        <f t="shared" si="25"/>
        <v>0</v>
      </c>
      <c r="U253" s="43"/>
      <c r="V253" s="525" t="e">
        <f>P253*('upper bound Kenaga'!$F$36/100)</f>
        <v>#DIV/0!</v>
      </c>
      <c r="W253" s="43"/>
      <c r="X253" s="525" t="e">
        <f>P253*('upper bound Kenaga'!$F$96/100)</f>
        <v>#DIV/0!</v>
      </c>
      <c r="Y253" s="43"/>
      <c r="Z253" s="43"/>
      <c r="AA253" s="43"/>
    </row>
    <row r="254" spans="13:27" ht="12.75">
      <c r="M254" s="43">
        <f t="shared" si="26"/>
        <v>233</v>
      </c>
      <c r="N254" s="43">
        <f t="shared" si="27"/>
        <v>1</v>
      </c>
      <c r="O254" s="43">
        <f t="shared" si="28"/>
        <v>0</v>
      </c>
      <c r="P254" s="113" t="e">
        <f t="shared" si="29"/>
        <v>#DIV/0!</v>
      </c>
      <c r="Q254" s="113" t="e">
        <f t="shared" si="30"/>
        <v>#DIV/0!</v>
      </c>
      <c r="R254" s="113" t="e">
        <f t="shared" si="31"/>
        <v>#DIV/0!</v>
      </c>
      <c r="S254" s="113" t="e">
        <f t="shared" si="32"/>
        <v>#DIV/0!</v>
      </c>
      <c r="T254" s="43">
        <f t="shared" si="25"/>
        <v>0</v>
      </c>
      <c r="U254" s="43"/>
      <c r="V254" s="525" t="e">
        <f>P254*('upper bound Kenaga'!$F$36/100)</f>
        <v>#DIV/0!</v>
      </c>
      <c r="W254" s="43"/>
      <c r="X254" s="525" t="e">
        <f>P254*('upper bound Kenaga'!$F$96/100)</f>
        <v>#DIV/0!</v>
      </c>
      <c r="Y254" s="43"/>
      <c r="Z254" s="43"/>
      <c r="AA254" s="43"/>
    </row>
    <row r="255" spans="13:27" ht="12.75">
      <c r="M255" s="43">
        <f t="shared" si="26"/>
        <v>234</v>
      </c>
      <c r="N255" s="43">
        <f t="shared" si="27"/>
        <v>1</v>
      </c>
      <c r="O255" s="43">
        <f t="shared" si="28"/>
        <v>0</v>
      </c>
      <c r="P255" s="113" t="e">
        <f t="shared" si="29"/>
        <v>#DIV/0!</v>
      </c>
      <c r="Q255" s="113" t="e">
        <f t="shared" si="30"/>
        <v>#DIV/0!</v>
      </c>
      <c r="R255" s="113" t="e">
        <f t="shared" si="31"/>
        <v>#DIV/0!</v>
      </c>
      <c r="S255" s="113" t="e">
        <f t="shared" si="32"/>
        <v>#DIV/0!</v>
      </c>
      <c r="T255" s="43">
        <f t="shared" si="25"/>
        <v>0</v>
      </c>
      <c r="U255" s="43"/>
      <c r="V255" s="525" t="e">
        <f>P255*('upper bound Kenaga'!$F$36/100)</f>
        <v>#DIV/0!</v>
      </c>
      <c r="W255" s="43"/>
      <c r="X255" s="525" t="e">
        <f>P255*('upper bound Kenaga'!$F$96/100)</f>
        <v>#DIV/0!</v>
      </c>
      <c r="Y255" s="43"/>
      <c r="Z255" s="43"/>
      <c r="AA255" s="43"/>
    </row>
    <row r="256" spans="13:27" ht="12.75">
      <c r="M256" s="43">
        <f t="shared" si="26"/>
        <v>235</v>
      </c>
      <c r="N256" s="43">
        <f t="shared" si="27"/>
        <v>1</v>
      </c>
      <c r="O256" s="43">
        <f t="shared" si="28"/>
        <v>0</v>
      </c>
      <c r="P256" s="113" t="e">
        <f t="shared" si="29"/>
        <v>#DIV/0!</v>
      </c>
      <c r="Q256" s="113" t="e">
        <f t="shared" si="30"/>
        <v>#DIV/0!</v>
      </c>
      <c r="R256" s="113" t="e">
        <f t="shared" si="31"/>
        <v>#DIV/0!</v>
      </c>
      <c r="S256" s="113" t="e">
        <f t="shared" si="32"/>
        <v>#DIV/0!</v>
      </c>
      <c r="T256" s="43">
        <f t="shared" si="25"/>
        <v>0</v>
      </c>
      <c r="U256" s="43"/>
      <c r="V256" s="525" t="e">
        <f>P256*('upper bound Kenaga'!$F$36/100)</f>
        <v>#DIV/0!</v>
      </c>
      <c r="W256" s="43"/>
      <c r="X256" s="525" t="e">
        <f>P256*('upper bound Kenaga'!$F$96/100)</f>
        <v>#DIV/0!</v>
      </c>
      <c r="Y256" s="43"/>
      <c r="Z256" s="43"/>
      <c r="AA256" s="43"/>
    </row>
    <row r="257" spans="13:27" ht="12.75">
      <c r="M257" s="43">
        <f t="shared" si="26"/>
        <v>236</v>
      </c>
      <c r="N257" s="43">
        <f t="shared" si="27"/>
        <v>1</v>
      </c>
      <c r="O257" s="43">
        <f t="shared" si="28"/>
        <v>0</v>
      </c>
      <c r="P257" s="113" t="e">
        <f t="shared" si="29"/>
        <v>#DIV/0!</v>
      </c>
      <c r="Q257" s="113" t="e">
        <f t="shared" si="30"/>
        <v>#DIV/0!</v>
      </c>
      <c r="R257" s="113" t="e">
        <f t="shared" si="31"/>
        <v>#DIV/0!</v>
      </c>
      <c r="S257" s="113" t="e">
        <f t="shared" si="32"/>
        <v>#DIV/0!</v>
      </c>
      <c r="T257" s="43">
        <f t="shared" si="25"/>
        <v>0</v>
      </c>
      <c r="U257" s="43"/>
      <c r="V257" s="525" t="e">
        <f>P257*('upper bound Kenaga'!$F$36/100)</f>
        <v>#DIV/0!</v>
      </c>
      <c r="W257" s="43"/>
      <c r="X257" s="525" t="e">
        <f>P257*('upper bound Kenaga'!$F$96/100)</f>
        <v>#DIV/0!</v>
      </c>
      <c r="Y257" s="43"/>
      <c r="Z257" s="43"/>
      <c r="AA257" s="43"/>
    </row>
    <row r="258" spans="13:27" ht="12.75">
      <c r="M258" s="43">
        <f t="shared" si="26"/>
        <v>237</v>
      </c>
      <c r="N258" s="43">
        <f t="shared" si="27"/>
        <v>1</v>
      </c>
      <c r="O258" s="43">
        <f t="shared" si="28"/>
        <v>0</v>
      </c>
      <c r="P258" s="113" t="e">
        <f t="shared" si="29"/>
        <v>#DIV/0!</v>
      </c>
      <c r="Q258" s="113" t="e">
        <f t="shared" si="30"/>
        <v>#DIV/0!</v>
      </c>
      <c r="R258" s="113" t="e">
        <f t="shared" si="31"/>
        <v>#DIV/0!</v>
      </c>
      <c r="S258" s="113" t="e">
        <f t="shared" si="32"/>
        <v>#DIV/0!</v>
      </c>
      <c r="T258" s="43">
        <f t="shared" si="25"/>
        <v>0</v>
      </c>
      <c r="U258" s="43"/>
      <c r="V258" s="525" t="e">
        <f>P258*('upper bound Kenaga'!$F$36/100)</f>
        <v>#DIV/0!</v>
      </c>
      <c r="W258" s="43"/>
      <c r="X258" s="525" t="e">
        <f>P258*('upper bound Kenaga'!$F$96/100)</f>
        <v>#DIV/0!</v>
      </c>
      <c r="Y258" s="43"/>
      <c r="Z258" s="43"/>
      <c r="AA258" s="43"/>
    </row>
    <row r="259" spans="13:27" ht="12.75">
      <c r="M259" s="43">
        <f t="shared" si="26"/>
        <v>238</v>
      </c>
      <c r="N259" s="43">
        <f t="shared" si="27"/>
        <v>1</v>
      </c>
      <c r="O259" s="43">
        <f t="shared" si="28"/>
        <v>0</v>
      </c>
      <c r="P259" s="113" t="e">
        <f t="shared" si="29"/>
        <v>#DIV/0!</v>
      </c>
      <c r="Q259" s="113" t="e">
        <f t="shared" si="30"/>
        <v>#DIV/0!</v>
      </c>
      <c r="R259" s="113" t="e">
        <f t="shared" si="31"/>
        <v>#DIV/0!</v>
      </c>
      <c r="S259" s="113" t="e">
        <f t="shared" si="32"/>
        <v>#DIV/0!</v>
      </c>
      <c r="T259" s="43">
        <f t="shared" si="25"/>
        <v>0</v>
      </c>
      <c r="U259" s="43"/>
      <c r="V259" s="525" t="e">
        <f>P259*('upper bound Kenaga'!$F$36/100)</f>
        <v>#DIV/0!</v>
      </c>
      <c r="W259" s="43"/>
      <c r="X259" s="525" t="e">
        <f>P259*('upper bound Kenaga'!$F$96/100)</f>
        <v>#DIV/0!</v>
      </c>
      <c r="Y259" s="43"/>
      <c r="Z259" s="43"/>
      <c r="AA259" s="43"/>
    </row>
    <row r="260" spans="13:27" ht="12.75">
      <c r="M260" s="43">
        <f t="shared" si="26"/>
        <v>239</v>
      </c>
      <c r="N260" s="43">
        <f t="shared" si="27"/>
        <v>1</v>
      </c>
      <c r="O260" s="43">
        <f t="shared" si="28"/>
        <v>0</v>
      </c>
      <c r="P260" s="113" t="e">
        <f t="shared" si="29"/>
        <v>#DIV/0!</v>
      </c>
      <c r="Q260" s="113" t="e">
        <f t="shared" si="30"/>
        <v>#DIV/0!</v>
      </c>
      <c r="R260" s="113" t="e">
        <f t="shared" si="31"/>
        <v>#DIV/0!</v>
      </c>
      <c r="S260" s="113" t="e">
        <f t="shared" si="32"/>
        <v>#DIV/0!</v>
      </c>
      <c r="T260" s="43">
        <f t="shared" si="25"/>
        <v>0</v>
      </c>
      <c r="U260" s="43"/>
      <c r="V260" s="525" t="e">
        <f>P260*('upper bound Kenaga'!$F$36/100)</f>
        <v>#DIV/0!</v>
      </c>
      <c r="W260" s="43"/>
      <c r="X260" s="525" t="e">
        <f>P260*('upper bound Kenaga'!$F$96/100)</f>
        <v>#DIV/0!</v>
      </c>
      <c r="Y260" s="43"/>
      <c r="Z260" s="43"/>
      <c r="AA260" s="43"/>
    </row>
    <row r="261" spans="13:27" ht="12.75">
      <c r="M261" s="43">
        <f t="shared" si="26"/>
        <v>240</v>
      </c>
      <c r="N261" s="43">
        <f t="shared" si="27"/>
        <v>1</v>
      </c>
      <c r="O261" s="43">
        <f t="shared" si="28"/>
        <v>0</v>
      </c>
      <c r="P261" s="113" t="e">
        <f t="shared" si="29"/>
        <v>#DIV/0!</v>
      </c>
      <c r="Q261" s="113" t="e">
        <f t="shared" si="30"/>
        <v>#DIV/0!</v>
      </c>
      <c r="R261" s="113" t="e">
        <f t="shared" si="31"/>
        <v>#DIV/0!</v>
      </c>
      <c r="S261" s="113" t="e">
        <f t="shared" si="32"/>
        <v>#DIV/0!</v>
      </c>
      <c r="T261" s="43">
        <f t="shared" si="25"/>
        <v>0</v>
      </c>
      <c r="U261" s="43"/>
      <c r="V261" s="525" t="e">
        <f>P261*('upper bound Kenaga'!$F$36/100)</f>
        <v>#DIV/0!</v>
      </c>
      <c r="W261" s="43"/>
      <c r="X261" s="525" t="e">
        <f>P261*('upper bound Kenaga'!$F$96/100)</f>
        <v>#DIV/0!</v>
      </c>
      <c r="Y261" s="43"/>
      <c r="Z261" s="43"/>
      <c r="AA261" s="43"/>
    </row>
    <row r="262" spans="13:27" ht="12.75">
      <c r="M262" s="43">
        <f t="shared" si="26"/>
        <v>241</v>
      </c>
      <c r="N262" s="43">
        <f t="shared" si="27"/>
        <v>1</v>
      </c>
      <c r="O262" s="43">
        <f t="shared" si="28"/>
        <v>0</v>
      </c>
      <c r="P262" s="113" t="e">
        <f t="shared" si="29"/>
        <v>#DIV/0!</v>
      </c>
      <c r="Q262" s="113" t="e">
        <f t="shared" si="30"/>
        <v>#DIV/0!</v>
      </c>
      <c r="R262" s="113" t="e">
        <f t="shared" si="31"/>
        <v>#DIV/0!</v>
      </c>
      <c r="S262" s="113" t="e">
        <f t="shared" si="32"/>
        <v>#DIV/0!</v>
      </c>
      <c r="T262" s="43">
        <f t="shared" si="25"/>
        <v>0</v>
      </c>
      <c r="U262" s="43"/>
      <c r="V262" s="525" t="e">
        <f>P262*('upper bound Kenaga'!$F$36/100)</f>
        <v>#DIV/0!</v>
      </c>
      <c r="W262" s="43"/>
      <c r="X262" s="525" t="e">
        <f>P262*('upper bound Kenaga'!$F$96/100)</f>
        <v>#DIV/0!</v>
      </c>
      <c r="Y262" s="43"/>
      <c r="Z262" s="43"/>
      <c r="AA262" s="43"/>
    </row>
    <row r="263" spans="13:27" ht="12.75">
      <c r="M263" s="43">
        <f t="shared" si="26"/>
        <v>242</v>
      </c>
      <c r="N263" s="43">
        <f t="shared" si="27"/>
        <v>1</v>
      </c>
      <c r="O263" s="43">
        <f t="shared" si="28"/>
        <v>0</v>
      </c>
      <c r="P263" s="113" t="e">
        <f t="shared" si="29"/>
        <v>#DIV/0!</v>
      </c>
      <c r="Q263" s="113" t="e">
        <f t="shared" si="30"/>
        <v>#DIV/0!</v>
      </c>
      <c r="R263" s="113" t="e">
        <f t="shared" si="31"/>
        <v>#DIV/0!</v>
      </c>
      <c r="S263" s="113" t="e">
        <f t="shared" si="32"/>
        <v>#DIV/0!</v>
      </c>
      <c r="T263" s="43">
        <f t="shared" si="25"/>
        <v>0</v>
      </c>
      <c r="U263" s="43"/>
      <c r="V263" s="525" t="e">
        <f>P263*('upper bound Kenaga'!$F$36/100)</f>
        <v>#DIV/0!</v>
      </c>
      <c r="W263" s="43"/>
      <c r="X263" s="525" t="e">
        <f>P263*('upper bound Kenaga'!$F$96/100)</f>
        <v>#DIV/0!</v>
      </c>
      <c r="Y263" s="43"/>
      <c r="Z263" s="43"/>
      <c r="AA263" s="43"/>
    </row>
    <row r="264" spans="13:27" ht="12.75">
      <c r="M264" s="43">
        <f t="shared" si="26"/>
        <v>243</v>
      </c>
      <c r="N264" s="43">
        <f t="shared" si="27"/>
        <v>1</v>
      </c>
      <c r="O264" s="43">
        <f t="shared" si="28"/>
        <v>0</v>
      </c>
      <c r="P264" s="113" t="e">
        <f t="shared" si="29"/>
        <v>#DIV/0!</v>
      </c>
      <c r="Q264" s="113" t="e">
        <f t="shared" si="30"/>
        <v>#DIV/0!</v>
      </c>
      <c r="R264" s="113" t="e">
        <f t="shared" si="31"/>
        <v>#DIV/0!</v>
      </c>
      <c r="S264" s="113" t="e">
        <f t="shared" si="32"/>
        <v>#DIV/0!</v>
      </c>
      <c r="T264" s="43">
        <f t="shared" si="25"/>
        <v>0</v>
      </c>
      <c r="U264" s="43"/>
      <c r="V264" s="525" t="e">
        <f>P264*('upper bound Kenaga'!$F$36/100)</f>
        <v>#DIV/0!</v>
      </c>
      <c r="W264" s="43"/>
      <c r="X264" s="525" t="e">
        <f>P264*('upper bound Kenaga'!$F$96/100)</f>
        <v>#DIV/0!</v>
      </c>
      <c r="Y264" s="43"/>
      <c r="Z264" s="43"/>
      <c r="AA264" s="43"/>
    </row>
    <row r="265" spans="13:27" ht="12.75">
      <c r="M265" s="43">
        <f t="shared" si="26"/>
        <v>244</v>
      </c>
      <c r="N265" s="43">
        <f t="shared" si="27"/>
        <v>1</v>
      </c>
      <c r="O265" s="43">
        <f t="shared" si="28"/>
        <v>0</v>
      </c>
      <c r="P265" s="113" t="e">
        <f t="shared" si="29"/>
        <v>#DIV/0!</v>
      </c>
      <c r="Q265" s="113" t="e">
        <f t="shared" si="30"/>
        <v>#DIV/0!</v>
      </c>
      <c r="R265" s="113" t="e">
        <f t="shared" si="31"/>
        <v>#DIV/0!</v>
      </c>
      <c r="S265" s="113" t="e">
        <f t="shared" si="32"/>
        <v>#DIV/0!</v>
      </c>
      <c r="T265" s="43">
        <f t="shared" si="25"/>
        <v>0</v>
      </c>
      <c r="U265" s="43"/>
      <c r="V265" s="525" t="e">
        <f>P265*('upper bound Kenaga'!$F$36/100)</f>
        <v>#DIV/0!</v>
      </c>
      <c r="W265" s="43"/>
      <c r="X265" s="525" t="e">
        <f>P265*('upper bound Kenaga'!$F$96/100)</f>
        <v>#DIV/0!</v>
      </c>
      <c r="Y265" s="43"/>
      <c r="Z265" s="43"/>
      <c r="AA265" s="43"/>
    </row>
    <row r="266" spans="13:27" ht="12.75">
      <c r="M266" s="43">
        <f t="shared" si="26"/>
        <v>245</v>
      </c>
      <c r="N266" s="43">
        <f t="shared" si="27"/>
        <v>1</v>
      </c>
      <c r="O266" s="43">
        <f t="shared" si="28"/>
        <v>0</v>
      </c>
      <c r="P266" s="113" t="e">
        <f t="shared" si="29"/>
        <v>#DIV/0!</v>
      </c>
      <c r="Q266" s="113" t="e">
        <f t="shared" si="30"/>
        <v>#DIV/0!</v>
      </c>
      <c r="R266" s="113" t="e">
        <f t="shared" si="31"/>
        <v>#DIV/0!</v>
      </c>
      <c r="S266" s="113" t="e">
        <f t="shared" si="32"/>
        <v>#DIV/0!</v>
      </c>
      <c r="T266" s="43">
        <f t="shared" si="25"/>
        <v>0</v>
      </c>
      <c r="U266" s="43"/>
      <c r="V266" s="525" t="e">
        <f>P266*('upper bound Kenaga'!$F$36/100)</f>
        <v>#DIV/0!</v>
      </c>
      <c r="W266" s="43"/>
      <c r="X266" s="525" t="e">
        <f>P266*('upper bound Kenaga'!$F$96/100)</f>
        <v>#DIV/0!</v>
      </c>
      <c r="Y266" s="43"/>
      <c r="Z266" s="43"/>
      <c r="AA266" s="43"/>
    </row>
    <row r="267" spans="13:27" ht="12.75">
      <c r="M267" s="43">
        <f t="shared" si="26"/>
        <v>246</v>
      </c>
      <c r="N267" s="43">
        <f t="shared" si="27"/>
        <v>1</v>
      </c>
      <c r="O267" s="43">
        <f t="shared" si="28"/>
        <v>0</v>
      </c>
      <c r="P267" s="113" t="e">
        <f t="shared" si="29"/>
        <v>#DIV/0!</v>
      </c>
      <c r="Q267" s="113" t="e">
        <f t="shared" si="30"/>
        <v>#DIV/0!</v>
      </c>
      <c r="R267" s="113" t="e">
        <f t="shared" si="31"/>
        <v>#DIV/0!</v>
      </c>
      <c r="S267" s="113" t="e">
        <f t="shared" si="32"/>
        <v>#DIV/0!</v>
      </c>
      <c r="T267" s="43">
        <f t="shared" si="25"/>
        <v>0</v>
      </c>
      <c r="U267" s="43"/>
      <c r="V267" s="525" t="e">
        <f>P267*('upper bound Kenaga'!$F$36/100)</f>
        <v>#DIV/0!</v>
      </c>
      <c r="W267" s="43"/>
      <c r="X267" s="525" t="e">
        <f>P267*('upper bound Kenaga'!$F$96/100)</f>
        <v>#DIV/0!</v>
      </c>
      <c r="Y267" s="43"/>
      <c r="Z267" s="43"/>
      <c r="AA267" s="43"/>
    </row>
    <row r="268" spans="13:27" ht="12.75">
      <c r="M268" s="43">
        <f t="shared" si="26"/>
        <v>247</v>
      </c>
      <c r="N268" s="43">
        <f t="shared" si="27"/>
        <v>1</v>
      </c>
      <c r="O268" s="43">
        <f t="shared" si="28"/>
        <v>0</v>
      </c>
      <c r="P268" s="113" t="e">
        <f t="shared" si="29"/>
        <v>#DIV/0!</v>
      </c>
      <c r="Q268" s="113" t="e">
        <f t="shared" si="30"/>
        <v>#DIV/0!</v>
      </c>
      <c r="R268" s="113" t="e">
        <f t="shared" si="31"/>
        <v>#DIV/0!</v>
      </c>
      <c r="S268" s="113" t="e">
        <f t="shared" si="32"/>
        <v>#DIV/0!</v>
      </c>
      <c r="T268" s="43">
        <f t="shared" si="25"/>
        <v>0</v>
      </c>
      <c r="U268" s="43"/>
      <c r="V268" s="525" t="e">
        <f>P268*('upper bound Kenaga'!$F$36/100)</f>
        <v>#DIV/0!</v>
      </c>
      <c r="W268" s="43"/>
      <c r="X268" s="525" t="e">
        <f>P268*('upper bound Kenaga'!$F$96/100)</f>
        <v>#DIV/0!</v>
      </c>
      <c r="Y268" s="43"/>
      <c r="Z268" s="43"/>
      <c r="AA268" s="43"/>
    </row>
    <row r="269" spans="13:27" ht="12.75">
      <c r="M269" s="43">
        <f t="shared" si="26"/>
        <v>248</v>
      </c>
      <c r="N269" s="43">
        <f t="shared" si="27"/>
        <v>1</v>
      </c>
      <c r="O269" s="43">
        <f t="shared" si="28"/>
        <v>0</v>
      </c>
      <c r="P269" s="113" t="e">
        <f t="shared" si="29"/>
        <v>#DIV/0!</v>
      </c>
      <c r="Q269" s="113" t="e">
        <f t="shared" si="30"/>
        <v>#DIV/0!</v>
      </c>
      <c r="R269" s="113" t="e">
        <f t="shared" si="31"/>
        <v>#DIV/0!</v>
      </c>
      <c r="S269" s="113" t="e">
        <f t="shared" si="32"/>
        <v>#DIV/0!</v>
      </c>
      <c r="T269" s="43">
        <f t="shared" si="25"/>
        <v>0</v>
      </c>
      <c r="U269" s="43"/>
      <c r="V269" s="525" t="e">
        <f>P269*('upper bound Kenaga'!$F$36/100)</f>
        <v>#DIV/0!</v>
      </c>
      <c r="W269" s="43"/>
      <c r="X269" s="525" t="e">
        <f>P269*('upper bound Kenaga'!$F$96/100)</f>
        <v>#DIV/0!</v>
      </c>
      <c r="Y269" s="43"/>
      <c r="Z269" s="43"/>
      <c r="AA269" s="43"/>
    </row>
    <row r="270" spans="13:27" ht="12.75">
      <c r="M270" s="43">
        <f t="shared" si="26"/>
        <v>249</v>
      </c>
      <c r="N270" s="43">
        <f t="shared" si="27"/>
        <v>1</v>
      </c>
      <c r="O270" s="43">
        <f t="shared" si="28"/>
        <v>0</v>
      </c>
      <c r="P270" s="113" t="e">
        <f t="shared" si="29"/>
        <v>#DIV/0!</v>
      </c>
      <c r="Q270" s="113" t="e">
        <f t="shared" si="30"/>
        <v>#DIV/0!</v>
      </c>
      <c r="R270" s="113" t="e">
        <f t="shared" si="31"/>
        <v>#DIV/0!</v>
      </c>
      <c r="S270" s="113" t="e">
        <f t="shared" si="32"/>
        <v>#DIV/0!</v>
      </c>
      <c r="T270" s="43">
        <f t="shared" si="25"/>
        <v>0</v>
      </c>
      <c r="U270" s="43"/>
      <c r="V270" s="525" t="e">
        <f>P270*('upper bound Kenaga'!$F$36/100)</f>
        <v>#DIV/0!</v>
      </c>
      <c r="W270" s="43"/>
      <c r="X270" s="525" t="e">
        <f>P270*('upper bound Kenaga'!$F$96/100)</f>
        <v>#DIV/0!</v>
      </c>
      <c r="Y270" s="43"/>
      <c r="Z270" s="43"/>
      <c r="AA270" s="43"/>
    </row>
    <row r="271" spans="13:27" ht="12.75">
      <c r="M271" s="43">
        <f t="shared" si="26"/>
        <v>250</v>
      </c>
      <c r="N271" s="43">
        <f t="shared" si="27"/>
        <v>1</v>
      </c>
      <c r="O271" s="43">
        <f t="shared" si="28"/>
        <v>0</v>
      </c>
      <c r="P271" s="113" t="e">
        <f t="shared" si="29"/>
        <v>#DIV/0!</v>
      </c>
      <c r="Q271" s="113" t="e">
        <f t="shared" si="30"/>
        <v>#DIV/0!</v>
      </c>
      <c r="R271" s="113" t="e">
        <f t="shared" si="31"/>
        <v>#DIV/0!</v>
      </c>
      <c r="S271" s="113" t="e">
        <f t="shared" si="32"/>
        <v>#DIV/0!</v>
      </c>
      <c r="T271" s="43">
        <f t="shared" si="25"/>
        <v>0</v>
      </c>
      <c r="U271" s="43"/>
      <c r="V271" s="525" t="e">
        <f>P271*('upper bound Kenaga'!$F$36/100)</f>
        <v>#DIV/0!</v>
      </c>
      <c r="W271" s="43"/>
      <c r="X271" s="525" t="e">
        <f>P271*('upper bound Kenaga'!$F$96/100)</f>
        <v>#DIV/0!</v>
      </c>
      <c r="Y271" s="43"/>
      <c r="Z271" s="43"/>
      <c r="AA271" s="43"/>
    </row>
    <row r="272" spans="13:27" ht="12.75">
      <c r="M272" s="43">
        <f t="shared" si="26"/>
        <v>251</v>
      </c>
      <c r="N272" s="43">
        <f t="shared" si="27"/>
        <v>1</v>
      </c>
      <c r="O272" s="43">
        <f t="shared" si="28"/>
        <v>0</v>
      </c>
      <c r="P272" s="113" t="e">
        <f t="shared" si="29"/>
        <v>#DIV/0!</v>
      </c>
      <c r="Q272" s="113" t="e">
        <f t="shared" si="30"/>
        <v>#DIV/0!</v>
      </c>
      <c r="R272" s="113" t="e">
        <f t="shared" si="31"/>
        <v>#DIV/0!</v>
      </c>
      <c r="S272" s="113" t="e">
        <f t="shared" si="32"/>
        <v>#DIV/0!</v>
      </c>
      <c r="T272" s="43">
        <f t="shared" si="25"/>
        <v>0</v>
      </c>
      <c r="U272" s="43"/>
      <c r="V272" s="525" t="e">
        <f>P272*('upper bound Kenaga'!$F$36/100)</f>
        <v>#DIV/0!</v>
      </c>
      <c r="W272" s="43"/>
      <c r="X272" s="525" t="e">
        <f>P272*('upper bound Kenaga'!$F$96/100)</f>
        <v>#DIV/0!</v>
      </c>
      <c r="Y272" s="43"/>
      <c r="Z272" s="43"/>
      <c r="AA272" s="43"/>
    </row>
    <row r="273" spans="13:27" ht="12.75">
      <c r="M273" s="43">
        <f t="shared" si="26"/>
        <v>252</v>
      </c>
      <c r="N273" s="43">
        <f t="shared" si="27"/>
        <v>1</v>
      </c>
      <c r="O273" s="43">
        <f t="shared" si="28"/>
        <v>0</v>
      </c>
      <c r="P273" s="113" t="e">
        <f t="shared" si="29"/>
        <v>#DIV/0!</v>
      </c>
      <c r="Q273" s="113" t="e">
        <f t="shared" si="30"/>
        <v>#DIV/0!</v>
      </c>
      <c r="R273" s="113" t="e">
        <f t="shared" si="31"/>
        <v>#DIV/0!</v>
      </c>
      <c r="S273" s="113" t="e">
        <f t="shared" si="32"/>
        <v>#DIV/0!</v>
      </c>
      <c r="T273" s="43">
        <f t="shared" si="25"/>
        <v>0</v>
      </c>
      <c r="U273" s="43"/>
      <c r="V273" s="525" t="e">
        <f>P273*('upper bound Kenaga'!$F$36/100)</f>
        <v>#DIV/0!</v>
      </c>
      <c r="W273" s="43"/>
      <c r="X273" s="525" t="e">
        <f>P273*('upper bound Kenaga'!$F$96/100)</f>
        <v>#DIV/0!</v>
      </c>
      <c r="Y273" s="43"/>
      <c r="Z273" s="43"/>
      <c r="AA273" s="43"/>
    </row>
    <row r="274" spans="13:27" ht="12.75">
      <c r="M274" s="43">
        <f t="shared" si="26"/>
        <v>253</v>
      </c>
      <c r="N274" s="43">
        <f t="shared" si="27"/>
        <v>1</v>
      </c>
      <c r="O274" s="43">
        <f t="shared" si="28"/>
        <v>0</v>
      </c>
      <c r="P274" s="113" t="e">
        <f t="shared" si="29"/>
        <v>#DIV/0!</v>
      </c>
      <c r="Q274" s="113" t="e">
        <f t="shared" si="30"/>
        <v>#DIV/0!</v>
      </c>
      <c r="R274" s="113" t="e">
        <f t="shared" si="31"/>
        <v>#DIV/0!</v>
      </c>
      <c r="S274" s="113" t="e">
        <f t="shared" si="32"/>
        <v>#DIV/0!</v>
      </c>
      <c r="T274" s="43">
        <f t="shared" si="25"/>
        <v>0</v>
      </c>
      <c r="U274" s="43"/>
      <c r="V274" s="525" t="e">
        <f>P274*('upper bound Kenaga'!$F$36/100)</f>
        <v>#DIV/0!</v>
      </c>
      <c r="W274" s="43"/>
      <c r="X274" s="525" t="e">
        <f>P274*('upper bound Kenaga'!$F$96/100)</f>
        <v>#DIV/0!</v>
      </c>
      <c r="Y274" s="43"/>
      <c r="Z274" s="43"/>
      <c r="AA274" s="43"/>
    </row>
    <row r="275" spans="13:27" ht="12.75">
      <c r="M275" s="43">
        <f t="shared" si="26"/>
        <v>254</v>
      </c>
      <c r="N275" s="43">
        <f t="shared" si="27"/>
        <v>1</v>
      </c>
      <c r="O275" s="43">
        <f t="shared" si="28"/>
        <v>0</v>
      </c>
      <c r="P275" s="113" t="e">
        <f t="shared" si="29"/>
        <v>#DIV/0!</v>
      </c>
      <c r="Q275" s="113" t="e">
        <f t="shared" si="30"/>
        <v>#DIV/0!</v>
      </c>
      <c r="R275" s="113" t="e">
        <f t="shared" si="31"/>
        <v>#DIV/0!</v>
      </c>
      <c r="S275" s="113" t="e">
        <f t="shared" si="32"/>
        <v>#DIV/0!</v>
      </c>
      <c r="T275" s="43">
        <f t="shared" si="25"/>
        <v>0</v>
      </c>
      <c r="U275" s="43"/>
      <c r="V275" s="525" t="e">
        <f>P275*('upper bound Kenaga'!$F$36/100)</f>
        <v>#DIV/0!</v>
      </c>
      <c r="W275" s="43"/>
      <c r="X275" s="525" t="e">
        <f>P275*('upper bound Kenaga'!$F$96/100)</f>
        <v>#DIV/0!</v>
      </c>
      <c r="Y275" s="43"/>
      <c r="Z275" s="43"/>
      <c r="AA275" s="43"/>
    </row>
    <row r="276" spans="13:27" ht="12.75">
      <c r="M276" s="43">
        <f t="shared" si="26"/>
        <v>255</v>
      </c>
      <c r="N276" s="43">
        <f t="shared" si="27"/>
        <v>1</v>
      </c>
      <c r="O276" s="43">
        <f t="shared" si="28"/>
        <v>0</v>
      </c>
      <c r="P276" s="113" t="e">
        <f t="shared" si="29"/>
        <v>#DIV/0!</v>
      </c>
      <c r="Q276" s="113" t="e">
        <f t="shared" si="30"/>
        <v>#DIV/0!</v>
      </c>
      <c r="R276" s="113" t="e">
        <f t="shared" si="31"/>
        <v>#DIV/0!</v>
      </c>
      <c r="S276" s="113" t="e">
        <f t="shared" si="32"/>
        <v>#DIV/0!</v>
      </c>
      <c r="T276" s="43">
        <f t="shared" si="25"/>
        <v>0</v>
      </c>
      <c r="U276" s="43"/>
      <c r="V276" s="525" t="e">
        <f>P276*('upper bound Kenaga'!$F$36/100)</f>
        <v>#DIV/0!</v>
      </c>
      <c r="W276" s="43"/>
      <c r="X276" s="525" t="e">
        <f>P276*('upper bound Kenaga'!$F$96/100)</f>
        <v>#DIV/0!</v>
      </c>
      <c r="Y276" s="43"/>
      <c r="Z276" s="43"/>
      <c r="AA276" s="43"/>
    </row>
    <row r="277" spans="13:27" ht="12.75">
      <c r="M277" s="43">
        <f t="shared" si="26"/>
        <v>256</v>
      </c>
      <c r="N277" s="43">
        <f t="shared" si="27"/>
        <v>1</v>
      </c>
      <c r="O277" s="43">
        <f t="shared" si="28"/>
        <v>0</v>
      </c>
      <c r="P277" s="113" t="e">
        <f t="shared" si="29"/>
        <v>#DIV/0!</v>
      </c>
      <c r="Q277" s="113" t="e">
        <f t="shared" si="30"/>
        <v>#DIV/0!</v>
      </c>
      <c r="R277" s="113" t="e">
        <f t="shared" si="31"/>
        <v>#DIV/0!</v>
      </c>
      <c r="S277" s="113" t="e">
        <f t="shared" si="32"/>
        <v>#DIV/0!</v>
      </c>
      <c r="T277" s="43">
        <f aca="true" t="shared" si="33" ref="T277:T340">$B$11</f>
        <v>0</v>
      </c>
      <c r="U277" s="43"/>
      <c r="V277" s="525" t="e">
        <f>P277*('upper bound Kenaga'!$F$36/100)</f>
        <v>#DIV/0!</v>
      </c>
      <c r="W277" s="43"/>
      <c r="X277" s="525" t="e">
        <f>P277*('upper bound Kenaga'!$F$96/100)</f>
        <v>#DIV/0!</v>
      </c>
      <c r="Y277" s="43"/>
      <c r="Z277" s="43"/>
      <c r="AA277" s="43"/>
    </row>
    <row r="278" spans="13:27" ht="12.75">
      <c r="M278" s="43">
        <f aca="true" t="shared" si="34" ref="M278:M341">(M277+1)</f>
        <v>257</v>
      </c>
      <c r="N278" s="43">
        <f aca="true" t="shared" si="35" ref="N278:N341">IF($B$9&gt;N277,IF(O277=($B$8-1),(N277+1),(N277)),(N277))</f>
        <v>1</v>
      </c>
      <c r="O278" s="43">
        <f aca="true" t="shared" si="36" ref="O278:O341">IF(O277&lt;($B$8-1),(1+O277),0)</f>
        <v>0</v>
      </c>
      <c r="P278" s="113" t="e">
        <f aca="true" t="shared" si="37" ref="P278:P341">IF((N278&gt;N277),(EXP(-$Q$16)*(P277)+$Q$11),((EXP(-$Q$16)*(P277))))</f>
        <v>#DIV/0!</v>
      </c>
      <c r="Q278" s="113" t="e">
        <f aca="true" t="shared" si="38" ref="Q278:Q341">IF((N278&gt;N277),(EXP(-$Q$16)*(Q277)+$Q$12),((EXP(-$Q$16)*(Q277))))</f>
        <v>#DIV/0!</v>
      </c>
      <c r="R278" s="113" t="e">
        <f aca="true" t="shared" si="39" ref="R278:R341">IF((N278&gt;N277),(EXP(-$Q$16)*(R277)+$Q$13),((EXP(-$Q$16)*(R277))))</f>
        <v>#DIV/0!</v>
      </c>
      <c r="S278" s="113" t="e">
        <f aca="true" t="shared" si="40" ref="S278:S341">IF((N278&gt;N277),(EXP(-$Q$16)*(S277)+$Q$14),((EXP(-$Q$16)*(S277))))</f>
        <v>#DIV/0!</v>
      </c>
      <c r="T278" s="43">
        <f t="shared" si="33"/>
        <v>0</v>
      </c>
      <c r="U278" s="43"/>
      <c r="V278" s="525" t="e">
        <f>P278*('upper bound Kenaga'!$F$36/100)</f>
        <v>#DIV/0!</v>
      </c>
      <c r="W278" s="43"/>
      <c r="X278" s="525" t="e">
        <f>P278*('upper bound Kenaga'!$F$96/100)</f>
        <v>#DIV/0!</v>
      </c>
      <c r="Y278" s="43"/>
      <c r="Z278" s="43"/>
      <c r="AA278" s="43"/>
    </row>
    <row r="279" spans="13:27" ht="12.75">
      <c r="M279" s="43">
        <f t="shared" si="34"/>
        <v>258</v>
      </c>
      <c r="N279" s="43">
        <f t="shared" si="35"/>
        <v>1</v>
      </c>
      <c r="O279" s="43">
        <f t="shared" si="36"/>
        <v>0</v>
      </c>
      <c r="P279" s="113" t="e">
        <f t="shared" si="37"/>
        <v>#DIV/0!</v>
      </c>
      <c r="Q279" s="113" t="e">
        <f t="shared" si="38"/>
        <v>#DIV/0!</v>
      </c>
      <c r="R279" s="113" t="e">
        <f t="shared" si="39"/>
        <v>#DIV/0!</v>
      </c>
      <c r="S279" s="113" t="e">
        <f t="shared" si="40"/>
        <v>#DIV/0!</v>
      </c>
      <c r="T279" s="43">
        <f t="shared" si="33"/>
        <v>0</v>
      </c>
      <c r="U279" s="43"/>
      <c r="V279" s="525" t="e">
        <f>P279*('upper bound Kenaga'!$F$36/100)</f>
        <v>#DIV/0!</v>
      </c>
      <c r="W279" s="43"/>
      <c r="X279" s="525" t="e">
        <f>P279*('upper bound Kenaga'!$F$96/100)</f>
        <v>#DIV/0!</v>
      </c>
      <c r="Y279" s="43"/>
      <c r="Z279" s="43"/>
      <c r="AA279" s="43"/>
    </row>
    <row r="280" spans="13:27" ht="12.75">
      <c r="M280" s="43">
        <f t="shared" si="34"/>
        <v>259</v>
      </c>
      <c r="N280" s="43">
        <f t="shared" si="35"/>
        <v>1</v>
      </c>
      <c r="O280" s="43">
        <f t="shared" si="36"/>
        <v>0</v>
      </c>
      <c r="P280" s="113" t="e">
        <f t="shared" si="37"/>
        <v>#DIV/0!</v>
      </c>
      <c r="Q280" s="113" t="e">
        <f t="shared" si="38"/>
        <v>#DIV/0!</v>
      </c>
      <c r="R280" s="113" t="e">
        <f t="shared" si="39"/>
        <v>#DIV/0!</v>
      </c>
      <c r="S280" s="113" t="e">
        <f t="shared" si="40"/>
        <v>#DIV/0!</v>
      </c>
      <c r="T280" s="43">
        <f t="shared" si="33"/>
        <v>0</v>
      </c>
      <c r="U280" s="43"/>
      <c r="V280" s="525" t="e">
        <f>P280*('upper bound Kenaga'!$F$36/100)</f>
        <v>#DIV/0!</v>
      </c>
      <c r="W280" s="43"/>
      <c r="X280" s="525" t="e">
        <f>P280*('upper bound Kenaga'!$F$96/100)</f>
        <v>#DIV/0!</v>
      </c>
      <c r="Y280" s="43"/>
      <c r="Z280" s="43"/>
      <c r="AA280" s="43"/>
    </row>
    <row r="281" spans="13:27" ht="12.75">
      <c r="M281" s="43">
        <f t="shared" si="34"/>
        <v>260</v>
      </c>
      <c r="N281" s="43">
        <f t="shared" si="35"/>
        <v>1</v>
      </c>
      <c r="O281" s="43">
        <f t="shared" si="36"/>
        <v>0</v>
      </c>
      <c r="P281" s="113" t="e">
        <f t="shared" si="37"/>
        <v>#DIV/0!</v>
      </c>
      <c r="Q281" s="113" t="e">
        <f t="shared" si="38"/>
        <v>#DIV/0!</v>
      </c>
      <c r="R281" s="113" t="e">
        <f t="shared" si="39"/>
        <v>#DIV/0!</v>
      </c>
      <c r="S281" s="113" t="e">
        <f t="shared" si="40"/>
        <v>#DIV/0!</v>
      </c>
      <c r="T281" s="43">
        <f t="shared" si="33"/>
        <v>0</v>
      </c>
      <c r="U281" s="43"/>
      <c r="V281" s="525" t="e">
        <f>P281*('upper bound Kenaga'!$F$36/100)</f>
        <v>#DIV/0!</v>
      </c>
      <c r="W281" s="43"/>
      <c r="X281" s="525" t="e">
        <f>P281*('upper bound Kenaga'!$F$96/100)</f>
        <v>#DIV/0!</v>
      </c>
      <c r="Y281" s="43"/>
      <c r="Z281" s="43"/>
      <c r="AA281" s="43"/>
    </row>
    <row r="282" spans="13:27" ht="12.75">
      <c r="M282" s="43">
        <f t="shared" si="34"/>
        <v>261</v>
      </c>
      <c r="N282" s="43">
        <f t="shared" si="35"/>
        <v>1</v>
      </c>
      <c r="O282" s="43">
        <f t="shared" si="36"/>
        <v>0</v>
      </c>
      <c r="P282" s="113" t="e">
        <f t="shared" si="37"/>
        <v>#DIV/0!</v>
      </c>
      <c r="Q282" s="113" t="e">
        <f t="shared" si="38"/>
        <v>#DIV/0!</v>
      </c>
      <c r="R282" s="113" t="e">
        <f t="shared" si="39"/>
        <v>#DIV/0!</v>
      </c>
      <c r="S282" s="113" t="e">
        <f t="shared" si="40"/>
        <v>#DIV/0!</v>
      </c>
      <c r="T282" s="43">
        <f t="shared" si="33"/>
        <v>0</v>
      </c>
      <c r="U282" s="43"/>
      <c r="V282" s="525" t="e">
        <f>P282*('upper bound Kenaga'!$F$36/100)</f>
        <v>#DIV/0!</v>
      </c>
      <c r="W282" s="43"/>
      <c r="X282" s="525" t="e">
        <f>P282*('upper bound Kenaga'!$F$96/100)</f>
        <v>#DIV/0!</v>
      </c>
      <c r="Y282" s="43"/>
      <c r="Z282" s="43"/>
      <c r="AA282" s="43"/>
    </row>
    <row r="283" spans="13:27" ht="12.75">
      <c r="M283" s="43">
        <f t="shared" si="34"/>
        <v>262</v>
      </c>
      <c r="N283" s="43">
        <f t="shared" si="35"/>
        <v>1</v>
      </c>
      <c r="O283" s="43">
        <f t="shared" si="36"/>
        <v>0</v>
      </c>
      <c r="P283" s="113" t="e">
        <f t="shared" si="37"/>
        <v>#DIV/0!</v>
      </c>
      <c r="Q283" s="113" t="e">
        <f t="shared" si="38"/>
        <v>#DIV/0!</v>
      </c>
      <c r="R283" s="113" t="e">
        <f t="shared" si="39"/>
        <v>#DIV/0!</v>
      </c>
      <c r="S283" s="113" t="e">
        <f t="shared" si="40"/>
        <v>#DIV/0!</v>
      </c>
      <c r="T283" s="43">
        <f t="shared" si="33"/>
        <v>0</v>
      </c>
      <c r="U283" s="43"/>
      <c r="V283" s="525" t="e">
        <f>P283*('upper bound Kenaga'!$F$36/100)</f>
        <v>#DIV/0!</v>
      </c>
      <c r="W283" s="43"/>
      <c r="X283" s="525" t="e">
        <f>P283*('upper bound Kenaga'!$F$96/100)</f>
        <v>#DIV/0!</v>
      </c>
      <c r="Y283" s="43"/>
      <c r="Z283" s="43"/>
      <c r="AA283" s="43"/>
    </row>
    <row r="284" spans="13:27" ht="12.75">
      <c r="M284" s="43">
        <f t="shared" si="34"/>
        <v>263</v>
      </c>
      <c r="N284" s="43">
        <f t="shared" si="35"/>
        <v>1</v>
      </c>
      <c r="O284" s="43">
        <f t="shared" si="36"/>
        <v>0</v>
      </c>
      <c r="P284" s="113" t="e">
        <f t="shared" si="37"/>
        <v>#DIV/0!</v>
      </c>
      <c r="Q284" s="113" t="e">
        <f t="shared" si="38"/>
        <v>#DIV/0!</v>
      </c>
      <c r="R284" s="113" t="e">
        <f t="shared" si="39"/>
        <v>#DIV/0!</v>
      </c>
      <c r="S284" s="113" t="e">
        <f t="shared" si="40"/>
        <v>#DIV/0!</v>
      </c>
      <c r="T284" s="43">
        <f t="shared" si="33"/>
        <v>0</v>
      </c>
      <c r="U284" s="43"/>
      <c r="V284" s="525" t="e">
        <f>P284*('upper bound Kenaga'!$F$36/100)</f>
        <v>#DIV/0!</v>
      </c>
      <c r="W284" s="43"/>
      <c r="X284" s="525" t="e">
        <f>P284*('upper bound Kenaga'!$F$96/100)</f>
        <v>#DIV/0!</v>
      </c>
      <c r="Y284" s="43"/>
      <c r="Z284" s="43"/>
      <c r="AA284" s="43"/>
    </row>
    <row r="285" spans="13:27" ht="12.75">
      <c r="M285" s="43">
        <f t="shared" si="34"/>
        <v>264</v>
      </c>
      <c r="N285" s="43">
        <f t="shared" si="35"/>
        <v>1</v>
      </c>
      <c r="O285" s="43">
        <f t="shared" si="36"/>
        <v>0</v>
      </c>
      <c r="P285" s="113" t="e">
        <f t="shared" si="37"/>
        <v>#DIV/0!</v>
      </c>
      <c r="Q285" s="113" t="e">
        <f t="shared" si="38"/>
        <v>#DIV/0!</v>
      </c>
      <c r="R285" s="113" t="e">
        <f t="shared" si="39"/>
        <v>#DIV/0!</v>
      </c>
      <c r="S285" s="113" t="e">
        <f t="shared" si="40"/>
        <v>#DIV/0!</v>
      </c>
      <c r="T285" s="43">
        <f t="shared" si="33"/>
        <v>0</v>
      </c>
      <c r="U285" s="43"/>
      <c r="V285" s="525" t="e">
        <f>P285*('upper bound Kenaga'!$F$36/100)</f>
        <v>#DIV/0!</v>
      </c>
      <c r="W285" s="43"/>
      <c r="X285" s="525" t="e">
        <f>P285*('upper bound Kenaga'!$F$96/100)</f>
        <v>#DIV/0!</v>
      </c>
      <c r="Y285" s="43"/>
      <c r="Z285" s="43"/>
      <c r="AA285" s="43"/>
    </row>
    <row r="286" spans="13:27" ht="12.75">
      <c r="M286" s="43">
        <f t="shared" si="34"/>
        <v>265</v>
      </c>
      <c r="N286" s="43">
        <f t="shared" si="35"/>
        <v>1</v>
      </c>
      <c r="O286" s="43">
        <f t="shared" si="36"/>
        <v>0</v>
      </c>
      <c r="P286" s="113" t="e">
        <f t="shared" si="37"/>
        <v>#DIV/0!</v>
      </c>
      <c r="Q286" s="113" t="e">
        <f t="shared" si="38"/>
        <v>#DIV/0!</v>
      </c>
      <c r="R286" s="113" t="e">
        <f t="shared" si="39"/>
        <v>#DIV/0!</v>
      </c>
      <c r="S286" s="113" t="e">
        <f t="shared" si="40"/>
        <v>#DIV/0!</v>
      </c>
      <c r="T286" s="43">
        <f t="shared" si="33"/>
        <v>0</v>
      </c>
      <c r="U286" s="43"/>
      <c r="V286" s="525" t="e">
        <f>P286*('upper bound Kenaga'!$F$36/100)</f>
        <v>#DIV/0!</v>
      </c>
      <c r="W286" s="43"/>
      <c r="X286" s="525" t="e">
        <f>P286*('upper bound Kenaga'!$F$96/100)</f>
        <v>#DIV/0!</v>
      </c>
      <c r="Y286" s="43"/>
      <c r="Z286" s="43"/>
      <c r="AA286" s="43"/>
    </row>
    <row r="287" spans="13:27" ht="12.75">
      <c r="M287" s="43">
        <f t="shared" si="34"/>
        <v>266</v>
      </c>
      <c r="N287" s="43">
        <f t="shared" si="35"/>
        <v>1</v>
      </c>
      <c r="O287" s="43">
        <f t="shared" si="36"/>
        <v>0</v>
      </c>
      <c r="P287" s="113" t="e">
        <f t="shared" si="37"/>
        <v>#DIV/0!</v>
      </c>
      <c r="Q287" s="113" t="e">
        <f t="shared" si="38"/>
        <v>#DIV/0!</v>
      </c>
      <c r="R287" s="113" t="e">
        <f t="shared" si="39"/>
        <v>#DIV/0!</v>
      </c>
      <c r="S287" s="113" t="e">
        <f t="shared" si="40"/>
        <v>#DIV/0!</v>
      </c>
      <c r="T287" s="43">
        <f t="shared" si="33"/>
        <v>0</v>
      </c>
      <c r="U287" s="43"/>
      <c r="V287" s="525" t="e">
        <f>P287*('upper bound Kenaga'!$F$36/100)</f>
        <v>#DIV/0!</v>
      </c>
      <c r="W287" s="43"/>
      <c r="X287" s="525" t="e">
        <f>P287*('upper bound Kenaga'!$F$96/100)</f>
        <v>#DIV/0!</v>
      </c>
      <c r="Y287" s="43"/>
      <c r="Z287" s="43"/>
      <c r="AA287" s="43"/>
    </row>
    <row r="288" spans="13:27" ht="12.75">
      <c r="M288" s="43">
        <f t="shared" si="34"/>
        <v>267</v>
      </c>
      <c r="N288" s="43">
        <f t="shared" si="35"/>
        <v>1</v>
      </c>
      <c r="O288" s="43">
        <f t="shared" si="36"/>
        <v>0</v>
      </c>
      <c r="P288" s="113" t="e">
        <f t="shared" si="37"/>
        <v>#DIV/0!</v>
      </c>
      <c r="Q288" s="113" t="e">
        <f t="shared" si="38"/>
        <v>#DIV/0!</v>
      </c>
      <c r="R288" s="113" t="e">
        <f t="shared" si="39"/>
        <v>#DIV/0!</v>
      </c>
      <c r="S288" s="113" t="e">
        <f t="shared" si="40"/>
        <v>#DIV/0!</v>
      </c>
      <c r="T288" s="43">
        <f t="shared" si="33"/>
        <v>0</v>
      </c>
      <c r="U288" s="43"/>
      <c r="V288" s="525" t="e">
        <f>P288*('upper bound Kenaga'!$F$36/100)</f>
        <v>#DIV/0!</v>
      </c>
      <c r="W288" s="43"/>
      <c r="X288" s="525" t="e">
        <f>P288*('upper bound Kenaga'!$F$96/100)</f>
        <v>#DIV/0!</v>
      </c>
      <c r="Y288" s="43"/>
      <c r="Z288" s="43"/>
      <c r="AA288" s="43"/>
    </row>
    <row r="289" spans="13:27" ht="12.75">
      <c r="M289" s="43">
        <f t="shared" si="34"/>
        <v>268</v>
      </c>
      <c r="N289" s="43">
        <f t="shared" si="35"/>
        <v>1</v>
      </c>
      <c r="O289" s="43">
        <f t="shared" si="36"/>
        <v>0</v>
      </c>
      <c r="P289" s="113" t="e">
        <f t="shared" si="37"/>
        <v>#DIV/0!</v>
      </c>
      <c r="Q289" s="113" t="e">
        <f t="shared" si="38"/>
        <v>#DIV/0!</v>
      </c>
      <c r="R289" s="113" t="e">
        <f t="shared" si="39"/>
        <v>#DIV/0!</v>
      </c>
      <c r="S289" s="113" t="e">
        <f t="shared" si="40"/>
        <v>#DIV/0!</v>
      </c>
      <c r="T289" s="43">
        <f t="shared" si="33"/>
        <v>0</v>
      </c>
      <c r="U289" s="43"/>
      <c r="V289" s="525" t="e">
        <f>P289*('upper bound Kenaga'!$F$36/100)</f>
        <v>#DIV/0!</v>
      </c>
      <c r="W289" s="43"/>
      <c r="X289" s="525" t="e">
        <f>P289*('upper bound Kenaga'!$F$96/100)</f>
        <v>#DIV/0!</v>
      </c>
      <c r="Y289" s="43"/>
      <c r="Z289" s="43"/>
      <c r="AA289" s="43"/>
    </row>
    <row r="290" spans="13:27" ht="12.75">
      <c r="M290" s="43">
        <f t="shared" si="34"/>
        <v>269</v>
      </c>
      <c r="N290" s="43">
        <f t="shared" si="35"/>
        <v>1</v>
      </c>
      <c r="O290" s="43">
        <f t="shared" si="36"/>
        <v>0</v>
      </c>
      <c r="P290" s="113" t="e">
        <f t="shared" si="37"/>
        <v>#DIV/0!</v>
      </c>
      <c r="Q290" s="113" t="e">
        <f t="shared" si="38"/>
        <v>#DIV/0!</v>
      </c>
      <c r="R290" s="113" t="e">
        <f t="shared" si="39"/>
        <v>#DIV/0!</v>
      </c>
      <c r="S290" s="113" t="e">
        <f t="shared" si="40"/>
        <v>#DIV/0!</v>
      </c>
      <c r="T290" s="43">
        <f t="shared" si="33"/>
        <v>0</v>
      </c>
      <c r="U290" s="43"/>
      <c r="V290" s="525" t="e">
        <f>P290*('upper bound Kenaga'!$F$36/100)</f>
        <v>#DIV/0!</v>
      </c>
      <c r="W290" s="43"/>
      <c r="X290" s="525" t="e">
        <f>P290*('upper bound Kenaga'!$F$96/100)</f>
        <v>#DIV/0!</v>
      </c>
      <c r="Y290" s="43"/>
      <c r="Z290" s="43"/>
      <c r="AA290" s="43"/>
    </row>
    <row r="291" spans="13:27" ht="12.75">
      <c r="M291" s="43">
        <f t="shared" si="34"/>
        <v>270</v>
      </c>
      <c r="N291" s="43">
        <f t="shared" si="35"/>
        <v>1</v>
      </c>
      <c r="O291" s="43">
        <f t="shared" si="36"/>
        <v>0</v>
      </c>
      <c r="P291" s="113" t="e">
        <f t="shared" si="37"/>
        <v>#DIV/0!</v>
      </c>
      <c r="Q291" s="113" t="e">
        <f t="shared" si="38"/>
        <v>#DIV/0!</v>
      </c>
      <c r="R291" s="113" t="e">
        <f t="shared" si="39"/>
        <v>#DIV/0!</v>
      </c>
      <c r="S291" s="113" t="e">
        <f t="shared" si="40"/>
        <v>#DIV/0!</v>
      </c>
      <c r="T291" s="43">
        <f t="shared" si="33"/>
        <v>0</v>
      </c>
      <c r="U291" s="43"/>
      <c r="V291" s="525" t="e">
        <f>P291*('upper bound Kenaga'!$F$36/100)</f>
        <v>#DIV/0!</v>
      </c>
      <c r="W291" s="43"/>
      <c r="X291" s="525" t="e">
        <f>P291*('upper bound Kenaga'!$F$96/100)</f>
        <v>#DIV/0!</v>
      </c>
      <c r="Y291" s="43"/>
      <c r="Z291" s="43"/>
      <c r="AA291" s="43"/>
    </row>
    <row r="292" spans="13:27" ht="12.75">
      <c r="M292" s="43">
        <f t="shared" si="34"/>
        <v>271</v>
      </c>
      <c r="N292" s="43">
        <f t="shared" si="35"/>
        <v>1</v>
      </c>
      <c r="O292" s="43">
        <f t="shared" si="36"/>
        <v>0</v>
      </c>
      <c r="P292" s="113" t="e">
        <f t="shared" si="37"/>
        <v>#DIV/0!</v>
      </c>
      <c r="Q292" s="113" t="e">
        <f t="shared" si="38"/>
        <v>#DIV/0!</v>
      </c>
      <c r="R292" s="113" t="e">
        <f t="shared" si="39"/>
        <v>#DIV/0!</v>
      </c>
      <c r="S292" s="113" t="e">
        <f t="shared" si="40"/>
        <v>#DIV/0!</v>
      </c>
      <c r="T292" s="43">
        <f t="shared" si="33"/>
        <v>0</v>
      </c>
      <c r="U292" s="43"/>
      <c r="V292" s="525" t="e">
        <f>P292*('upper bound Kenaga'!$F$36/100)</f>
        <v>#DIV/0!</v>
      </c>
      <c r="W292" s="43"/>
      <c r="X292" s="525" t="e">
        <f>P292*('upper bound Kenaga'!$F$96/100)</f>
        <v>#DIV/0!</v>
      </c>
      <c r="Y292" s="43"/>
      <c r="Z292" s="43"/>
      <c r="AA292" s="43"/>
    </row>
    <row r="293" spans="13:27" ht="12.75">
      <c r="M293" s="43">
        <f t="shared" si="34"/>
        <v>272</v>
      </c>
      <c r="N293" s="43">
        <f t="shared" si="35"/>
        <v>1</v>
      </c>
      <c r="O293" s="43">
        <f t="shared" si="36"/>
        <v>0</v>
      </c>
      <c r="P293" s="113" t="e">
        <f t="shared" si="37"/>
        <v>#DIV/0!</v>
      </c>
      <c r="Q293" s="113" t="e">
        <f t="shared" si="38"/>
        <v>#DIV/0!</v>
      </c>
      <c r="R293" s="113" t="e">
        <f t="shared" si="39"/>
        <v>#DIV/0!</v>
      </c>
      <c r="S293" s="113" t="e">
        <f t="shared" si="40"/>
        <v>#DIV/0!</v>
      </c>
      <c r="T293" s="43">
        <f t="shared" si="33"/>
        <v>0</v>
      </c>
      <c r="U293" s="43"/>
      <c r="V293" s="525" t="e">
        <f>P293*('upper bound Kenaga'!$F$36/100)</f>
        <v>#DIV/0!</v>
      </c>
      <c r="W293" s="43"/>
      <c r="X293" s="525" t="e">
        <f>P293*('upper bound Kenaga'!$F$96/100)</f>
        <v>#DIV/0!</v>
      </c>
      <c r="Y293" s="43"/>
      <c r="Z293" s="43"/>
      <c r="AA293" s="43"/>
    </row>
    <row r="294" spans="13:27" ht="12.75">
      <c r="M294" s="43">
        <f t="shared" si="34"/>
        <v>273</v>
      </c>
      <c r="N294" s="43">
        <f t="shared" si="35"/>
        <v>1</v>
      </c>
      <c r="O294" s="43">
        <f t="shared" si="36"/>
        <v>0</v>
      </c>
      <c r="P294" s="113" t="e">
        <f t="shared" si="37"/>
        <v>#DIV/0!</v>
      </c>
      <c r="Q294" s="113" t="e">
        <f t="shared" si="38"/>
        <v>#DIV/0!</v>
      </c>
      <c r="R294" s="113" t="e">
        <f t="shared" si="39"/>
        <v>#DIV/0!</v>
      </c>
      <c r="S294" s="113" t="e">
        <f t="shared" si="40"/>
        <v>#DIV/0!</v>
      </c>
      <c r="T294" s="43">
        <f t="shared" si="33"/>
        <v>0</v>
      </c>
      <c r="U294" s="43"/>
      <c r="V294" s="525" t="e">
        <f>P294*('upper bound Kenaga'!$F$36/100)</f>
        <v>#DIV/0!</v>
      </c>
      <c r="W294" s="43"/>
      <c r="X294" s="525" t="e">
        <f>P294*('upper bound Kenaga'!$F$96/100)</f>
        <v>#DIV/0!</v>
      </c>
      <c r="Y294" s="43"/>
      <c r="Z294" s="43"/>
      <c r="AA294" s="43"/>
    </row>
    <row r="295" spans="13:27" ht="12.75">
      <c r="M295" s="43">
        <f t="shared" si="34"/>
        <v>274</v>
      </c>
      <c r="N295" s="43">
        <f t="shared" si="35"/>
        <v>1</v>
      </c>
      <c r="O295" s="43">
        <f t="shared" si="36"/>
        <v>0</v>
      </c>
      <c r="P295" s="113" t="e">
        <f t="shared" si="37"/>
        <v>#DIV/0!</v>
      </c>
      <c r="Q295" s="113" t="e">
        <f t="shared" si="38"/>
        <v>#DIV/0!</v>
      </c>
      <c r="R295" s="113" t="e">
        <f t="shared" si="39"/>
        <v>#DIV/0!</v>
      </c>
      <c r="S295" s="113" t="e">
        <f t="shared" si="40"/>
        <v>#DIV/0!</v>
      </c>
      <c r="T295" s="43">
        <f t="shared" si="33"/>
        <v>0</v>
      </c>
      <c r="U295" s="43"/>
      <c r="V295" s="525" t="e">
        <f>P295*('upper bound Kenaga'!$F$36/100)</f>
        <v>#DIV/0!</v>
      </c>
      <c r="W295" s="43"/>
      <c r="X295" s="525" t="e">
        <f>P295*('upper bound Kenaga'!$F$96/100)</f>
        <v>#DIV/0!</v>
      </c>
      <c r="Y295" s="43"/>
      <c r="Z295" s="43"/>
      <c r="AA295" s="43"/>
    </row>
    <row r="296" spans="13:27" ht="12.75">
      <c r="M296" s="43">
        <f t="shared" si="34"/>
        <v>275</v>
      </c>
      <c r="N296" s="43">
        <f t="shared" si="35"/>
        <v>1</v>
      </c>
      <c r="O296" s="43">
        <f t="shared" si="36"/>
        <v>0</v>
      </c>
      <c r="P296" s="113" t="e">
        <f t="shared" si="37"/>
        <v>#DIV/0!</v>
      </c>
      <c r="Q296" s="113" t="e">
        <f t="shared" si="38"/>
        <v>#DIV/0!</v>
      </c>
      <c r="R296" s="113" t="e">
        <f t="shared" si="39"/>
        <v>#DIV/0!</v>
      </c>
      <c r="S296" s="113" t="e">
        <f t="shared" si="40"/>
        <v>#DIV/0!</v>
      </c>
      <c r="T296" s="43">
        <f t="shared" si="33"/>
        <v>0</v>
      </c>
      <c r="U296" s="43"/>
      <c r="V296" s="525" t="e">
        <f>P296*('upper bound Kenaga'!$F$36/100)</f>
        <v>#DIV/0!</v>
      </c>
      <c r="W296" s="43"/>
      <c r="X296" s="525" t="e">
        <f>P296*('upper bound Kenaga'!$F$96/100)</f>
        <v>#DIV/0!</v>
      </c>
      <c r="Y296" s="43"/>
      <c r="Z296" s="43"/>
      <c r="AA296" s="43"/>
    </row>
    <row r="297" spans="13:27" ht="12.75">
      <c r="M297" s="43">
        <f t="shared" si="34"/>
        <v>276</v>
      </c>
      <c r="N297" s="43">
        <f t="shared" si="35"/>
        <v>1</v>
      </c>
      <c r="O297" s="43">
        <f t="shared" si="36"/>
        <v>0</v>
      </c>
      <c r="P297" s="113" t="e">
        <f t="shared" si="37"/>
        <v>#DIV/0!</v>
      </c>
      <c r="Q297" s="113" t="e">
        <f t="shared" si="38"/>
        <v>#DIV/0!</v>
      </c>
      <c r="R297" s="113" t="e">
        <f t="shared" si="39"/>
        <v>#DIV/0!</v>
      </c>
      <c r="S297" s="113" t="e">
        <f t="shared" si="40"/>
        <v>#DIV/0!</v>
      </c>
      <c r="T297" s="43">
        <f t="shared" si="33"/>
        <v>0</v>
      </c>
      <c r="U297" s="43"/>
      <c r="V297" s="525" t="e">
        <f>P297*('upper bound Kenaga'!$F$36/100)</f>
        <v>#DIV/0!</v>
      </c>
      <c r="W297" s="43"/>
      <c r="X297" s="525" t="e">
        <f>P297*('upper bound Kenaga'!$F$96/100)</f>
        <v>#DIV/0!</v>
      </c>
      <c r="Y297" s="43"/>
      <c r="Z297" s="43"/>
      <c r="AA297" s="43"/>
    </row>
    <row r="298" spans="13:27" ht="12.75">
      <c r="M298" s="43">
        <f t="shared" si="34"/>
        <v>277</v>
      </c>
      <c r="N298" s="43">
        <f t="shared" si="35"/>
        <v>1</v>
      </c>
      <c r="O298" s="43">
        <f t="shared" si="36"/>
        <v>0</v>
      </c>
      <c r="P298" s="113" t="e">
        <f t="shared" si="37"/>
        <v>#DIV/0!</v>
      </c>
      <c r="Q298" s="113" t="e">
        <f t="shared" si="38"/>
        <v>#DIV/0!</v>
      </c>
      <c r="R298" s="113" t="e">
        <f t="shared" si="39"/>
        <v>#DIV/0!</v>
      </c>
      <c r="S298" s="113" t="e">
        <f t="shared" si="40"/>
        <v>#DIV/0!</v>
      </c>
      <c r="T298" s="43">
        <f t="shared" si="33"/>
        <v>0</v>
      </c>
      <c r="U298" s="43"/>
      <c r="V298" s="525" t="e">
        <f>P298*('upper bound Kenaga'!$F$36/100)</f>
        <v>#DIV/0!</v>
      </c>
      <c r="W298" s="43"/>
      <c r="X298" s="525" t="e">
        <f>P298*('upper bound Kenaga'!$F$96/100)</f>
        <v>#DIV/0!</v>
      </c>
      <c r="Y298" s="43"/>
      <c r="Z298" s="43"/>
      <c r="AA298" s="43"/>
    </row>
    <row r="299" spans="13:27" ht="12.75">
      <c r="M299" s="43">
        <f t="shared" si="34"/>
        <v>278</v>
      </c>
      <c r="N299" s="43">
        <f t="shared" si="35"/>
        <v>1</v>
      </c>
      <c r="O299" s="43">
        <f t="shared" si="36"/>
        <v>0</v>
      </c>
      <c r="P299" s="113" t="e">
        <f t="shared" si="37"/>
        <v>#DIV/0!</v>
      </c>
      <c r="Q299" s="113" t="e">
        <f t="shared" si="38"/>
        <v>#DIV/0!</v>
      </c>
      <c r="R299" s="113" t="e">
        <f t="shared" si="39"/>
        <v>#DIV/0!</v>
      </c>
      <c r="S299" s="113" t="e">
        <f t="shared" si="40"/>
        <v>#DIV/0!</v>
      </c>
      <c r="T299" s="43">
        <f t="shared" si="33"/>
        <v>0</v>
      </c>
      <c r="U299" s="43"/>
      <c r="V299" s="525" t="e">
        <f>P299*('upper bound Kenaga'!$F$36/100)</f>
        <v>#DIV/0!</v>
      </c>
      <c r="W299" s="43"/>
      <c r="X299" s="525" t="e">
        <f>P299*('upper bound Kenaga'!$F$96/100)</f>
        <v>#DIV/0!</v>
      </c>
      <c r="Y299" s="43"/>
      <c r="Z299" s="43"/>
      <c r="AA299" s="43"/>
    </row>
    <row r="300" spans="13:27" ht="12.75">
      <c r="M300" s="43">
        <f t="shared" si="34"/>
        <v>279</v>
      </c>
      <c r="N300" s="43">
        <f t="shared" si="35"/>
        <v>1</v>
      </c>
      <c r="O300" s="43">
        <f t="shared" si="36"/>
        <v>0</v>
      </c>
      <c r="P300" s="113" t="e">
        <f t="shared" si="37"/>
        <v>#DIV/0!</v>
      </c>
      <c r="Q300" s="113" t="e">
        <f t="shared" si="38"/>
        <v>#DIV/0!</v>
      </c>
      <c r="R300" s="113" t="e">
        <f t="shared" si="39"/>
        <v>#DIV/0!</v>
      </c>
      <c r="S300" s="113" t="e">
        <f t="shared" si="40"/>
        <v>#DIV/0!</v>
      </c>
      <c r="T300" s="43">
        <f t="shared" si="33"/>
        <v>0</v>
      </c>
      <c r="U300" s="43"/>
      <c r="V300" s="525" t="e">
        <f>P300*('upper bound Kenaga'!$F$36/100)</f>
        <v>#DIV/0!</v>
      </c>
      <c r="W300" s="43"/>
      <c r="X300" s="525" t="e">
        <f>P300*('upper bound Kenaga'!$F$96/100)</f>
        <v>#DIV/0!</v>
      </c>
      <c r="Y300" s="43"/>
      <c r="Z300" s="43"/>
      <c r="AA300" s="43"/>
    </row>
    <row r="301" spans="13:27" ht="12.75">
      <c r="M301" s="43">
        <f t="shared" si="34"/>
        <v>280</v>
      </c>
      <c r="N301" s="43">
        <f t="shared" si="35"/>
        <v>1</v>
      </c>
      <c r="O301" s="43">
        <f t="shared" si="36"/>
        <v>0</v>
      </c>
      <c r="P301" s="113" t="e">
        <f t="shared" si="37"/>
        <v>#DIV/0!</v>
      </c>
      <c r="Q301" s="113" t="e">
        <f t="shared" si="38"/>
        <v>#DIV/0!</v>
      </c>
      <c r="R301" s="113" t="e">
        <f t="shared" si="39"/>
        <v>#DIV/0!</v>
      </c>
      <c r="S301" s="113" t="e">
        <f t="shared" si="40"/>
        <v>#DIV/0!</v>
      </c>
      <c r="T301" s="43">
        <f t="shared" si="33"/>
        <v>0</v>
      </c>
      <c r="U301" s="43"/>
      <c r="V301" s="525" t="e">
        <f>P301*('upper bound Kenaga'!$F$36/100)</f>
        <v>#DIV/0!</v>
      </c>
      <c r="W301" s="43"/>
      <c r="X301" s="525" t="e">
        <f>P301*('upper bound Kenaga'!$F$96/100)</f>
        <v>#DIV/0!</v>
      </c>
      <c r="Y301" s="43"/>
      <c r="Z301" s="43"/>
      <c r="AA301" s="43"/>
    </row>
    <row r="302" spans="13:27" ht="12.75">
      <c r="M302" s="43">
        <f t="shared" si="34"/>
        <v>281</v>
      </c>
      <c r="N302" s="43">
        <f t="shared" si="35"/>
        <v>1</v>
      </c>
      <c r="O302" s="43">
        <f t="shared" si="36"/>
        <v>0</v>
      </c>
      <c r="P302" s="113" t="e">
        <f t="shared" si="37"/>
        <v>#DIV/0!</v>
      </c>
      <c r="Q302" s="113" t="e">
        <f t="shared" si="38"/>
        <v>#DIV/0!</v>
      </c>
      <c r="R302" s="113" t="e">
        <f t="shared" si="39"/>
        <v>#DIV/0!</v>
      </c>
      <c r="S302" s="113" t="e">
        <f t="shared" si="40"/>
        <v>#DIV/0!</v>
      </c>
      <c r="T302" s="43">
        <f t="shared" si="33"/>
        <v>0</v>
      </c>
      <c r="U302" s="43"/>
      <c r="V302" s="525" t="e">
        <f>P302*('upper bound Kenaga'!$F$36/100)</f>
        <v>#DIV/0!</v>
      </c>
      <c r="W302" s="43"/>
      <c r="X302" s="525" t="e">
        <f>P302*('upper bound Kenaga'!$F$96/100)</f>
        <v>#DIV/0!</v>
      </c>
      <c r="Y302" s="43"/>
      <c r="Z302" s="43"/>
      <c r="AA302" s="43"/>
    </row>
    <row r="303" spans="13:27" ht="12.75">
      <c r="M303" s="43">
        <f t="shared" si="34"/>
        <v>282</v>
      </c>
      <c r="N303" s="43">
        <f t="shared" si="35"/>
        <v>1</v>
      </c>
      <c r="O303" s="43">
        <f t="shared" si="36"/>
        <v>0</v>
      </c>
      <c r="P303" s="113" t="e">
        <f t="shared" si="37"/>
        <v>#DIV/0!</v>
      </c>
      <c r="Q303" s="113" t="e">
        <f t="shared" si="38"/>
        <v>#DIV/0!</v>
      </c>
      <c r="R303" s="113" t="e">
        <f t="shared" si="39"/>
        <v>#DIV/0!</v>
      </c>
      <c r="S303" s="113" t="e">
        <f t="shared" si="40"/>
        <v>#DIV/0!</v>
      </c>
      <c r="T303" s="43">
        <f t="shared" si="33"/>
        <v>0</v>
      </c>
      <c r="U303" s="43"/>
      <c r="V303" s="525" t="e">
        <f>P303*('upper bound Kenaga'!$F$36/100)</f>
        <v>#DIV/0!</v>
      </c>
      <c r="W303" s="43"/>
      <c r="X303" s="525" t="e">
        <f>P303*('upper bound Kenaga'!$F$96/100)</f>
        <v>#DIV/0!</v>
      </c>
      <c r="Y303" s="43"/>
      <c r="Z303" s="43"/>
      <c r="AA303" s="43"/>
    </row>
    <row r="304" spans="13:27" ht="12.75">
      <c r="M304" s="43">
        <f t="shared" si="34"/>
        <v>283</v>
      </c>
      <c r="N304" s="43">
        <f t="shared" si="35"/>
        <v>1</v>
      </c>
      <c r="O304" s="43">
        <f t="shared" si="36"/>
        <v>0</v>
      </c>
      <c r="P304" s="113" t="e">
        <f t="shared" si="37"/>
        <v>#DIV/0!</v>
      </c>
      <c r="Q304" s="113" t="e">
        <f t="shared" si="38"/>
        <v>#DIV/0!</v>
      </c>
      <c r="R304" s="113" t="e">
        <f t="shared" si="39"/>
        <v>#DIV/0!</v>
      </c>
      <c r="S304" s="113" t="e">
        <f t="shared" si="40"/>
        <v>#DIV/0!</v>
      </c>
      <c r="T304" s="43">
        <f t="shared" si="33"/>
        <v>0</v>
      </c>
      <c r="U304" s="43"/>
      <c r="V304" s="525" t="e">
        <f>P304*('upper bound Kenaga'!$F$36/100)</f>
        <v>#DIV/0!</v>
      </c>
      <c r="W304" s="43"/>
      <c r="X304" s="525" t="e">
        <f>P304*('upper bound Kenaga'!$F$96/100)</f>
        <v>#DIV/0!</v>
      </c>
      <c r="Y304" s="43"/>
      <c r="Z304" s="43"/>
      <c r="AA304" s="43"/>
    </row>
    <row r="305" spans="13:27" ht="12.75">
      <c r="M305" s="43">
        <f t="shared" si="34"/>
        <v>284</v>
      </c>
      <c r="N305" s="43">
        <f t="shared" si="35"/>
        <v>1</v>
      </c>
      <c r="O305" s="43">
        <f t="shared" si="36"/>
        <v>0</v>
      </c>
      <c r="P305" s="113" t="e">
        <f t="shared" si="37"/>
        <v>#DIV/0!</v>
      </c>
      <c r="Q305" s="113" t="e">
        <f t="shared" si="38"/>
        <v>#DIV/0!</v>
      </c>
      <c r="R305" s="113" t="e">
        <f t="shared" si="39"/>
        <v>#DIV/0!</v>
      </c>
      <c r="S305" s="113" t="e">
        <f t="shared" si="40"/>
        <v>#DIV/0!</v>
      </c>
      <c r="T305" s="43">
        <f t="shared" si="33"/>
        <v>0</v>
      </c>
      <c r="U305" s="43"/>
      <c r="V305" s="525" t="e">
        <f>P305*('upper bound Kenaga'!$F$36/100)</f>
        <v>#DIV/0!</v>
      </c>
      <c r="W305" s="43"/>
      <c r="X305" s="525" t="e">
        <f>P305*('upper bound Kenaga'!$F$96/100)</f>
        <v>#DIV/0!</v>
      </c>
      <c r="Y305" s="43"/>
      <c r="Z305" s="43"/>
      <c r="AA305" s="43"/>
    </row>
    <row r="306" spans="13:27" ht="12.75">
      <c r="M306" s="43">
        <f t="shared" si="34"/>
        <v>285</v>
      </c>
      <c r="N306" s="43">
        <f t="shared" si="35"/>
        <v>1</v>
      </c>
      <c r="O306" s="43">
        <f t="shared" si="36"/>
        <v>0</v>
      </c>
      <c r="P306" s="113" t="e">
        <f t="shared" si="37"/>
        <v>#DIV/0!</v>
      </c>
      <c r="Q306" s="113" t="e">
        <f t="shared" si="38"/>
        <v>#DIV/0!</v>
      </c>
      <c r="R306" s="113" t="e">
        <f t="shared" si="39"/>
        <v>#DIV/0!</v>
      </c>
      <c r="S306" s="113" t="e">
        <f t="shared" si="40"/>
        <v>#DIV/0!</v>
      </c>
      <c r="T306" s="43">
        <f t="shared" si="33"/>
        <v>0</v>
      </c>
      <c r="U306" s="43"/>
      <c r="V306" s="525" t="e">
        <f>P306*('upper bound Kenaga'!$F$36/100)</f>
        <v>#DIV/0!</v>
      </c>
      <c r="W306" s="43"/>
      <c r="X306" s="525" t="e">
        <f>P306*('upper bound Kenaga'!$F$96/100)</f>
        <v>#DIV/0!</v>
      </c>
      <c r="Y306" s="43"/>
      <c r="Z306" s="43"/>
      <c r="AA306" s="43"/>
    </row>
    <row r="307" spans="13:27" ht="12.75">
      <c r="M307" s="43">
        <f t="shared" si="34"/>
        <v>286</v>
      </c>
      <c r="N307" s="43">
        <f t="shared" si="35"/>
        <v>1</v>
      </c>
      <c r="O307" s="43">
        <f t="shared" si="36"/>
        <v>0</v>
      </c>
      <c r="P307" s="113" t="e">
        <f t="shared" si="37"/>
        <v>#DIV/0!</v>
      </c>
      <c r="Q307" s="113" t="e">
        <f t="shared" si="38"/>
        <v>#DIV/0!</v>
      </c>
      <c r="R307" s="113" t="e">
        <f t="shared" si="39"/>
        <v>#DIV/0!</v>
      </c>
      <c r="S307" s="113" t="e">
        <f t="shared" si="40"/>
        <v>#DIV/0!</v>
      </c>
      <c r="T307" s="43">
        <f t="shared" si="33"/>
        <v>0</v>
      </c>
      <c r="U307" s="43"/>
      <c r="V307" s="525" t="e">
        <f>P307*('upper bound Kenaga'!$F$36/100)</f>
        <v>#DIV/0!</v>
      </c>
      <c r="W307" s="43"/>
      <c r="X307" s="525" t="e">
        <f>P307*('upper bound Kenaga'!$F$96/100)</f>
        <v>#DIV/0!</v>
      </c>
      <c r="Y307" s="43"/>
      <c r="Z307" s="43"/>
      <c r="AA307" s="43"/>
    </row>
    <row r="308" spans="13:27" ht="12.75">
      <c r="M308" s="43">
        <f t="shared" si="34"/>
        <v>287</v>
      </c>
      <c r="N308" s="43">
        <f t="shared" si="35"/>
        <v>1</v>
      </c>
      <c r="O308" s="43">
        <f t="shared" si="36"/>
        <v>0</v>
      </c>
      <c r="P308" s="113" t="e">
        <f t="shared" si="37"/>
        <v>#DIV/0!</v>
      </c>
      <c r="Q308" s="113" t="e">
        <f t="shared" si="38"/>
        <v>#DIV/0!</v>
      </c>
      <c r="R308" s="113" t="e">
        <f t="shared" si="39"/>
        <v>#DIV/0!</v>
      </c>
      <c r="S308" s="113" t="e">
        <f t="shared" si="40"/>
        <v>#DIV/0!</v>
      </c>
      <c r="T308" s="43">
        <f t="shared" si="33"/>
        <v>0</v>
      </c>
      <c r="U308" s="43"/>
      <c r="V308" s="525" t="e">
        <f>P308*('upper bound Kenaga'!$F$36/100)</f>
        <v>#DIV/0!</v>
      </c>
      <c r="W308" s="43"/>
      <c r="X308" s="525" t="e">
        <f>P308*('upper bound Kenaga'!$F$96/100)</f>
        <v>#DIV/0!</v>
      </c>
      <c r="Y308" s="43"/>
      <c r="Z308" s="43"/>
      <c r="AA308" s="43"/>
    </row>
    <row r="309" spans="13:27" ht="12.75">
      <c r="M309" s="43">
        <f t="shared" si="34"/>
        <v>288</v>
      </c>
      <c r="N309" s="43">
        <f t="shared" si="35"/>
        <v>1</v>
      </c>
      <c r="O309" s="43">
        <f t="shared" si="36"/>
        <v>0</v>
      </c>
      <c r="P309" s="113" t="e">
        <f t="shared" si="37"/>
        <v>#DIV/0!</v>
      </c>
      <c r="Q309" s="113" t="e">
        <f t="shared" si="38"/>
        <v>#DIV/0!</v>
      </c>
      <c r="R309" s="113" t="e">
        <f t="shared" si="39"/>
        <v>#DIV/0!</v>
      </c>
      <c r="S309" s="113" t="e">
        <f t="shared" si="40"/>
        <v>#DIV/0!</v>
      </c>
      <c r="T309" s="43">
        <f t="shared" si="33"/>
        <v>0</v>
      </c>
      <c r="U309" s="43"/>
      <c r="V309" s="525" t="e">
        <f>P309*('upper bound Kenaga'!$F$36/100)</f>
        <v>#DIV/0!</v>
      </c>
      <c r="W309" s="43"/>
      <c r="X309" s="525" t="e">
        <f>P309*('upper bound Kenaga'!$F$96/100)</f>
        <v>#DIV/0!</v>
      </c>
      <c r="Y309" s="43"/>
      <c r="Z309" s="43"/>
      <c r="AA309" s="43"/>
    </row>
    <row r="310" spans="13:27" ht="12.75">
      <c r="M310" s="43">
        <f t="shared" si="34"/>
        <v>289</v>
      </c>
      <c r="N310" s="43">
        <f t="shared" si="35"/>
        <v>1</v>
      </c>
      <c r="O310" s="43">
        <f t="shared" si="36"/>
        <v>0</v>
      </c>
      <c r="P310" s="113" t="e">
        <f t="shared" si="37"/>
        <v>#DIV/0!</v>
      </c>
      <c r="Q310" s="113" t="e">
        <f t="shared" si="38"/>
        <v>#DIV/0!</v>
      </c>
      <c r="R310" s="113" t="e">
        <f t="shared" si="39"/>
        <v>#DIV/0!</v>
      </c>
      <c r="S310" s="113" t="e">
        <f t="shared" si="40"/>
        <v>#DIV/0!</v>
      </c>
      <c r="T310" s="43">
        <f t="shared" si="33"/>
        <v>0</v>
      </c>
      <c r="U310" s="43"/>
      <c r="V310" s="525" t="e">
        <f>P310*('upper bound Kenaga'!$F$36/100)</f>
        <v>#DIV/0!</v>
      </c>
      <c r="W310" s="43"/>
      <c r="X310" s="525" t="e">
        <f>P310*('upper bound Kenaga'!$F$96/100)</f>
        <v>#DIV/0!</v>
      </c>
      <c r="Y310" s="43"/>
      <c r="Z310" s="43"/>
      <c r="AA310" s="43"/>
    </row>
    <row r="311" spans="13:27" ht="12.75">
      <c r="M311" s="43">
        <f t="shared" si="34"/>
        <v>290</v>
      </c>
      <c r="N311" s="43">
        <f t="shared" si="35"/>
        <v>1</v>
      </c>
      <c r="O311" s="43">
        <f t="shared" si="36"/>
        <v>0</v>
      </c>
      <c r="P311" s="113" t="e">
        <f t="shared" si="37"/>
        <v>#DIV/0!</v>
      </c>
      <c r="Q311" s="113" t="e">
        <f t="shared" si="38"/>
        <v>#DIV/0!</v>
      </c>
      <c r="R311" s="113" t="e">
        <f t="shared" si="39"/>
        <v>#DIV/0!</v>
      </c>
      <c r="S311" s="113" t="e">
        <f t="shared" si="40"/>
        <v>#DIV/0!</v>
      </c>
      <c r="T311" s="43">
        <f t="shared" si="33"/>
        <v>0</v>
      </c>
      <c r="U311" s="43"/>
      <c r="V311" s="525" t="e">
        <f>P311*('upper bound Kenaga'!$F$36/100)</f>
        <v>#DIV/0!</v>
      </c>
      <c r="W311" s="43"/>
      <c r="X311" s="525" t="e">
        <f>P311*('upper bound Kenaga'!$F$96/100)</f>
        <v>#DIV/0!</v>
      </c>
      <c r="Y311" s="43"/>
      <c r="Z311" s="43"/>
      <c r="AA311" s="43"/>
    </row>
    <row r="312" spans="13:27" ht="12.75">
      <c r="M312" s="43">
        <f t="shared" si="34"/>
        <v>291</v>
      </c>
      <c r="N312" s="43">
        <f t="shared" si="35"/>
        <v>1</v>
      </c>
      <c r="O312" s="43">
        <f t="shared" si="36"/>
        <v>0</v>
      </c>
      <c r="P312" s="113" t="e">
        <f t="shared" si="37"/>
        <v>#DIV/0!</v>
      </c>
      <c r="Q312" s="113" t="e">
        <f t="shared" si="38"/>
        <v>#DIV/0!</v>
      </c>
      <c r="R312" s="113" t="e">
        <f t="shared" si="39"/>
        <v>#DIV/0!</v>
      </c>
      <c r="S312" s="113" t="e">
        <f t="shared" si="40"/>
        <v>#DIV/0!</v>
      </c>
      <c r="T312" s="43">
        <f t="shared" si="33"/>
        <v>0</v>
      </c>
      <c r="U312" s="43"/>
      <c r="V312" s="525" t="e">
        <f>P312*('upper bound Kenaga'!$F$36/100)</f>
        <v>#DIV/0!</v>
      </c>
      <c r="W312" s="43"/>
      <c r="X312" s="525" t="e">
        <f>P312*('upper bound Kenaga'!$F$96/100)</f>
        <v>#DIV/0!</v>
      </c>
      <c r="Y312" s="43"/>
      <c r="Z312" s="43"/>
      <c r="AA312" s="43"/>
    </row>
    <row r="313" spans="13:27" ht="12.75">
      <c r="M313" s="43">
        <f t="shared" si="34"/>
        <v>292</v>
      </c>
      <c r="N313" s="43">
        <f t="shared" si="35"/>
        <v>1</v>
      </c>
      <c r="O313" s="43">
        <f t="shared" si="36"/>
        <v>0</v>
      </c>
      <c r="P313" s="113" t="e">
        <f t="shared" si="37"/>
        <v>#DIV/0!</v>
      </c>
      <c r="Q313" s="113" t="e">
        <f t="shared" si="38"/>
        <v>#DIV/0!</v>
      </c>
      <c r="R313" s="113" t="e">
        <f t="shared" si="39"/>
        <v>#DIV/0!</v>
      </c>
      <c r="S313" s="113" t="e">
        <f t="shared" si="40"/>
        <v>#DIV/0!</v>
      </c>
      <c r="T313" s="43">
        <f t="shared" si="33"/>
        <v>0</v>
      </c>
      <c r="U313" s="43"/>
      <c r="V313" s="525" t="e">
        <f>P313*('upper bound Kenaga'!$F$36/100)</f>
        <v>#DIV/0!</v>
      </c>
      <c r="W313" s="43"/>
      <c r="X313" s="525" t="e">
        <f>P313*('upper bound Kenaga'!$F$96/100)</f>
        <v>#DIV/0!</v>
      </c>
      <c r="Y313" s="43"/>
      <c r="Z313" s="43"/>
      <c r="AA313" s="43"/>
    </row>
    <row r="314" spans="13:27" ht="12.75">
      <c r="M314" s="43">
        <f t="shared" si="34"/>
        <v>293</v>
      </c>
      <c r="N314" s="43">
        <f t="shared" si="35"/>
        <v>1</v>
      </c>
      <c r="O314" s="43">
        <f t="shared" si="36"/>
        <v>0</v>
      </c>
      <c r="P314" s="113" t="e">
        <f t="shared" si="37"/>
        <v>#DIV/0!</v>
      </c>
      <c r="Q314" s="113" t="e">
        <f t="shared" si="38"/>
        <v>#DIV/0!</v>
      </c>
      <c r="R314" s="113" t="e">
        <f t="shared" si="39"/>
        <v>#DIV/0!</v>
      </c>
      <c r="S314" s="113" t="e">
        <f t="shared" si="40"/>
        <v>#DIV/0!</v>
      </c>
      <c r="T314" s="43">
        <f t="shared" si="33"/>
        <v>0</v>
      </c>
      <c r="U314" s="43"/>
      <c r="V314" s="525" t="e">
        <f>P314*('upper bound Kenaga'!$F$36/100)</f>
        <v>#DIV/0!</v>
      </c>
      <c r="W314" s="43"/>
      <c r="X314" s="525" t="e">
        <f>P314*('upper bound Kenaga'!$F$96/100)</f>
        <v>#DIV/0!</v>
      </c>
      <c r="Y314" s="43"/>
      <c r="Z314" s="43"/>
      <c r="AA314" s="43"/>
    </row>
    <row r="315" spans="13:27" ht="12.75">
      <c r="M315" s="43">
        <f t="shared" si="34"/>
        <v>294</v>
      </c>
      <c r="N315" s="43">
        <f t="shared" si="35"/>
        <v>1</v>
      </c>
      <c r="O315" s="43">
        <f t="shared" si="36"/>
        <v>0</v>
      </c>
      <c r="P315" s="113" t="e">
        <f t="shared" si="37"/>
        <v>#DIV/0!</v>
      </c>
      <c r="Q315" s="113" t="e">
        <f t="shared" si="38"/>
        <v>#DIV/0!</v>
      </c>
      <c r="R315" s="113" t="e">
        <f t="shared" si="39"/>
        <v>#DIV/0!</v>
      </c>
      <c r="S315" s="113" t="e">
        <f t="shared" si="40"/>
        <v>#DIV/0!</v>
      </c>
      <c r="T315" s="43">
        <f t="shared" si="33"/>
        <v>0</v>
      </c>
      <c r="U315" s="43"/>
      <c r="V315" s="525" t="e">
        <f>P315*('upper bound Kenaga'!$F$36/100)</f>
        <v>#DIV/0!</v>
      </c>
      <c r="W315" s="43"/>
      <c r="X315" s="525" t="e">
        <f>P315*('upper bound Kenaga'!$F$96/100)</f>
        <v>#DIV/0!</v>
      </c>
      <c r="Y315" s="43"/>
      <c r="Z315" s="43"/>
      <c r="AA315" s="43"/>
    </row>
    <row r="316" spans="13:27" ht="12.75">
      <c r="M316" s="43">
        <f t="shared" si="34"/>
        <v>295</v>
      </c>
      <c r="N316" s="43">
        <f t="shared" si="35"/>
        <v>1</v>
      </c>
      <c r="O316" s="43">
        <f t="shared" si="36"/>
        <v>0</v>
      </c>
      <c r="P316" s="113" t="e">
        <f t="shared" si="37"/>
        <v>#DIV/0!</v>
      </c>
      <c r="Q316" s="113" t="e">
        <f t="shared" si="38"/>
        <v>#DIV/0!</v>
      </c>
      <c r="R316" s="113" t="e">
        <f t="shared" si="39"/>
        <v>#DIV/0!</v>
      </c>
      <c r="S316" s="113" t="e">
        <f t="shared" si="40"/>
        <v>#DIV/0!</v>
      </c>
      <c r="T316" s="43">
        <f t="shared" si="33"/>
        <v>0</v>
      </c>
      <c r="U316" s="43"/>
      <c r="V316" s="525" t="e">
        <f>P316*('upper bound Kenaga'!$F$36/100)</f>
        <v>#DIV/0!</v>
      </c>
      <c r="W316" s="43"/>
      <c r="X316" s="525" t="e">
        <f>P316*('upper bound Kenaga'!$F$96/100)</f>
        <v>#DIV/0!</v>
      </c>
      <c r="Y316" s="43"/>
      <c r="Z316" s="43"/>
      <c r="AA316" s="43"/>
    </row>
    <row r="317" spans="13:27" ht="12.75">
      <c r="M317" s="43">
        <f t="shared" si="34"/>
        <v>296</v>
      </c>
      <c r="N317" s="43">
        <f t="shared" si="35"/>
        <v>1</v>
      </c>
      <c r="O317" s="43">
        <f t="shared" si="36"/>
        <v>0</v>
      </c>
      <c r="P317" s="113" t="e">
        <f t="shared" si="37"/>
        <v>#DIV/0!</v>
      </c>
      <c r="Q317" s="113" t="e">
        <f t="shared" si="38"/>
        <v>#DIV/0!</v>
      </c>
      <c r="R317" s="113" t="e">
        <f t="shared" si="39"/>
        <v>#DIV/0!</v>
      </c>
      <c r="S317" s="113" t="e">
        <f t="shared" si="40"/>
        <v>#DIV/0!</v>
      </c>
      <c r="T317" s="43">
        <f t="shared" si="33"/>
        <v>0</v>
      </c>
      <c r="U317" s="43"/>
      <c r="V317" s="525" t="e">
        <f>P317*('upper bound Kenaga'!$F$36/100)</f>
        <v>#DIV/0!</v>
      </c>
      <c r="W317" s="43"/>
      <c r="X317" s="525" t="e">
        <f>P317*('upper bound Kenaga'!$F$96/100)</f>
        <v>#DIV/0!</v>
      </c>
      <c r="Y317" s="43"/>
      <c r="Z317" s="43"/>
      <c r="AA317" s="43"/>
    </row>
    <row r="318" spans="13:27" ht="12.75">
      <c r="M318" s="43">
        <f t="shared" si="34"/>
        <v>297</v>
      </c>
      <c r="N318" s="43">
        <f t="shared" si="35"/>
        <v>1</v>
      </c>
      <c r="O318" s="43">
        <f t="shared" si="36"/>
        <v>0</v>
      </c>
      <c r="P318" s="113" t="e">
        <f t="shared" si="37"/>
        <v>#DIV/0!</v>
      </c>
      <c r="Q318" s="113" t="e">
        <f t="shared" si="38"/>
        <v>#DIV/0!</v>
      </c>
      <c r="R318" s="113" t="e">
        <f t="shared" si="39"/>
        <v>#DIV/0!</v>
      </c>
      <c r="S318" s="113" t="e">
        <f t="shared" si="40"/>
        <v>#DIV/0!</v>
      </c>
      <c r="T318" s="43">
        <f t="shared" si="33"/>
        <v>0</v>
      </c>
      <c r="U318" s="43"/>
      <c r="V318" s="525" t="e">
        <f>P318*('upper bound Kenaga'!$F$36/100)</f>
        <v>#DIV/0!</v>
      </c>
      <c r="W318" s="43"/>
      <c r="X318" s="525" t="e">
        <f>P318*('upper bound Kenaga'!$F$96/100)</f>
        <v>#DIV/0!</v>
      </c>
      <c r="Y318" s="43"/>
      <c r="Z318" s="43"/>
      <c r="AA318" s="43"/>
    </row>
    <row r="319" spans="13:27" ht="12.75">
      <c r="M319" s="43">
        <f t="shared" si="34"/>
        <v>298</v>
      </c>
      <c r="N319" s="43">
        <f t="shared" si="35"/>
        <v>1</v>
      </c>
      <c r="O319" s="43">
        <f t="shared" si="36"/>
        <v>0</v>
      </c>
      <c r="P319" s="113" t="e">
        <f t="shared" si="37"/>
        <v>#DIV/0!</v>
      </c>
      <c r="Q319" s="113" t="e">
        <f t="shared" si="38"/>
        <v>#DIV/0!</v>
      </c>
      <c r="R319" s="113" t="e">
        <f t="shared" si="39"/>
        <v>#DIV/0!</v>
      </c>
      <c r="S319" s="113" t="e">
        <f t="shared" si="40"/>
        <v>#DIV/0!</v>
      </c>
      <c r="T319" s="43">
        <f t="shared" si="33"/>
        <v>0</v>
      </c>
      <c r="U319" s="43"/>
      <c r="V319" s="525" t="e">
        <f>P319*('upper bound Kenaga'!$F$36/100)</f>
        <v>#DIV/0!</v>
      </c>
      <c r="W319" s="43"/>
      <c r="X319" s="525" t="e">
        <f>P319*('upper bound Kenaga'!$F$96/100)</f>
        <v>#DIV/0!</v>
      </c>
      <c r="Y319" s="43"/>
      <c r="Z319" s="43"/>
      <c r="AA319" s="43"/>
    </row>
    <row r="320" spans="13:27" ht="12.75">
      <c r="M320" s="43">
        <f t="shared" si="34"/>
        <v>299</v>
      </c>
      <c r="N320" s="43">
        <f t="shared" si="35"/>
        <v>1</v>
      </c>
      <c r="O320" s="43">
        <f t="shared" si="36"/>
        <v>0</v>
      </c>
      <c r="P320" s="113" t="e">
        <f t="shared" si="37"/>
        <v>#DIV/0!</v>
      </c>
      <c r="Q320" s="113" t="e">
        <f t="shared" si="38"/>
        <v>#DIV/0!</v>
      </c>
      <c r="R320" s="113" t="e">
        <f t="shared" si="39"/>
        <v>#DIV/0!</v>
      </c>
      <c r="S320" s="113" t="e">
        <f t="shared" si="40"/>
        <v>#DIV/0!</v>
      </c>
      <c r="T320" s="43">
        <f t="shared" si="33"/>
        <v>0</v>
      </c>
      <c r="U320" s="43"/>
      <c r="V320" s="525" t="e">
        <f>P320*('upper bound Kenaga'!$F$36/100)</f>
        <v>#DIV/0!</v>
      </c>
      <c r="W320" s="43"/>
      <c r="X320" s="525" t="e">
        <f>P320*('upper bound Kenaga'!$F$96/100)</f>
        <v>#DIV/0!</v>
      </c>
      <c r="Y320" s="43"/>
      <c r="Z320" s="43"/>
      <c r="AA320" s="43"/>
    </row>
    <row r="321" spans="13:27" ht="12.75">
      <c r="M321" s="43">
        <f t="shared" si="34"/>
        <v>300</v>
      </c>
      <c r="N321" s="43">
        <f t="shared" si="35"/>
        <v>1</v>
      </c>
      <c r="O321" s="43">
        <f t="shared" si="36"/>
        <v>0</v>
      </c>
      <c r="P321" s="113" t="e">
        <f t="shared" si="37"/>
        <v>#DIV/0!</v>
      </c>
      <c r="Q321" s="113" t="e">
        <f t="shared" si="38"/>
        <v>#DIV/0!</v>
      </c>
      <c r="R321" s="113" t="e">
        <f t="shared" si="39"/>
        <v>#DIV/0!</v>
      </c>
      <c r="S321" s="113" t="e">
        <f t="shared" si="40"/>
        <v>#DIV/0!</v>
      </c>
      <c r="T321" s="43">
        <f t="shared" si="33"/>
        <v>0</v>
      </c>
      <c r="U321" s="43"/>
      <c r="V321" s="525" t="e">
        <f>P321*('upper bound Kenaga'!$F$36/100)</f>
        <v>#DIV/0!</v>
      </c>
      <c r="W321" s="43"/>
      <c r="X321" s="525" t="e">
        <f>P321*('upper bound Kenaga'!$F$96/100)</f>
        <v>#DIV/0!</v>
      </c>
      <c r="Y321" s="43"/>
      <c r="Z321" s="43"/>
      <c r="AA321" s="43"/>
    </row>
    <row r="322" spans="13:27" ht="12.75">
      <c r="M322" s="43">
        <f t="shared" si="34"/>
        <v>301</v>
      </c>
      <c r="N322" s="43">
        <f t="shared" si="35"/>
        <v>1</v>
      </c>
      <c r="O322" s="43">
        <f t="shared" si="36"/>
        <v>0</v>
      </c>
      <c r="P322" s="113" t="e">
        <f t="shared" si="37"/>
        <v>#DIV/0!</v>
      </c>
      <c r="Q322" s="113" t="e">
        <f t="shared" si="38"/>
        <v>#DIV/0!</v>
      </c>
      <c r="R322" s="113" t="e">
        <f t="shared" si="39"/>
        <v>#DIV/0!</v>
      </c>
      <c r="S322" s="113" t="e">
        <f t="shared" si="40"/>
        <v>#DIV/0!</v>
      </c>
      <c r="T322" s="43">
        <f t="shared" si="33"/>
        <v>0</v>
      </c>
      <c r="U322" s="43"/>
      <c r="V322" s="525" t="e">
        <f>P322*('upper bound Kenaga'!$F$36/100)</f>
        <v>#DIV/0!</v>
      </c>
      <c r="W322" s="43"/>
      <c r="X322" s="525" t="e">
        <f>P322*('upper bound Kenaga'!$F$96/100)</f>
        <v>#DIV/0!</v>
      </c>
      <c r="Y322" s="43"/>
      <c r="Z322" s="43"/>
      <c r="AA322" s="43"/>
    </row>
    <row r="323" spans="13:27" ht="12.75">
      <c r="M323" s="43">
        <f t="shared" si="34"/>
        <v>302</v>
      </c>
      <c r="N323" s="43">
        <f t="shared" si="35"/>
        <v>1</v>
      </c>
      <c r="O323" s="43">
        <f t="shared" si="36"/>
        <v>0</v>
      </c>
      <c r="P323" s="113" t="e">
        <f t="shared" si="37"/>
        <v>#DIV/0!</v>
      </c>
      <c r="Q323" s="113" t="e">
        <f t="shared" si="38"/>
        <v>#DIV/0!</v>
      </c>
      <c r="R323" s="113" t="e">
        <f t="shared" si="39"/>
        <v>#DIV/0!</v>
      </c>
      <c r="S323" s="113" t="e">
        <f t="shared" si="40"/>
        <v>#DIV/0!</v>
      </c>
      <c r="T323" s="43">
        <f t="shared" si="33"/>
        <v>0</v>
      </c>
      <c r="U323" s="43"/>
      <c r="V323" s="525" t="e">
        <f>P323*('upper bound Kenaga'!$F$36/100)</f>
        <v>#DIV/0!</v>
      </c>
      <c r="W323" s="43"/>
      <c r="X323" s="525" t="e">
        <f>P323*('upper bound Kenaga'!$F$96/100)</f>
        <v>#DIV/0!</v>
      </c>
      <c r="Y323" s="43"/>
      <c r="Z323" s="43"/>
      <c r="AA323" s="43"/>
    </row>
    <row r="324" spans="13:27" ht="12.75">
      <c r="M324" s="43">
        <f t="shared" si="34"/>
        <v>303</v>
      </c>
      <c r="N324" s="43">
        <f t="shared" si="35"/>
        <v>1</v>
      </c>
      <c r="O324" s="43">
        <f t="shared" si="36"/>
        <v>0</v>
      </c>
      <c r="P324" s="113" t="e">
        <f t="shared" si="37"/>
        <v>#DIV/0!</v>
      </c>
      <c r="Q324" s="113" t="e">
        <f t="shared" si="38"/>
        <v>#DIV/0!</v>
      </c>
      <c r="R324" s="113" t="e">
        <f t="shared" si="39"/>
        <v>#DIV/0!</v>
      </c>
      <c r="S324" s="113" t="e">
        <f t="shared" si="40"/>
        <v>#DIV/0!</v>
      </c>
      <c r="T324" s="43">
        <f t="shared" si="33"/>
        <v>0</v>
      </c>
      <c r="U324" s="43"/>
      <c r="V324" s="525" t="e">
        <f>P324*('upper bound Kenaga'!$F$36/100)</f>
        <v>#DIV/0!</v>
      </c>
      <c r="W324" s="43"/>
      <c r="X324" s="525" t="e">
        <f>P324*('upper bound Kenaga'!$F$96/100)</f>
        <v>#DIV/0!</v>
      </c>
      <c r="Y324" s="43"/>
      <c r="Z324" s="43"/>
      <c r="AA324" s="43"/>
    </row>
    <row r="325" spans="13:27" ht="12.75">
      <c r="M325" s="43">
        <f t="shared" si="34"/>
        <v>304</v>
      </c>
      <c r="N325" s="43">
        <f t="shared" si="35"/>
        <v>1</v>
      </c>
      <c r="O325" s="43">
        <f t="shared" si="36"/>
        <v>0</v>
      </c>
      <c r="P325" s="113" t="e">
        <f t="shared" si="37"/>
        <v>#DIV/0!</v>
      </c>
      <c r="Q325" s="113" t="e">
        <f t="shared" si="38"/>
        <v>#DIV/0!</v>
      </c>
      <c r="R325" s="113" t="e">
        <f t="shared" si="39"/>
        <v>#DIV/0!</v>
      </c>
      <c r="S325" s="113" t="e">
        <f t="shared" si="40"/>
        <v>#DIV/0!</v>
      </c>
      <c r="T325" s="43">
        <f t="shared" si="33"/>
        <v>0</v>
      </c>
      <c r="U325" s="43"/>
      <c r="V325" s="525" t="e">
        <f>P325*('upper bound Kenaga'!$F$36/100)</f>
        <v>#DIV/0!</v>
      </c>
      <c r="W325" s="43"/>
      <c r="X325" s="525" t="e">
        <f>P325*('upper bound Kenaga'!$F$96/100)</f>
        <v>#DIV/0!</v>
      </c>
      <c r="Y325" s="43"/>
      <c r="Z325" s="43"/>
      <c r="AA325" s="43"/>
    </row>
    <row r="326" spans="13:27" ht="12.75">
      <c r="M326" s="43">
        <f t="shared" si="34"/>
        <v>305</v>
      </c>
      <c r="N326" s="43">
        <f t="shared" si="35"/>
        <v>1</v>
      </c>
      <c r="O326" s="43">
        <f t="shared" si="36"/>
        <v>0</v>
      </c>
      <c r="P326" s="113" t="e">
        <f t="shared" si="37"/>
        <v>#DIV/0!</v>
      </c>
      <c r="Q326" s="113" t="e">
        <f t="shared" si="38"/>
        <v>#DIV/0!</v>
      </c>
      <c r="R326" s="113" t="e">
        <f t="shared" si="39"/>
        <v>#DIV/0!</v>
      </c>
      <c r="S326" s="113" t="e">
        <f t="shared" si="40"/>
        <v>#DIV/0!</v>
      </c>
      <c r="T326" s="43">
        <f t="shared" si="33"/>
        <v>0</v>
      </c>
      <c r="U326" s="43"/>
      <c r="V326" s="525" t="e">
        <f>P326*('upper bound Kenaga'!$F$36/100)</f>
        <v>#DIV/0!</v>
      </c>
      <c r="W326" s="43"/>
      <c r="X326" s="525" t="e">
        <f>P326*('upper bound Kenaga'!$F$96/100)</f>
        <v>#DIV/0!</v>
      </c>
      <c r="Y326" s="43"/>
      <c r="Z326" s="43"/>
      <c r="AA326" s="43"/>
    </row>
    <row r="327" spans="13:27" ht="12.75">
      <c r="M327" s="43">
        <f t="shared" si="34"/>
        <v>306</v>
      </c>
      <c r="N327" s="43">
        <f t="shared" si="35"/>
        <v>1</v>
      </c>
      <c r="O327" s="43">
        <f t="shared" si="36"/>
        <v>0</v>
      </c>
      <c r="P327" s="113" t="e">
        <f t="shared" si="37"/>
        <v>#DIV/0!</v>
      </c>
      <c r="Q327" s="113" t="e">
        <f t="shared" si="38"/>
        <v>#DIV/0!</v>
      </c>
      <c r="R327" s="113" t="e">
        <f t="shared" si="39"/>
        <v>#DIV/0!</v>
      </c>
      <c r="S327" s="113" t="e">
        <f t="shared" si="40"/>
        <v>#DIV/0!</v>
      </c>
      <c r="T327" s="43">
        <f t="shared" si="33"/>
        <v>0</v>
      </c>
      <c r="U327" s="43"/>
      <c r="V327" s="525" t="e">
        <f>P327*('upper bound Kenaga'!$F$36/100)</f>
        <v>#DIV/0!</v>
      </c>
      <c r="W327" s="43"/>
      <c r="X327" s="525" t="e">
        <f>P327*('upper bound Kenaga'!$F$96/100)</f>
        <v>#DIV/0!</v>
      </c>
      <c r="Y327" s="43"/>
      <c r="Z327" s="43"/>
      <c r="AA327" s="43"/>
    </row>
    <row r="328" spans="13:27" ht="12.75">
      <c r="M328" s="43">
        <f t="shared" si="34"/>
        <v>307</v>
      </c>
      <c r="N328" s="43">
        <f t="shared" si="35"/>
        <v>1</v>
      </c>
      <c r="O328" s="43">
        <f t="shared" si="36"/>
        <v>0</v>
      </c>
      <c r="P328" s="113" t="e">
        <f t="shared" si="37"/>
        <v>#DIV/0!</v>
      </c>
      <c r="Q328" s="113" t="e">
        <f t="shared" si="38"/>
        <v>#DIV/0!</v>
      </c>
      <c r="R328" s="113" t="e">
        <f t="shared" si="39"/>
        <v>#DIV/0!</v>
      </c>
      <c r="S328" s="113" t="e">
        <f t="shared" si="40"/>
        <v>#DIV/0!</v>
      </c>
      <c r="T328" s="43">
        <f t="shared" si="33"/>
        <v>0</v>
      </c>
      <c r="U328" s="43"/>
      <c r="V328" s="525" t="e">
        <f>P328*('upper bound Kenaga'!$F$36/100)</f>
        <v>#DIV/0!</v>
      </c>
      <c r="W328" s="43"/>
      <c r="X328" s="525" t="e">
        <f>P328*('upper bound Kenaga'!$F$96/100)</f>
        <v>#DIV/0!</v>
      </c>
      <c r="Y328" s="43"/>
      <c r="Z328" s="43"/>
      <c r="AA328" s="43"/>
    </row>
    <row r="329" spans="13:27" ht="12.75">
      <c r="M329" s="43">
        <f t="shared" si="34"/>
        <v>308</v>
      </c>
      <c r="N329" s="43">
        <f t="shared" si="35"/>
        <v>1</v>
      </c>
      <c r="O329" s="43">
        <f t="shared" si="36"/>
        <v>0</v>
      </c>
      <c r="P329" s="113" t="e">
        <f t="shared" si="37"/>
        <v>#DIV/0!</v>
      </c>
      <c r="Q329" s="113" t="e">
        <f t="shared" si="38"/>
        <v>#DIV/0!</v>
      </c>
      <c r="R329" s="113" t="e">
        <f t="shared" si="39"/>
        <v>#DIV/0!</v>
      </c>
      <c r="S329" s="113" t="e">
        <f t="shared" si="40"/>
        <v>#DIV/0!</v>
      </c>
      <c r="T329" s="43">
        <f t="shared" si="33"/>
        <v>0</v>
      </c>
      <c r="U329" s="43"/>
      <c r="V329" s="525" t="e">
        <f>P329*('upper bound Kenaga'!$F$36/100)</f>
        <v>#DIV/0!</v>
      </c>
      <c r="W329" s="43"/>
      <c r="X329" s="525" t="e">
        <f>P329*('upper bound Kenaga'!$F$96/100)</f>
        <v>#DIV/0!</v>
      </c>
      <c r="Y329" s="43"/>
      <c r="Z329" s="43"/>
      <c r="AA329" s="43"/>
    </row>
    <row r="330" spans="13:27" ht="12.75">
      <c r="M330" s="43">
        <f t="shared" si="34"/>
        <v>309</v>
      </c>
      <c r="N330" s="43">
        <f t="shared" si="35"/>
        <v>1</v>
      </c>
      <c r="O330" s="43">
        <f t="shared" si="36"/>
        <v>0</v>
      </c>
      <c r="P330" s="113" t="e">
        <f t="shared" si="37"/>
        <v>#DIV/0!</v>
      </c>
      <c r="Q330" s="113" t="e">
        <f t="shared" si="38"/>
        <v>#DIV/0!</v>
      </c>
      <c r="R330" s="113" t="e">
        <f t="shared" si="39"/>
        <v>#DIV/0!</v>
      </c>
      <c r="S330" s="113" t="e">
        <f t="shared" si="40"/>
        <v>#DIV/0!</v>
      </c>
      <c r="T330" s="43">
        <f t="shared" si="33"/>
        <v>0</v>
      </c>
      <c r="U330" s="43"/>
      <c r="V330" s="525" t="e">
        <f>P330*('upper bound Kenaga'!$F$36/100)</f>
        <v>#DIV/0!</v>
      </c>
      <c r="W330" s="43"/>
      <c r="X330" s="525" t="e">
        <f>P330*('upper bound Kenaga'!$F$96/100)</f>
        <v>#DIV/0!</v>
      </c>
      <c r="Y330" s="43"/>
      <c r="Z330" s="43"/>
      <c r="AA330" s="43"/>
    </row>
    <row r="331" spans="13:27" ht="12.75">
      <c r="M331" s="43">
        <f t="shared" si="34"/>
        <v>310</v>
      </c>
      <c r="N331" s="43">
        <f t="shared" si="35"/>
        <v>1</v>
      </c>
      <c r="O331" s="43">
        <f t="shared" si="36"/>
        <v>0</v>
      </c>
      <c r="P331" s="113" t="e">
        <f t="shared" si="37"/>
        <v>#DIV/0!</v>
      </c>
      <c r="Q331" s="113" t="e">
        <f t="shared" si="38"/>
        <v>#DIV/0!</v>
      </c>
      <c r="R331" s="113" t="e">
        <f t="shared" si="39"/>
        <v>#DIV/0!</v>
      </c>
      <c r="S331" s="113" t="e">
        <f t="shared" si="40"/>
        <v>#DIV/0!</v>
      </c>
      <c r="T331" s="43">
        <f t="shared" si="33"/>
        <v>0</v>
      </c>
      <c r="U331" s="43"/>
      <c r="V331" s="525" t="e">
        <f>P331*('upper bound Kenaga'!$F$36/100)</f>
        <v>#DIV/0!</v>
      </c>
      <c r="W331" s="43"/>
      <c r="X331" s="525" t="e">
        <f>P331*('upper bound Kenaga'!$F$96/100)</f>
        <v>#DIV/0!</v>
      </c>
      <c r="Y331" s="43"/>
      <c r="Z331" s="43"/>
      <c r="AA331" s="43"/>
    </row>
    <row r="332" spans="13:27" ht="12.75">
      <c r="M332" s="43">
        <f t="shared" si="34"/>
        <v>311</v>
      </c>
      <c r="N332" s="43">
        <f t="shared" si="35"/>
        <v>1</v>
      </c>
      <c r="O332" s="43">
        <f t="shared" si="36"/>
        <v>0</v>
      </c>
      <c r="P332" s="113" t="e">
        <f t="shared" si="37"/>
        <v>#DIV/0!</v>
      </c>
      <c r="Q332" s="113" t="e">
        <f t="shared" si="38"/>
        <v>#DIV/0!</v>
      </c>
      <c r="R332" s="113" t="e">
        <f t="shared" si="39"/>
        <v>#DIV/0!</v>
      </c>
      <c r="S332" s="113" t="e">
        <f t="shared" si="40"/>
        <v>#DIV/0!</v>
      </c>
      <c r="T332" s="43">
        <f t="shared" si="33"/>
        <v>0</v>
      </c>
      <c r="U332" s="43"/>
      <c r="V332" s="525" t="e">
        <f>P332*('upper bound Kenaga'!$F$36/100)</f>
        <v>#DIV/0!</v>
      </c>
      <c r="W332" s="43"/>
      <c r="X332" s="525" t="e">
        <f>P332*('upper bound Kenaga'!$F$96/100)</f>
        <v>#DIV/0!</v>
      </c>
      <c r="Y332" s="43"/>
      <c r="Z332" s="43"/>
      <c r="AA332" s="43"/>
    </row>
    <row r="333" spans="13:27" ht="12.75">
      <c r="M333" s="43">
        <f t="shared" si="34"/>
        <v>312</v>
      </c>
      <c r="N333" s="43">
        <f t="shared" si="35"/>
        <v>1</v>
      </c>
      <c r="O333" s="43">
        <f t="shared" si="36"/>
        <v>0</v>
      </c>
      <c r="P333" s="113" t="e">
        <f t="shared" si="37"/>
        <v>#DIV/0!</v>
      </c>
      <c r="Q333" s="113" t="e">
        <f t="shared" si="38"/>
        <v>#DIV/0!</v>
      </c>
      <c r="R333" s="113" t="e">
        <f t="shared" si="39"/>
        <v>#DIV/0!</v>
      </c>
      <c r="S333" s="113" t="e">
        <f t="shared" si="40"/>
        <v>#DIV/0!</v>
      </c>
      <c r="T333" s="43">
        <f t="shared" si="33"/>
        <v>0</v>
      </c>
      <c r="U333" s="43"/>
      <c r="V333" s="525" t="e">
        <f>P333*('upper bound Kenaga'!$F$36/100)</f>
        <v>#DIV/0!</v>
      </c>
      <c r="W333" s="43"/>
      <c r="X333" s="525" t="e">
        <f>P333*('upper bound Kenaga'!$F$96/100)</f>
        <v>#DIV/0!</v>
      </c>
      <c r="Y333" s="43"/>
      <c r="Z333" s="43"/>
      <c r="AA333" s="43"/>
    </row>
    <row r="334" spans="13:27" ht="12.75">
      <c r="M334" s="43">
        <f t="shared" si="34"/>
        <v>313</v>
      </c>
      <c r="N334" s="43">
        <f t="shared" si="35"/>
        <v>1</v>
      </c>
      <c r="O334" s="43">
        <f t="shared" si="36"/>
        <v>0</v>
      </c>
      <c r="P334" s="113" t="e">
        <f t="shared" si="37"/>
        <v>#DIV/0!</v>
      </c>
      <c r="Q334" s="113" t="e">
        <f t="shared" si="38"/>
        <v>#DIV/0!</v>
      </c>
      <c r="R334" s="113" t="e">
        <f t="shared" si="39"/>
        <v>#DIV/0!</v>
      </c>
      <c r="S334" s="113" t="e">
        <f t="shared" si="40"/>
        <v>#DIV/0!</v>
      </c>
      <c r="T334" s="43">
        <f t="shared" si="33"/>
        <v>0</v>
      </c>
      <c r="U334" s="43"/>
      <c r="V334" s="525" t="e">
        <f>P334*('upper bound Kenaga'!$F$36/100)</f>
        <v>#DIV/0!</v>
      </c>
      <c r="W334" s="43"/>
      <c r="X334" s="525" t="e">
        <f>P334*('upper bound Kenaga'!$F$96/100)</f>
        <v>#DIV/0!</v>
      </c>
      <c r="Y334" s="43"/>
      <c r="Z334" s="43"/>
      <c r="AA334" s="43"/>
    </row>
    <row r="335" spans="13:27" ht="12.75">
      <c r="M335" s="43">
        <f t="shared" si="34"/>
        <v>314</v>
      </c>
      <c r="N335" s="43">
        <f t="shared" si="35"/>
        <v>1</v>
      </c>
      <c r="O335" s="43">
        <f t="shared" si="36"/>
        <v>0</v>
      </c>
      <c r="P335" s="113" t="e">
        <f t="shared" si="37"/>
        <v>#DIV/0!</v>
      </c>
      <c r="Q335" s="113" t="e">
        <f t="shared" si="38"/>
        <v>#DIV/0!</v>
      </c>
      <c r="R335" s="113" t="e">
        <f t="shared" si="39"/>
        <v>#DIV/0!</v>
      </c>
      <c r="S335" s="113" t="e">
        <f t="shared" si="40"/>
        <v>#DIV/0!</v>
      </c>
      <c r="T335" s="43">
        <f t="shared" si="33"/>
        <v>0</v>
      </c>
      <c r="U335" s="43"/>
      <c r="V335" s="525" t="e">
        <f>P335*('upper bound Kenaga'!$F$36/100)</f>
        <v>#DIV/0!</v>
      </c>
      <c r="W335" s="43"/>
      <c r="X335" s="525" t="e">
        <f>P335*('upper bound Kenaga'!$F$96/100)</f>
        <v>#DIV/0!</v>
      </c>
      <c r="Y335" s="43"/>
      <c r="Z335" s="43"/>
      <c r="AA335" s="43"/>
    </row>
    <row r="336" spans="13:27" ht="12.75">
      <c r="M336" s="43">
        <f t="shared" si="34"/>
        <v>315</v>
      </c>
      <c r="N336" s="43">
        <f t="shared" si="35"/>
        <v>1</v>
      </c>
      <c r="O336" s="43">
        <f t="shared" si="36"/>
        <v>0</v>
      </c>
      <c r="P336" s="113" t="e">
        <f t="shared" si="37"/>
        <v>#DIV/0!</v>
      </c>
      <c r="Q336" s="113" t="e">
        <f t="shared" si="38"/>
        <v>#DIV/0!</v>
      </c>
      <c r="R336" s="113" t="e">
        <f t="shared" si="39"/>
        <v>#DIV/0!</v>
      </c>
      <c r="S336" s="113" t="e">
        <f t="shared" si="40"/>
        <v>#DIV/0!</v>
      </c>
      <c r="T336" s="43">
        <f t="shared" si="33"/>
        <v>0</v>
      </c>
      <c r="U336" s="43"/>
      <c r="V336" s="525" t="e">
        <f>P336*('upper bound Kenaga'!$F$36/100)</f>
        <v>#DIV/0!</v>
      </c>
      <c r="W336" s="43"/>
      <c r="X336" s="525" t="e">
        <f>P336*('upper bound Kenaga'!$F$96/100)</f>
        <v>#DIV/0!</v>
      </c>
      <c r="Y336" s="43"/>
      <c r="Z336" s="43"/>
      <c r="AA336" s="43"/>
    </row>
    <row r="337" spans="13:27" ht="12.75">
      <c r="M337" s="43">
        <f t="shared" si="34"/>
        <v>316</v>
      </c>
      <c r="N337" s="43">
        <f t="shared" si="35"/>
        <v>1</v>
      </c>
      <c r="O337" s="43">
        <f t="shared" si="36"/>
        <v>0</v>
      </c>
      <c r="P337" s="113" t="e">
        <f t="shared" si="37"/>
        <v>#DIV/0!</v>
      </c>
      <c r="Q337" s="113" t="e">
        <f t="shared" si="38"/>
        <v>#DIV/0!</v>
      </c>
      <c r="R337" s="113" t="e">
        <f t="shared" si="39"/>
        <v>#DIV/0!</v>
      </c>
      <c r="S337" s="113" t="e">
        <f t="shared" si="40"/>
        <v>#DIV/0!</v>
      </c>
      <c r="T337" s="43">
        <f t="shared" si="33"/>
        <v>0</v>
      </c>
      <c r="U337" s="43"/>
      <c r="V337" s="525" t="e">
        <f>P337*('upper bound Kenaga'!$F$36/100)</f>
        <v>#DIV/0!</v>
      </c>
      <c r="W337" s="43"/>
      <c r="X337" s="525" t="e">
        <f>P337*('upper bound Kenaga'!$F$96/100)</f>
        <v>#DIV/0!</v>
      </c>
      <c r="Y337" s="43"/>
      <c r="Z337" s="43"/>
      <c r="AA337" s="43"/>
    </row>
    <row r="338" spans="13:27" ht="12.75">
      <c r="M338" s="43">
        <f t="shared" si="34"/>
        <v>317</v>
      </c>
      <c r="N338" s="43">
        <f t="shared" si="35"/>
        <v>1</v>
      </c>
      <c r="O338" s="43">
        <f t="shared" si="36"/>
        <v>0</v>
      </c>
      <c r="P338" s="113" t="e">
        <f t="shared" si="37"/>
        <v>#DIV/0!</v>
      </c>
      <c r="Q338" s="113" t="e">
        <f t="shared" si="38"/>
        <v>#DIV/0!</v>
      </c>
      <c r="R338" s="113" t="e">
        <f t="shared" si="39"/>
        <v>#DIV/0!</v>
      </c>
      <c r="S338" s="113" t="e">
        <f t="shared" si="40"/>
        <v>#DIV/0!</v>
      </c>
      <c r="T338" s="43">
        <f t="shared" si="33"/>
        <v>0</v>
      </c>
      <c r="U338" s="43"/>
      <c r="V338" s="525" t="e">
        <f>P338*('upper bound Kenaga'!$F$36/100)</f>
        <v>#DIV/0!</v>
      </c>
      <c r="W338" s="43"/>
      <c r="X338" s="525" t="e">
        <f>P338*('upper bound Kenaga'!$F$96/100)</f>
        <v>#DIV/0!</v>
      </c>
      <c r="Y338" s="43"/>
      <c r="Z338" s="43"/>
      <c r="AA338" s="43"/>
    </row>
    <row r="339" spans="13:27" ht="12.75">
      <c r="M339" s="43">
        <f t="shared" si="34"/>
        <v>318</v>
      </c>
      <c r="N339" s="43">
        <f t="shared" si="35"/>
        <v>1</v>
      </c>
      <c r="O339" s="43">
        <f t="shared" si="36"/>
        <v>0</v>
      </c>
      <c r="P339" s="113" t="e">
        <f t="shared" si="37"/>
        <v>#DIV/0!</v>
      </c>
      <c r="Q339" s="113" t="e">
        <f t="shared" si="38"/>
        <v>#DIV/0!</v>
      </c>
      <c r="R339" s="113" t="e">
        <f t="shared" si="39"/>
        <v>#DIV/0!</v>
      </c>
      <c r="S339" s="113" t="e">
        <f t="shared" si="40"/>
        <v>#DIV/0!</v>
      </c>
      <c r="T339" s="43">
        <f t="shared" si="33"/>
        <v>0</v>
      </c>
      <c r="U339" s="43"/>
      <c r="V339" s="525" t="e">
        <f>P339*('upper bound Kenaga'!$F$36/100)</f>
        <v>#DIV/0!</v>
      </c>
      <c r="W339" s="43"/>
      <c r="X339" s="525" t="e">
        <f>P339*('upper bound Kenaga'!$F$96/100)</f>
        <v>#DIV/0!</v>
      </c>
      <c r="Y339" s="43"/>
      <c r="Z339" s="43"/>
      <c r="AA339" s="43"/>
    </row>
    <row r="340" spans="13:27" ht="12.75">
      <c r="M340" s="43">
        <f t="shared" si="34"/>
        <v>319</v>
      </c>
      <c r="N340" s="43">
        <f t="shared" si="35"/>
        <v>1</v>
      </c>
      <c r="O340" s="43">
        <f t="shared" si="36"/>
        <v>0</v>
      </c>
      <c r="P340" s="113" t="e">
        <f t="shared" si="37"/>
        <v>#DIV/0!</v>
      </c>
      <c r="Q340" s="113" t="e">
        <f t="shared" si="38"/>
        <v>#DIV/0!</v>
      </c>
      <c r="R340" s="113" t="e">
        <f t="shared" si="39"/>
        <v>#DIV/0!</v>
      </c>
      <c r="S340" s="113" t="e">
        <f t="shared" si="40"/>
        <v>#DIV/0!</v>
      </c>
      <c r="T340" s="43">
        <f t="shared" si="33"/>
        <v>0</v>
      </c>
      <c r="U340" s="43"/>
      <c r="V340" s="525" t="e">
        <f>P340*('upper bound Kenaga'!$F$36/100)</f>
        <v>#DIV/0!</v>
      </c>
      <c r="W340" s="43"/>
      <c r="X340" s="525" t="e">
        <f>P340*('upper bound Kenaga'!$F$96/100)</f>
        <v>#DIV/0!</v>
      </c>
      <c r="Y340" s="43"/>
      <c r="Z340" s="43"/>
      <c r="AA340" s="43"/>
    </row>
    <row r="341" spans="13:27" ht="12.75">
      <c r="M341" s="43">
        <f t="shared" si="34"/>
        <v>320</v>
      </c>
      <c r="N341" s="43">
        <f t="shared" si="35"/>
        <v>1</v>
      </c>
      <c r="O341" s="43">
        <f t="shared" si="36"/>
        <v>0</v>
      </c>
      <c r="P341" s="113" t="e">
        <f t="shared" si="37"/>
        <v>#DIV/0!</v>
      </c>
      <c r="Q341" s="113" t="e">
        <f t="shared" si="38"/>
        <v>#DIV/0!</v>
      </c>
      <c r="R341" s="113" t="e">
        <f t="shared" si="39"/>
        <v>#DIV/0!</v>
      </c>
      <c r="S341" s="113" t="e">
        <f t="shared" si="40"/>
        <v>#DIV/0!</v>
      </c>
      <c r="T341" s="43">
        <f aca="true" t="shared" si="41" ref="T341:T386">$B$11</f>
        <v>0</v>
      </c>
      <c r="U341" s="43"/>
      <c r="V341" s="525" t="e">
        <f>P341*('upper bound Kenaga'!$F$36/100)</f>
        <v>#DIV/0!</v>
      </c>
      <c r="W341" s="43"/>
      <c r="X341" s="525" t="e">
        <f>P341*('upper bound Kenaga'!$F$96/100)</f>
        <v>#DIV/0!</v>
      </c>
      <c r="Y341" s="43"/>
      <c r="Z341" s="43"/>
      <c r="AA341" s="43"/>
    </row>
    <row r="342" spans="13:27" ht="12.75">
      <c r="M342" s="43">
        <f aca="true" t="shared" si="42" ref="M342:M386">(M341+1)</f>
        <v>321</v>
      </c>
      <c r="N342" s="43">
        <f aca="true" t="shared" si="43" ref="N342:N386">IF($B$9&gt;N341,IF(O341=($B$8-1),(N341+1),(N341)),(N341))</f>
        <v>1</v>
      </c>
      <c r="O342" s="43">
        <f aca="true" t="shared" si="44" ref="O342:O386">IF(O341&lt;($B$8-1),(1+O341),0)</f>
        <v>0</v>
      </c>
      <c r="P342" s="113" t="e">
        <f aca="true" t="shared" si="45" ref="P342:P386">IF((N342&gt;N341),(EXP(-$Q$16)*(P341)+$Q$11),((EXP(-$Q$16)*(P341))))</f>
        <v>#DIV/0!</v>
      </c>
      <c r="Q342" s="113" t="e">
        <f aca="true" t="shared" si="46" ref="Q342:Q386">IF((N342&gt;N341),(EXP(-$Q$16)*(Q341)+$Q$12),((EXP(-$Q$16)*(Q341))))</f>
        <v>#DIV/0!</v>
      </c>
      <c r="R342" s="113" t="e">
        <f aca="true" t="shared" si="47" ref="R342:R386">IF((N342&gt;N341),(EXP(-$Q$16)*(R341)+$Q$13),((EXP(-$Q$16)*(R341))))</f>
        <v>#DIV/0!</v>
      </c>
      <c r="S342" s="113" t="e">
        <f aca="true" t="shared" si="48" ref="S342:S386">IF((N342&gt;N341),(EXP(-$Q$16)*(S341)+$Q$14),((EXP(-$Q$16)*(S341))))</f>
        <v>#DIV/0!</v>
      </c>
      <c r="T342" s="43">
        <f t="shared" si="41"/>
        <v>0</v>
      </c>
      <c r="U342" s="43"/>
      <c r="V342" s="525" t="e">
        <f>P342*('upper bound Kenaga'!$F$36/100)</f>
        <v>#DIV/0!</v>
      </c>
      <c r="W342" s="43"/>
      <c r="X342" s="525" t="e">
        <f>P342*('upper bound Kenaga'!$F$96/100)</f>
        <v>#DIV/0!</v>
      </c>
      <c r="Y342" s="43"/>
      <c r="Z342" s="43"/>
      <c r="AA342" s="43"/>
    </row>
    <row r="343" spans="13:27" ht="12.75">
      <c r="M343" s="43">
        <f t="shared" si="42"/>
        <v>322</v>
      </c>
      <c r="N343" s="43">
        <f t="shared" si="43"/>
        <v>1</v>
      </c>
      <c r="O343" s="43">
        <f t="shared" si="44"/>
        <v>0</v>
      </c>
      <c r="P343" s="113" t="e">
        <f t="shared" si="45"/>
        <v>#DIV/0!</v>
      </c>
      <c r="Q343" s="113" t="e">
        <f t="shared" si="46"/>
        <v>#DIV/0!</v>
      </c>
      <c r="R343" s="113" t="e">
        <f t="shared" si="47"/>
        <v>#DIV/0!</v>
      </c>
      <c r="S343" s="113" t="e">
        <f t="shared" si="48"/>
        <v>#DIV/0!</v>
      </c>
      <c r="T343" s="43">
        <f t="shared" si="41"/>
        <v>0</v>
      </c>
      <c r="U343" s="43"/>
      <c r="V343" s="525" t="e">
        <f>P343*('upper bound Kenaga'!$F$36/100)</f>
        <v>#DIV/0!</v>
      </c>
      <c r="W343" s="43"/>
      <c r="X343" s="525" t="e">
        <f>P343*('upper bound Kenaga'!$F$96/100)</f>
        <v>#DIV/0!</v>
      </c>
      <c r="Y343" s="43"/>
      <c r="Z343" s="43"/>
      <c r="AA343" s="43"/>
    </row>
    <row r="344" spans="13:27" ht="12.75">
      <c r="M344" s="43">
        <f t="shared" si="42"/>
        <v>323</v>
      </c>
      <c r="N344" s="43">
        <f t="shared" si="43"/>
        <v>1</v>
      </c>
      <c r="O344" s="43">
        <f t="shared" si="44"/>
        <v>0</v>
      </c>
      <c r="P344" s="113" t="e">
        <f t="shared" si="45"/>
        <v>#DIV/0!</v>
      </c>
      <c r="Q344" s="113" t="e">
        <f t="shared" si="46"/>
        <v>#DIV/0!</v>
      </c>
      <c r="R344" s="113" t="e">
        <f t="shared" si="47"/>
        <v>#DIV/0!</v>
      </c>
      <c r="S344" s="113" t="e">
        <f t="shared" si="48"/>
        <v>#DIV/0!</v>
      </c>
      <c r="T344" s="43">
        <f t="shared" si="41"/>
        <v>0</v>
      </c>
      <c r="U344" s="43"/>
      <c r="V344" s="525" t="e">
        <f>P344*('upper bound Kenaga'!$F$36/100)</f>
        <v>#DIV/0!</v>
      </c>
      <c r="W344" s="43"/>
      <c r="X344" s="525" t="e">
        <f>P344*('upper bound Kenaga'!$F$96/100)</f>
        <v>#DIV/0!</v>
      </c>
      <c r="Y344" s="43"/>
      <c r="Z344" s="43"/>
      <c r="AA344" s="43"/>
    </row>
    <row r="345" spans="13:27" ht="12.75">
      <c r="M345" s="43">
        <f t="shared" si="42"/>
        <v>324</v>
      </c>
      <c r="N345" s="43">
        <f t="shared" si="43"/>
        <v>1</v>
      </c>
      <c r="O345" s="43">
        <f t="shared" si="44"/>
        <v>0</v>
      </c>
      <c r="P345" s="113" t="e">
        <f t="shared" si="45"/>
        <v>#DIV/0!</v>
      </c>
      <c r="Q345" s="113" t="e">
        <f t="shared" si="46"/>
        <v>#DIV/0!</v>
      </c>
      <c r="R345" s="113" t="e">
        <f t="shared" si="47"/>
        <v>#DIV/0!</v>
      </c>
      <c r="S345" s="113" t="e">
        <f t="shared" si="48"/>
        <v>#DIV/0!</v>
      </c>
      <c r="T345" s="43">
        <f t="shared" si="41"/>
        <v>0</v>
      </c>
      <c r="U345" s="43"/>
      <c r="V345" s="525" t="e">
        <f>P345*('upper bound Kenaga'!$F$36/100)</f>
        <v>#DIV/0!</v>
      </c>
      <c r="W345" s="43"/>
      <c r="X345" s="525" t="e">
        <f>P345*('upper bound Kenaga'!$F$96/100)</f>
        <v>#DIV/0!</v>
      </c>
      <c r="Y345" s="43"/>
      <c r="Z345" s="43"/>
      <c r="AA345" s="43"/>
    </row>
    <row r="346" spans="13:27" ht="12.75">
      <c r="M346" s="43">
        <f t="shared" si="42"/>
        <v>325</v>
      </c>
      <c r="N346" s="43">
        <f t="shared" si="43"/>
        <v>1</v>
      </c>
      <c r="O346" s="43">
        <f t="shared" si="44"/>
        <v>0</v>
      </c>
      <c r="P346" s="113" t="e">
        <f t="shared" si="45"/>
        <v>#DIV/0!</v>
      </c>
      <c r="Q346" s="113" t="e">
        <f t="shared" si="46"/>
        <v>#DIV/0!</v>
      </c>
      <c r="R346" s="113" t="e">
        <f t="shared" si="47"/>
        <v>#DIV/0!</v>
      </c>
      <c r="S346" s="113" t="e">
        <f t="shared" si="48"/>
        <v>#DIV/0!</v>
      </c>
      <c r="T346" s="43">
        <f t="shared" si="41"/>
        <v>0</v>
      </c>
      <c r="U346" s="43"/>
      <c r="V346" s="525" t="e">
        <f>P346*('upper bound Kenaga'!$F$36/100)</f>
        <v>#DIV/0!</v>
      </c>
      <c r="W346" s="43"/>
      <c r="X346" s="525" t="e">
        <f>P346*('upper bound Kenaga'!$F$96/100)</f>
        <v>#DIV/0!</v>
      </c>
      <c r="Y346" s="43"/>
      <c r="Z346" s="43"/>
      <c r="AA346" s="43"/>
    </row>
    <row r="347" spans="13:27" ht="12.75">
      <c r="M347" s="43">
        <f t="shared" si="42"/>
        <v>326</v>
      </c>
      <c r="N347" s="43">
        <f t="shared" si="43"/>
        <v>1</v>
      </c>
      <c r="O347" s="43">
        <f t="shared" si="44"/>
        <v>0</v>
      </c>
      <c r="P347" s="113" t="e">
        <f t="shared" si="45"/>
        <v>#DIV/0!</v>
      </c>
      <c r="Q347" s="113" t="e">
        <f t="shared" si="46"/>
        <v>#DIV/0!</v>
      </c>
      <c r="R347" s="113" t="e">
        <f t="shared" si="47"/>
        <v>#DIV/0!</v>
      </c>
      <c r="S347" s="113" t="e">
        <f t="shared" si="48"/>
        <v>#DIV/0!</v>
      </c>
      <c r="T347" s="43">
        <f t="shared" si="41"/>
        <v>0</v>
      </c>
      <c r="U347" s="43"/>
      <c r="V347" s="525" t="e">
        <f>P347*('upper bound Kenaga'!$F$36/100)</f>
        <v>#DIV/0!</v>
      </c>
      <c r="W347" s="43"/>
      <c r="X347" s="525" t="e">
        <f>P347*('upper bound Kenaga'!$F$96/100)</f>
        <v>#DIV/0!</v>
      </c>
      <c r="Y347" s="43"/>
      <c r="Z347" s="43"/>
      <c r="AA347" s="43"/>
    </row>
    <row r="348" spans="13:27" ht="12.75">
      <c r="M348" s="43">
        <f t="shared" si="42"/>
        <v>327</v>
      </c>
      <c r="N348" s="43">
        <f t="shared" si="43"/>
        <v>1</v>
      </c>
      <c r="O348" s="43">
        <f t="shared" si="44"/>
        <v>0</v>
      </c>
      <c r="P348" s="113" t="e">
        <f t="shared" si="45"/>
        <v>#DIV/0!</v>
      </c>
      <c r="Q348" s="113" t="e">
        <f t="shared" si="46"/>
        <v>#DIV/0!</v>
      </c>
      <c r="R348" s="113" t="e">
        <f t="shared" si="47"/>
        <v>#DIV/0!</v>
      </c>
      <c r="S348" s="113" t="e">
        <f t="shared" si="48"/>
        <v>#DIV/0!</v>
      </c>
      <c r="T348" s="43">
        <f t="shared" si="41"/>
        <v>0</v>
      </c>
      <c r="U348" s="43"/>
      <c r="V348" s="525" t="e">
        <f>P348*('upper bound Kenaga'!$F$36/100)</f>
        <v>#DIV/0!</v>
      </c>
      <c r="W348" s="43"/>
      <c r="X348" s="525" t="e">
        <f>P348*('upper bound Kenaga'!$F$96/100)</f>
        <v>#DIV/0!</v>
      </c>
      <c r="Y348" s="43"/>
      <c r="Z348" s="43"/>
      <c r="AA348" s="43"/>
    </row>
    <row r="349" spans="13:27" ht="12.75">
      <c r="M349" s="43">
        <f t="shared" si="42"/>
        <v>328</v>
      </c>
      <c r="N349" s="43">
        <f t="shared" si="43"/>
        <v>1</v>
      </c>
      <c r="O349" s="43">
        <f t="shared" si="44"/>
        <v>0</v>
      </c>
      <c r="P349" s="113" t="e">
        <f t="shared" si="45"/>
        <v>#DIV/0!</v>
      </c>
      <c r="Q349" s="113" t="e">
        <f t="shared" si="46"/>
        <v>#DIV/0!</v>
      </c>
      <c r="R349" s="113" t="e">
        <f t="shared" si="47"/>
        <v>#DIV/0!</v>
      </c>
      <c r="S349" s="113" t="e">
        <f t="shared" si="48"/>
        <v>#DIV/0!</v>
      </c>
      <c r="T349" s="43">
        <f t="shared" si="41"/>
        <v>0</v>
      </c>
      <c r="U349" s="43"/>
      <c r="V349" s="525" t="e">
        <f>P349*('upper bound Kenaga'!$F$36/100)</f>
        <v>#DIV/0!</v>
      </c>
      <c r="W349" s="43"/>
      <c r="X349" s="525" t="e">
        <f>P349*('upper bound Kenaga'!$F$96/100)</f>
        <v>#DIV/0!</v>
      </c>
      <c r="Y349" s="43"/>
      <c r="Z349" s="43"/>
      <c r="AA349" s="43"/>
    </row>
    <row r="350" spans="13:27" ht="12.75">
      <c r="M350" s="43">
        <f t="shared" si="42"/>
        <v>329</v>
      </c>
      <c r="N350" s="43">
        <f t="shared" si="43"/>
        <v>1</v>
      </c>
      <c r="O350" s="43">
        <f t="shared" si="44"/>
        <v>0</v>
      </c>
      <c r="P350" s="113" t="e">
        <f t="shared" si="45"/>
        <v>#DIV/0!</v>
      </c>
      <c r="Q350" s="113" t="e">
        <f t="shared" si="46"/>
        <v>#DIV/0!</v>
      </c>
      <c r="R350" s="113" t="e">
        <f t="shared" si="47"/>
        <v>#DIV/0!</v>
      </c>
      <c r="S350" s="113" t="e">
        <f t="shared" si="48"/>
        <v>#DIV/0!</v>
      </c>
      <c r="T350" s="43">
        <f t="shared" si="41"/>
        <v>0</v>
      </c>
      <c r="U350" s="43"/>
      <c r="V350" s="525" t="e">
        <f>P350*('upper bound Kenaga'!$F$36/100)</f>
        <v>#DIV/0!</v>
      </c>
      <c r="W350" s="43"/>
      <c r="X350" s="525" t="e">
        <f>P350*('upper bound Kenaga'!$F$96/100)</f>
        <v>#DIV/0!</v>
      </c>
      <c r="Y350" s="43"/>
      <c r="Z350" s="43"/>
      <c r="AA350" s="43"/>
    </row>
    <row r="351" spans="13:27" ht="12.75">
      <c r="M351" s="43">
        <f t="shared" si="42"/>
        <v>330</v>
      </c>
      <c r="N351" s="43">
        <f t="shared" si="43"/>
        <v>1</v>
      </c>
      <c r="O351" s="43">
        <f t="shared" si="44"/>
        <v>0</v>
      </c>
      <c r="P351" s="113" t="e">
        <f t="shared" si="45"/>
        <v>#DIV/0!</v>
      </c>
      <c r="Q351" s="113" t="e">
        <f t="shared" si="46"/>
        <v>#DIV/0!</v>
      </c>
      <c r="R351" s="113" t="e">
        <f t="shared" si="47"/>
        <v>#DIV/0!</v>
      </c>
      <c r="S351" s="113" t="e">
        <f t="shared" si="48"/>
        <v>#DIV/0!</v>
      </c>
      <c r="T351" s="43">
        <f t="shared" si="41"/>
        <v>0</v>
      </c>
      <c r="U351" s="43"/>
      <c r="V351" s="525" t="e">
        <f>P351*('upper bound Kenaga'!$F$36/100)</f>
        <v>#DIV/0!</v>
      </c>
      <c r="W351" s="43"/>
      <c r="X351" s="525" t="e">
        <f>P351*('upper bound Kenaga'!$F$96/100)</f>
        <v>#DIV/0!</v>
      </c>
      <c r="Y351" s="43"/>
      <c r="Z351" s="43"/>
      <c r="AA351" s="43"/>
    </row>
    <row r="352" spans="13:27" ht="12.75">
      <c r="M352" s="43">
        <f t="shared" si="42"/>
        <v>331</v>
      </c>
      <c r="N352" s="43">
        <f t="shared" si="43"/>
        <v>1</v>
      </c>
      <c r="O352" s="43">
        <f t="shared" si="44"/>
        <v>0</v>
      </c>
      <c r="P352" s="113" t="e">
        <f t="shared" si="45"/>
        <v>#DIV/0!</v>
      </c>
      <c r="Q352" s="113" t="e">
        <f t="shared" si="46"/>
        <v>#DIV/0!</v>
      </c>
      <c r="R352" s="113" t="e">
        <f t="shared" si="47"/>
        <v>#DIV/0!</v>
      </c>
      <c r="S352" s="113" t="e">
        <f t="shared" si="48"/>
        <v>#DIV/0!</v>
      </c>
      <c r="T352" s="43">
        <f t="shared" si="41"/>
        <v>0</v>
      </c>
      <c r="U352" s="43"/>
      <c r="V352" s="525" t="e">
        <f>P352*('upper bound Kenaga'!$F$36/100)</f>
        <v>#DIV/0!</v>
      </c>
      <c r="W352" s="43"/>
      <c r="X352" s="525" t="e">
        <f>P352*('upper bound Kenaga'!$F$96/100)</f>
        <v>#DIV/0!</v>
      </c>
      <c r="Y352" s="43"/>
      <c r="Z352" s="43"/>
      <c r="AA352" s="43"/>
    </row>
    <row r="353" spans="13:27" ht="12.75">
      <c r="M353" s="43">
        <f t="shared" si="42"/>
        <v>332</v>
      </c>
      <c r="N353" s="43">
        <f t="shared" si="43"/>
        <v>1</v>
      </c>
      <c r="O353" s="43">
        <f t="shared" si="44"/>
        <v>0</v>
      </c>
      <c r="P353" s="113" t="e">
        <f t="shared" si="45"/>
        <v>#DIV/0!</v>
      </c>
      <c r="Q353" s="113" t="e">
        <f t="shared" si="46"/>
        <v>#DIV/0!</v>
      </c>
      <c r="R353" s="113" t="e">
        <f t="shared" si="47"/>
        <v>#DIV/0!</v>
      </c>
      <c r="S353" s="113" t="e">
        <f t="shared" si="48"/>
        <v>#DIV/0!</v>
      </c>
      <c r="T353" s="43">
        <f t="shared" si="41"/>
        <v>0</v>
      </c>
      <c r="U353" s="43"/>
      <c r="V353" s="525" t="e">
        <f>P353*('upper bound Kenaga'!$F$36/100)</f>
        <v>#DIV/0!</v>
      </c>
      <c r="W353" s="43"/>
      <c r="X353" s="525" t="e">
        <f>P353*('upper bound Kenaga'!$F$96/100)</f>
        <v>#DIV/0!</v>
      </c>
      <c r="Y353" s="43"/>
      <c r="Z353" s="43"/>
      <c r="AA353" s="43"/>
    </row>
    <row r="354" spans="13:27" ht="12.75">
      <c r="M354" s="43">
        <f t="shared" si="42"/>
        <v>333</v>
      </c>
      <c r="N354" s="43">
        <f t="shared" si="43"/>
        <v>1</v>
      </c>
      <c r="O354" s="43">
        <f t="shared" si="44"/>
        <v>0</v>
      </c>
      <c r="P354" s="113" t="e">
        <f t="shared" si="45"/>
        <v>#DIV/0!</v>
      </c>
      <c r="Q354" s="113" t="e">
        <f t="shared" si="46"/>
        <v>#DIV/0!</v>
      </c>
      <c r="R354" s="113" t="e">
        <f t="shared" si="47"/>
        <v>#DIV/0!</v>
      </c>
      <c r="S354" s="113" t="e">
        <f t="shared" si="48"/>
        <v>#DIV/0!</v>
      </c>
      <c r="T354" s="43">
        <f t="shared" si="41"/>
        <v>0</v>
      </c>
      <c r="U354" s="43"/>
      <c r="V354" s="525" t="e">
        <f>P354*('upper bound Kenaga'!$F$36/100)</f>
        <v>#DIV/0!</v>
      </c>
      <c r="W354" s="43"/>
      <c r="X354" s="525" t="e">
        <f>P354*('upper bound Kenaga'!$F$96/100)</f>
        <v>#DIV/0!</v>
      </c>
      <c r="Y354" s="43"/>
      <c r="Z354" s="43"/>
      <c r="AA354" s="43"/>
    </row>
    <row r="355" spans="13:27" ht="12.75">
      <c r="M355" s="43">
        <f t="shared" si="42"/>
        <v>334</v>
      </c>
      <c r="N355" s="43">
        <f t="shared" si="43"/>
        <v>1</v>
      </c>
      <c r="O355" s="43">
        <f t="shared" si="44"/>
        <v>0</v>
      </c>
      <c r="P355" s="113" t="e">
        <f t="shared" si="45"/>
        <v>#DIV/0!</v>
      </c>
      <c r="Q355" s="113" t="e">
        <f t="shared" si="46"/>
        <v>#DIV/0!</v>
      </c>
      <c r="R355" s="113" t="e">
        <f t="shared" si="47"/>
        <v>#DIV/0!</v>
      </c>
      <c r="S355" s="113" t="e">
        <f t="shared" si="48"/>
        <v>#DIV/0!</v>
      </c>
      <c r="T355" s="43">
        <f t="shared" si="41"/>
        <v>0</v>
      </c>
      <c r="U355" s="43"/>
      <c r="V355" s="525" t="e">
        <f>P355*('upper bound Kenaga'!$F$36/100)</f>
        <v>#DIV/0!</v>
      </c>
      <c r="W355" s="43"/>
      <c r="X355" s="525" t="e">
        <f>P355*('upper bound Kenaga'!$F$96/100)</f>
        <v>#DIV/0!</v>
      </c>
      <c r="Y355" s="43"/>
      <c r="Z355" s="43"/>
      <c r="AA355" s="43"/>
    </row>
    <row r="356" spans="13:27" ht="12.75">
      <c r="M356" s="43">
        <f t="shared" si="42"/>
        <v>335</v>
      </c>
      <c r="N356" s="43">
        <f t="shared" si="43"/>
        <v>1</v>
      </c>
      <c r="O356" s="43">
        <f t="shared" si="44"/>
        <v>0</v>
      </c>
      <c r="P356" s="113" t="e">
        <f t="shared" si="45"/>
        <v>#DIV/0!</v>
      </c>
      <c r="Q356" s="113" t="e">
        <f t="shared" si="46"/>
        <v>#DIV/0!</v>
      </c>
      <c r="R356" s="113" t="e">
        <f t="shared" si="47"/>
        <v>#DIV/0!</v>
      </c>
      <c r="S356" s="113" t="e">
        <f t="shared" si="48"/>
        <v>#DIV/0!</v>
      </c>
      <c r="T356" s="43">
        <f t="shared" si="41"/>
        <v>0</v>
      </c>
      <c r="U356" s="43"/>
      <c r="V356" s="525" t="e">
        <f>P356*('upper bound Kenaga'!$F$36/100)</f>
        <v>#DIV/0!</v>
      </c>
      <c r="W356" s="43"/>
      <c r="X356" s="525" t="e">
        <f>P356*('upper bound Kenaga'!$F$96/100)</f>
        <v>#DIV/0!</v>
      </c>
      <c r="Y356" s="43"/>
      <c r="Z356" s="43"/>
      <c r="AA356" s="43"/>
    </row>
    <row r="357" spans="13:27" ht="12.75">
      <c r="M357" s="43">
        <f t="shared" si="42"/>
        <v>336</v>
      </c>
      <c r="N357" s="43">
        <f t="shared" si="43"/>
        <v>1</v>
      </c>
      <c r="O357" s="43">
        <f t="shared" si="44"/>
        <v>0</v>
      </c>
      <c r="P357" s="113" t="e">
        <f t="shared" si="45"/>
        <v>#DIV/0!</v>
      </c>
      <c r="Q357" s="113" t="e">
        <f t="shared" si="46"/>
        <v>#DIV/0!</v>
      </c>
      <c r="R357" s="113" t="e">
        <f t="shared" si="47"/>
        <v>#DIV/0!</v>
      </c>
      <c r="S357" s="113" t="e">
        <f t="shared" si="48"/>
        <v>#DIV/0!</v>
      </c>
      <c r="T357" s="43">
        <f t="shared" si="41"/>
        <v>0</v>
      </c>
      <c r="U357" s="43"/>
      <c r="V357" s="525" t="e">
        <f>P357*('upper bound Kenaga'!$F$36/100)</f>
        <v>#DIV/0!</v>
      </c>
      <c r="W357" s="43"/>
      <c r="X357" s="525" t="e">
        <f>P357*('upper bound Kenaga'!$F$96/100)</f>
        <v>#DIV/0!</v>
      </c>
      <c r="Y357" s="43"/>
      <c r="Z357" s="43"/>
      <c r="AA357" s="43"/>
    </row>
    <row r="358" spans="13:27" ht="12.75">
      <c r="M358" s="43">
        <f t="shared" si="42"/>
        <v>337</v>
      </c>
      <c r="N358" s="43">
        <f t="shared" si="43"/>
        <v>1</v>
      </c>
      <c r="O358" s="43">
        <f t="shared" si="44"/>
        <v>0</v>
      </c>
      <c r="P358" s="113" t="e">
        <f t="shared" si="45"/>
        <v>#DIV/0!</v>
      </c>
      <c r="Q358" s="113" t="e">
        <f t="shared" si="46"/>
        <v>#DIV/0!</v>
      </c>
      <c r="R358" s="113" t="e">
        <f t="shared" si="47"/>
        <v>#DIV/0!</v>
      </c>
      <c r="S358" s="113" t="e">
        <f t="shared" si="48"/>
        <v>#DIV/0!</v>
      </c>
      <c r="T358" s="43">
        <f t="shared" si="41"/>
        <v>0</v>
      </c>
      <c r="U358" s="43"/>
      <c r="V358" s="525" t="e">
        <f>P358*('upper bound Kenaga'!$F$36/100)</f>
        <v>#DIV/0!</v>
      </c>
      <c r="W358" s="43"/>
      <c r="X358" s="525" t="e">
        <f>P358*('upper bound Kenaga'!$F$96/100)</f>
        <v>#DIV/0!</v>
      </c>
      <c r="Y358" s="43"/>
      <c r="Z358" s="43"/>
      <c r="AA358" s="43"/>
    </row>
    <row r="359" spans="13:27" ht="12.75">
      <c r="M359" s="43">
        <f t="shared" si="42"/>
        <v>338</v>
      </c>
      <c r="N359" s="43">
        <f t="shared" si="43"/>
        <v>1</v>
      </c>
      <c r="O359" s="43">
        <f t="shared" si="44"/>
        <v>0</v>
      </c>
      <c r="P359" s="113" t="e">
        <f t="shared" si="45"/>
        <v>#DIV/0!</v>
      </c>
      <c r="Q359" s="113" t="e">
        <f t="shared" si="46"/>
        <v>#DIV/0!</v>
      </c>
      <c r="R359" s="113" t="e">
        <f t="shared" si="47"/>
        <v>#DIV/0!</v>
      </c>
      <c r="S359" s="113" t="e">
        <f t="shared" si="48"/>
        <v>#DIV/0!</v>
      </c>
      <c r="T359" s="43">
        <f t="shared" si="41"/>
        <v>0</v>
      </c>
      <c r="U359" s="43"/>
      <c r="V359" s="525" t="e">
        <f>P359*('upper bound Kenaga'!$F$36/100)</f>
        <v>#DIV/0!</v>
      </c>
      <c r="W359" s="43"/>
      <c r="X359" s="525" t="e">
        <f>P359*('upper bound Kenaga'!$F$96/100)</f>
        <v>#DIV/0!</v>
      </c>
      <c r="Y359" s="43"/>
      <c r="Z359" s="43"/>
      <c r="AA359" s="43"/>
    </row>
    <row r="360" spans="13:27" ht="12.75">
      <c r="M360" s="43">
        <f t="shared" si="42"/>
        <v>339</v>
      </c>
      <c r="N360" s="43">
        <f t="shared" si="43"/>
        <v>1</v>
      </c>
      <c r="O360" s="43">
        <f t="shared" si="44"/>
        <v>0</v>
      </c>
      <c r="P360" s="113" t="e">
        <f t="shared" si="45"/>
        <v>#DIV/0!</v>
      </c>
      <c r="Q360" s="113" t="e">
        <f t="shared" si="46"/>
        <v>#DIV/0!</v>
      </c>
      <c r="R360" s="113" t="e">
        <f t="shared" si="47"/>
        <v>#DIV/0!</v>
      </c>
      <c r="S360" s="113" t="e">
        <f t="shared" si="48"/>
        <v>#DIV/0!</v>
      </c>
      <c r="T360" s="43">
        <f t="shared" si="41"/>
        <v>0</v>
      </c>
      <c r="U360" s="43"/>
      <c r="V360" s="525" t="e">
        <f>P360*('upper bound Kenaga'!$F$36/100)</f>
        <v>#DIV/0!</v>
      </c>
      <c r="W360" s="43"/>
      <c r="X360" s="525" t="e">
        <f>P360*('upper bound Kenaga'!$F$96/100)</f>
        <v>#DIV/0!</v>
      </c>
      <c r="Y360" s="43"/>
      <c r="Z360" s="43"/>
      <c r="AA360" s="43"/>
    </row>
    <row r="361" spans="13:27" ht="12.75">
      <c r="M361" s="43">
        <f t="shared" si="42"/>
        <v>340</v>
      </c>
      <c r="N361" s="43">
        <f t="shared" si="43"/>
        <v>1</v>
      </c>
      <c r="O361" s="43">
        <f t="shared" si="44"/>
        <v>0</v>
      </c>
      <c r="P361" s="113" t="e">
        <f t="shared" si="45"/>
        <v>#DIV/0!</v>
      </c>
      <c r="Q361" s="113" t="e">
        <f t="shared" si="46"/>
        <v>#DIV/0!</v>
      </c>
      <c r="R361" s="113" t="e">
        <f t="shared" si="47"/>
        <v>#DIV/0!</v>
      </c>
      <c r="S361" s="113" t="e">
        <f t="shared" si="48"/>
        <v>#DIV/0!</v>
      </c>
      <c r="T361" s="43">
        <f t="shared" si="41"/>
        <v>0</v>
      </c>
      <c r="U361" s="43"/>
      <c r="V361" s="525" t="e">
        <f>P361*('upper bound Kenaga'!$F$36/100)</f>
        <v>#DIV/0!</v>
      </c>
      <c r="W361" s="43"/>
      <c r="X361" s="525" t="e">
        <f>P361*('upper bound Kenaga'!$F$96/100)</f>
        <v>#DIV/0!</v>
      </c>
      <c r="Y361" s="43"/>
      <c r="Z361" s="43"/>
      <c r="AA361" s="43"/>
    </row>
    <row r="362" spans="13:27" ht="12.75">
      <c r="M362" s="43">
        <f t="shared" si="42"/>
        <v>341</v>
      </c>
      <c r="N362" s="43">
        <f t="shared" si="43"/>
        <v>1</v>
      </c>
      <c r="O362" s="43">
        <f t="shared" si="44"/>
        <v>0</v>
      </c>
      <c r="P362" s="113" t="e">
        <f t="shared" si="45"/>
        <v>#DIV/0!</v>
      </c>
      <c r="Q362" s="113" t="e">
        <f t="shared" si="46"/>
        <v>#DIV/0!</v>
      </c>
      <c r="R362" s="113" t="e">
        <f t="shared" si="47"/>
        <v>#DIV/0!</v>
      </c>
      <c r="S362" s="113" t="e">
        <f t="shared" si="48"/>
        <v>#DIV/0!</v>
      </c>
      <c r="T362" s="43">
        <f t="shared" si="41"/>
        <v>0</v>
      </c>
      <c r="U362" s="43"/>
      <c r="V362" s="525" t="e">
        <f>P362*('upper bound Kenaga'!$F$36/100)</f>
        <v>#DIV/0!</v>
      </c>
      <c r="W362" s="43"/>
      <c r="X362" s="525" t="e">
        <f>P362*('upper bound Kenaga'!$F$96/100)</f>
        <v>#DIV/0!</v>
      </c>
      <c r="Y362" s="43"/>
      <c r="Z362" s="43"/>
      <c r="AA362" s="43"/>
    </row>
    <row r="363" spans="13:27" ht="12.75">
      <c r="M363" s="43">
        <f t="shared" si="42"/>
        <v>342</v>
      </c>
      <c r="N363" s="43">
        <f t="shared" si="43"/>
        <v>1</v>
      </c>
      <c r="O363" s="43">
        <f t="shared" si="44"/>
        <v>0</v>
      </c>
      <c r="P363" s="113" t="e">
        <f t="shared" si="45"/>
        <v>#DIV/0!</v>
      </c>
      <c r="Q363" s="113" t="e">
        <f t="shared" si="46"/>
        <v>#DIV/0!</v>
      </c>
      <c r="R363" s="113" t="e">
        <f t="shared" si="47"/>
        <v>#DIV/0!</v>
      </c>
      <c r="S363" s="113" t="e">
        <f t="shared" si="48"/>
        <v>#DIV/0!</v>
      </c>
      <c r="T363" s="43">
        <f t="shared" si="41"/>
        <v>0</v>
      </c>
      <c r="U363" s="43"/>
      <c r="V363" s="525" t="e">
        <f>P363*('upper bound Kenaga'!$F$36/100)</f>
        <v>#DIV/0!</v>
      </c>
      <c r="W363" s="43"/>
      <c r="X363" s="525" t="e">
        <f>P363*('upper bound Kenaga'!$F$96/100)</f>
        <v>#DIV/0!</v>
      </c>
      <c r="Y363" s="43"/>
      <c r="Z363" s="43"/>
      <c r="AA363" s="43"/>
    </row>
    <row r="364" spans="13:27" ht="12.75">
      <c r="M364" s="43">
        <f t="shared" si="42"/>
        <v>343</v>
      </c>
      <c r="N364" s="43">
        <f t="shared" si="43"/>
        <v>1</v>
      </c>
      <c r="O364" s="43">
        <f t="shared" si="44"/>
        <v>0</v>
      </c>
      <c r="P364" s="113" t="e">
        <f t="shared" si="45"/>
        <v>#DIV/0!</v>
      </c>
      <c r="Q364" s="113" t="e">
        <f t="shared" si="46"/>
        <v>#DIV/0!</v>
      </c>
      <c r="R364" s="113" t="e">
        <f t="shared" si="47"/>
        <v>#DIV/0!</v>
      </c>
      <c r="S364" s="113" t="e">
        <f t="shared" si="48"/>
        <v>#DIV/0!</v>
      </c>
      <c r="T364" s="43">
        <f t="shared" si="41"/>
        <v>0</v>
      </c>
      <c r="U364" s="43"/>
      <c r="V364" s="525" t="e">
        <f>P364*('upper bound Kenaga'!$F$36/100)</f>
        <v>#DIV/0!</v>
      </c>
      <c r="W364" s="43"/>
      <c r="X364" s="525" t="e">
        <f>P364*('upper bound Kenaga'!$F$96/100)</f>
        <v>#DIV/0!</v>
      </c>
      <c r="Y364" s="43"/>
      <c r="Z364" s="43"/>
      <c r="AA364" s="43"/>
    </row>
    <row r="365" spans="13:27" ht="12.75">
      <c r="M365" s="43">
        <f t="shared" si="42"/>
        <v>344</v>
      </c>
      <c r="N365" s="43">
        <f t="shared" si="43"/>
        <v>1</v>
      </c>
      <c r="O365" s="43">
        <f t="shared" si="44"/>
        <v>0</v>
      </c>
      <c r="P365" s="113" t="e">
        <f t="shared" si="45"/>
        <v>#DIV/0!</v>
      </c>
      <c r="Q365" s="113" t="e">
        <f t="shared" si="46"/>
        <v>#DIV/0!</v>
      </c>
      <c r="R365" s="113" t="e">
        <f t="shared" si="47"/>
        <v>#DIV/0!</v>
      </c>
      <c r="S365" s="113" t="e">
        <f t="shared" si="48"/>
        <v>#DIV/0!</v>
      </c>
      <c r="T365" s="43">
        <f t="shared" si="41"/>
        <v>0</v>
      </c>
      <c r="U365" s="43"/>
      <c r="V365" s="525" t="e">
        <f>P365*('upper bound Kenaga'!$F$36/100)</f>
        <v>#DIV/0!</v>
      </c>
      <c r="W365" s="43"/>
      <c r="X365" s="525" t="e">
        <f>P365*('upper bound Kenaga'!$F$96/100)</f>
        <v>#DIV/0!</v>
      </c>
      <c r="Y365" s="43"/>
      <c r="Z365" s="43"/>
      <c r="AA365" s="43"/>
    </row>
    <row r="366" spans="13:27" ht="12.75">
      <c r="M366" s="43">
        <f t="shared" si="42"/>
        <v>345</v>
      </c>
      <c r="N366" s="43">
        <f t="shared" si="43"/>
        <v>1</v>
      </c>
      <c r="O366" s="43">
        <f t="shared" si="44"/>
        <v>0</v>
      </c>
      <c r="P366" s="113" t="e">
        <f t="shared" si="45"/>
        <v>#DIV/0!</v>
      </c>
      <c r="Q366" s="113" t="e">
        <f t="shared" si="46"/>
        <v>#DIV/0!</v>
      </c>
      <c r="R366" s="113" t="e">
        <f t="shared" si="47"/>
        <v>#DIV/0!</v>
      </c>
      <c r="S366" s="113" t="e">
        <f t="shared" si="48"/>
        <v>#DIV/0!</v>
      </c>
      <c r="T366" s="43">
        <f t="shared" si="41"/>
        <v>0</v>
      </c>
      <c r="U366" s="43"/>
      <c r="V366" s="525" t="e">
        <f>P366*('upper bound Kenaga'!$F$36/100)</f>
        <v>#DIV/0!</v>
      </c>
      <c r="W366" s="43"/>
      <c r="X366" s="525" t="e">
        <f>P366*('upper bound Kenaga'!$F$96/100)</f>
        <v>#DIV/0!</v>
      </c>
      <c r="Y366" s="43"/>
      <c r="Z366" s="43"/>
      <c r="AA366" s="43"/>
    </row>
    <row r="367" spans="13:27" ht="12.75">
      <c r="M367" s="43">
        <f t="shared" si="42"/>
        <v>346</v>
      </c>
      <c r="N367" s="43">
        <f t="shared" si="43"/>
        <v>1</v>
      </c>
      <c r="O367" s="43">
        <f t="shared" si="44"/>
        <v>0</v>
      </c>
      <c r="P367" s="113" t="e">
        <f t="shared" si="45"/>
        <v>#DIV/0!</v>
      </c>
      <c r="Q367" s="113" t="e">
        <f t="shared" si="46"/>
        <v>#DIV/0!</v>
      </c>
      <c r="R367" s="113" t="e">
        <f t="shared" si="47"/>
        <v>#DIV/0!</v>
      </c>
      <c r="S367" s="113" t="e">
        <f t="shared" si="48"/>
        <v>#DIV/0!</v>
      </c>
      <c r="T367" s="43">
        <f t="shared" si="41"/>
        <v>0</v>
      </c>
      <c r="U367" s="43"/>
      <c r="V367" s="525" t="e">
        <f>P367*('upper bound Kenaga'!$F$36/100)</f>
        <v>#DIV/0!</v>
      </c>
      <c r="W367" s="43"/>
      <c r="X367" s="525" t="e">
        <f>P367*('upper bound Kenaga'!$F$96/100)</f>
        <v>#DIV/0!</v>
      </c>
      <c r="Y367" s="43"/>
      <c r="Z367" s="43"/>
      <c r="AA367" s="43"/>
    </row>
    <row r="368" spans="13:27" ht="12.75">
      <c r="M368" s="43">
        <f t="shared" si="42"/>
        <v>347</v>
      </c>
      <c r="N368" s="43">
        <f t="shared" si="43"/>
        <v>1</v>
      </c>
      <c r="O368" s="43">
        <f t="shared" si="44"/>
        <v>0</v>
      </c>
      <c r="P368" s="113" t="e">
        <f t="shared" si="45"/>
        <v>#DIV/0!</v>
      </c>
      <c r="Q368" s="113" t="e">
        <f t="shared" si="46"/>
        <v>#DIV/0!</v>
      </c>
      <c r="R368" s="113" t="e">
        <f t="shared" si="47"/>
        <v>#DIV/0!</v>
      </c>
      <c r="S368" s="113" t="e">
        <f t="shared" si="48"/>
        <v>#DIV/0!</v>
      </c>
      <c r="T368" s="43">
        <f t="shared" si="41"/>
        <v>0</v>
      </c>
      <c r="U368" s="43"/>
      <c r="V368" s="525" t="e">
        <f>P368*('upper bound Kenaga'!$F$36/100)</f>
        <v>#DIV/0!</v>
      </c>
      <c r="W368" s="43"/>
      <c r="X368" s="525" t="e">
        <f>P368*('upper bound Kenaga'!$F$96/100)</f>
        <v>#DIV/0!</v>
      </c>
      <c r="Y368" s="43"/>
      <c r="Z368" s="43"/>
      <c r="AA368" s="43"/>
    </row>
    <row r="369" spans="13:27" ht="12.75">
      <c r="M369" s="43">
        <f t="shared" si="42"/>
        <v>348</v>
      </c>
      <c r="N369" s="43">
        <f t="shared" si="43"/>
        <v>1</v>
      </c>
      <c r="O369" s="43">
        <f t="shared" si="44"/>
        <v>0</v>
      </c>
      <c r="P369" s="113" t="e">
        <f t="shared" si="45"/>
        <v>#DIV/0!</v>
      </c>
      <c r="Q369" s="113" t="e">
        <f t="shared" si="46"/>
        <v>#DIV/0!</v>
      </c>
      <c r="R369" s="113" t="e">
        <f t="shared" si="47"/>
        <v>#DIV/0!</v>
      </c>
      <c r="S369" s="113" t="e">
        <f t="shared" si="48"/>
        <v>#DIV/0!</v>
      </c>
      <c r="T369" s="43">
        <f t="shared" si="41"/>
        <v>0</v>
      </c>
      <c r="U369" s="43"/>
      <c r="V369" s="525" t="e">
        <f>P369*('upper bound Kenaga'!$F$36/100)</f>
        <v>#DIV/0!</v>
      </c>
      <c r="W369" s="43"/>
      <c r="X369" s="525" t="e">
        <f>P369*('upper bound Kenaga'!$F$96/100)</f>
        <v>#DIV/0!</v>
      </c>
      <c r="Y369" s="43"/>
      <c r="Z369" s="43"/>
      <c r="AA369" s="43"/>
    </row>
    <row r="370" spans="13:27" ht="12.75">
      <c r="M370" s="43">
        <f t="shared" si="42"/>
        <v>349</v>
      </c>
      <c r="N370" s="43">
        <f t="shared" si="43"/>
        <v>1</v>
      </c>
      <c r="O370" s="43">
        <f t="shared" si="44"/>
        <v>0</v>
      </c>
      <c r="P370" s="113" t="e">
        <f t="shared" si="45"/>
        <v>#DIV/0!</v>
      </c>
      <c r="Q370" s="113" t="e">
        <f t="shared" si="46"/>
        <v>#DIV/0!</v>
      </c>
      <c r="R370" s="113" t="e">
        <f t="shared" si="47"/>
        <v>#DIV/0!</v>
      </c>
      <c r="S370" s="113" t="e">
        <f t="shared" si="48"/>
        <v>#DIV/0!</v>
      </c>
      <c r="T370" s="43">
        <f t="shared" si="41"/>
        <v>0</v>
      </c>
      <c r="U370" s="43"/>
      <c r="V370" s="525" t="e">
        <f>P370*('upper bound Kenaga'!$F$36/100)</f>
        <v>#DIV/0!</v>
      </c>
      <c r="W370" s="43"/>
      <c r="X370" s="525" t="e">
        <f>P370*('upper bound Kenaga'!$F$96/100)</f>
        <v>#DIV/0!</v>
      </c>
      <c r="Y370" s="43"/>
      <c r="Z370" s="43"/>
      <c r="AA370" s="43"/>
    </row>
    <row r="371" spans="13:27" ht="12.75">
      <c r="M371" s="43">
        <f t="shared" si="42"/>
        <v>350</v>
      </c>
      <c r="N371" s="43">
        <f t="shared" si="43"/>
        <v>1</v>
      </c>
      <c r="O371" s="43">
        <f t="shared" si="44"/>
        <v>0</v>
      </c>
      <c r="P371" s="113" t="e">
        <f t="shared" si="45"/>
        <v>#DIV/0!</v>
      </c>
      <c r="Q371" s="113" t="e">
        <f t="shared" si="46"/>
        <v>#DIV/0!</v>
      </c>
      <c r="R371" s="113" t="e">
        <f t="shared" si="47"/>
        <v>#DIV/0!</v>
      </c>
      <c r="S371" s="113" t="e">
        <f t="shared" si="48"/>
        <v>#DIV/0!</v>
      </c>
      <c r="T371" s="43">
        <f t="shared" si="41"/>
        <v>0</v>
      </c>
      <c r="U371" s="43"/>
      <c r="V371" s="525" t="e">
        <f>P371*('upper bound Kenaga'!$F$36/100)</f>
        <v>#DIV/0!</v>
      </c>
      <c r="W371" s="43"/>
      <c r="X371" s="525" t="e">
        <f>P371*('upper bound Kenaga'!$F$96/100)</f>
        <v>#DIV/0!</v>
      </c>
      <c r="Y371" s="43"/>
      <c r="Z371" s="43"/>
      <c r="AA371" s="43"/>
    </row>
    <row r="372" spans="13:27" ht="12.75">
      <c r="M372" s="43">
        <f t="shared" si="42"/>
        <v>351</v>
      </c>
      <c r="N372" s="43">
        <f t="shared" si="43"/>
        <v>1</v>
      </c>
      <c r="O372" s="43">
        <f t="shared" si="44"/>
        <v>0</v>
      </c>
      <c r="P372" s="113" t="e">
        <f t="shared" si="45"/>
        <v>#DIV/0!</v>
      </c>
      <c r="Q372" s="113" t="e">
        <f t="shared" si="46"/>
        <v>#DIV/0!</v>
      </c>
      <c r="R372" s="113" t="e">
        <f t="shared" si="47"/>
        <v>#DIV/0!</v>
      </c>
      <c r="S372" s="113" t="e">
        <f t="shared" si="48"/>
        <v>#DIV/0!</v>
      </c>
      <c r="T372" s="43">
        <f t="shared" si="41"/>
        <v>0</v>
      </c>
      <c r="U372" s="43"/>
      <c r="V372" s="525" t="e">
        <f>P372*('upper bound Kenaga'!$F$36/100)</f>
        <v>#DIV/0!</v>
      </c>
      <c r="W372" s="43"/>
      <c r="X372" s="525" t="e">
        <f>P372*('upper bound Kenaga'!$F$96/100)</f>
        <v>#DIV/0!</v>
      </c>
      <c r="Y372" s="43"/>
      <c r="Z372" s="43"/>
      <c r="AA372" s="43"/>
    </row>
    <row r="373" spans="13:27" ht="12.75">
      <c r="M373" s="43">
        <f t="shared" si="42"/>
        <v>352</v>
      </c>
      <c r="N373" s="43">
        <f t="shared" si="43"/>
        <v>1</v>
      </c>
      <c r="O373" s="43">
        <f t="shared" si="44"/>
        <v>0</v>
      </c>
      <c r="P373" s="113" t="e">
        <f t="shared" si="45"/>
        <v>#DIV/0!</v>
      </c>
      <c r="Q373" s="113" t="e">
        <f t="shared" si="46"/>
        <v>#DIV/0!</v>
      </c>
      <c r="R373" s="113" t="e">
        <f t="shared" si="47"/>
        <v>#DIV/0!</v>
      </c>
      <c r="S373" s="113" t="e">
        <f t="shared" si="48"/>
        <v>#DIV/0!</v>
      </c>
      <c r="T373" s="43">
        <f t="shared" si="41"/>
        <v>0</v>
      </c>
      <c r="U373" s="43"/>
      <c r="V373" s="525" t="e">
        <f>P373*('upper bound Kenaga'!$F$36/100)</f>
        <v>#DIV/0!</v>
      </c>
      <c r="W373" s="43"/>
      <c r="X373" s="525" t="e">
        <f>P373*('upper bound Kenaga'!$F$96/100)</f>
        <v>#DIV/0!</v>
      </c>
      <c r="Y373" s="43"/>
      <c r="Z373" s="43"/>
      <c r="AA373" s="43"/>
    </row>
    <row r="374" spans="13:27" ht="12.75">
      <c r="M374" s="43">
        <f t="shared" si="42"/>
        <v>353</v>
      </c>
      <c r="N374" s="43">
        <f t="shared" si="43"/>
        <v>1</v>
      </c>
      <c r="O374" s="43">
        <f t="shared" si="44"/>
        <v>0</v>
      </c>
      <c r="P374" s="113" t="e">
        <f t="shared" si="45"/>
        <v>#DIV/0!</v>
      </c>
      <c r="Q374" s="113" t="e">
        <f t="shared" si="46"/>
        <v>#DIV/0!</v>
      </c>
      <c r="R374" s="113" t="e">
        <f t="shared" si="47"/>
        <v>#DIV/0!</v>
      </c>
      <c r="S374" s="113" t="e">
        <f t="shared" si="48"/>
        <v>#DIV/0!</v>
      </c>
      <c r="T374" s="43">
        <f t="shared" si="41"/>
        <v>0</v>
      </c>
      <c r="U374" s="43"/>
      <c r="V374" s="525" t="e">
        <f>P374*('upper bound Kenaga'!$F$36/100)</f>
        <v>#DIV/0!</v>
      </c>
      <c r="W374" s="43"/>
      <c r="X374" s="525" t="e">
        <f>P374*('upper bound Kenaga'!$F$96/100)</f>
        <v>#DIV/0!</v>
      </c>
      <c r="Y374" s="43"/>
      <c r="Z374" s="43"/>
      <c r="AA374" s="43"/>
    </row>
    <row r="375" spans="13:27" ht="12.75">
      <c r="M375" s="43">
        <f t="shared" si="42"/>
        <v>354</v>
      </c>
      <c r="N375" s="43">
        <f t="shared" si="43"/>
        <v>1</v>
      </c>
      <c r="O375" s="43">
        <f t="shared" si="44"/>
        <v>0</v>
      </c>
      <c r="P375" s="113" t="e">
        <f t="shared" si="45"/>
        <v>#DIV/0!</v>
      </c>
      <c r="Q375" s="113" t="e">
        <f t="shared" si="46"/>
        <v>#DIV/0!</v>
      </c>
      <c r="R375" s="113" t="e">
        <f t="shared" si="47"/>
        <v>#DIV/0!</v>
      </c>
      <c r="S375" s="113" t="e">
        <f t="shared" si="48"/>
        <v>#DIV/0!</v>
      </c>
      <c r="T375" s="43">
        <f t="shared" si="41"/>
        <v>0</v>
      </c>
      <c r="U375" s="43"/>
      <c r="V375" s="525" t="e">
        <f>P375*('upper bound Kenaga'!$F$36/100)</f>
        <v>#DIV/0!</v>
      </c>
      <c r="W375" s="43"/>
      <c r="X375" s="525" t="e">
        <f>P375*('upper bound Kenaga'!$F$96/100)</f>
        <v>#DIV/0!</v>
      </c>
      <c r="Y375" s="43"/>
      <c r="Z375" s="43"/>
      <c r="AA375" s="43"/>
    </row>
    <row r="376" spans="13:27" ht="12.75">
      <c r="M376" s="43">
        <f t="shared" si="42"/>
        <v>355</v>
      </c>
      <c r="N376" s="43">
        <f t="shared" si="43"/>
        <v>1</v>
      </c>
      <c r="O376" s="43">
        <f t="shared" si="44"/>
        <v>0</v>
      </c>
      <c r="P376" s="113" t="e">
        <f t="shared" si="45"/>
        <v>#DIV/0!</v>
      </c>
      <c r="Q376" s="113" t="e">
        <f t="shared" si="46"/>
        <v>#DIV/0!</v>
      </c>
      <c r="R376" s="113" t="e">
        <f t="shared" si="47"/>
        <v>#DIV/0!</v>
      </c>
      <c r="S376" s="113" t="e">
        <f t="shared" si="48"/>
        <v>#DIV/0!</v>
      </c>
      <c r="T376" s="43">
        <f t="shared" si="41"/>
        <v>0</v>
      </c>
      <c r="U376" s="43"/>
      <c r="V376" s="525" t="e">
        <f>P376*('upper bound Kenaga'!$F$36/100)</f>
        <v>#DIV/0!</v>
      </c>
      <c r="W376" s="43"/>
      <c r="X376" s="525" t="e">
        <f>P376*('upper bound Kenaga'!$F$96/100)</f>
        <v>#DIV/0!</v>
      </c>
      <c r="Y376" s="43"/>
      <c r="Z376" s="43"/>
      <c r="AA376" s="43"/>
    </row>
    <row r="377" spans="13:27" ht="12.75">
      <c r="M377" s="43">
        <f t="shared" si="42"/>
        <v>356</v>
      </c>
      <c r="N377" s="43">
        <f t="shared" si="43"/>
        <v>1</v>
      </c>
      <c r="O377" s="43">
        <f t="shared" si="44"/>
        <v>0</v>
      </c>
      <c r="P377" s="113" t="e">
        <f t="shared" si="45"/>
        <v>#DIV/0!</v>
      </c>
      <c r="Q377" s="113" t="e">
        <f t="shared" si="46"/>
        <v>#DIV/0!</v>
      </c>
      <c r="R377" s="113" t="e">
        <f t="shared" si="47"/>
        <v>#DIV/0!</v>
      </c>
      <c r="S377" s="113" t="e">
        <f t="shared" si="48"/>
        <v>#DIV/0!</v>
      </c>
      <c r="T377" s="43">
        <f t="shared" si="41"/>
        <v>0</v>
      </c>
      <c r="U377" s="43"/>
      <c r="V377" s="525" t="e">
        <f>P377*('upper bound Kenaga'!$F$36/100)</f>
        <v>#DIV/0!</v>
      </c>
      <c r="W377" s="43"/>
      <c r="X377" s="525" t="e">
        <f>P377*('upper bound Kenaga'!$F$96/100)</f>
        <v>#DIV/0!</v>
      </c>
      <c r="Y377" s="43"/>
      <c r="Z377" s="43"/>
      <c r="AA377" s="43"/>
    </row>
    <row r="378" spans="13:27" ht="12.75">
      <c r="M378" s="43">
        <f t="shared" si="42"/>
        <v>357</v>
      </c>
      <c r="N378" s="43">
        <f t="shared" si="43"/>
        <v>1</v>
      </c>
      <c r="O378" s="43">
        <f t="shared" si="44"/>
        <v>0</v>
      </c>
      <c r="P378" s="113" t="e">
        <f t="shared" si="45"/>
        <v>#DIV/0!</v>
      </c>
      <c r="Q378" s="113" t="e">
        <f t="shared" si="46"/>
        <v>#DIV/0!</v>
      </c>
      <c r="R378" s="113" t="e">
        <f t="shared" si="47"/>
        <v>#DIV/0!</v>
      </c>
      <c r="S378" s="113" t="e">
        <f t="shared" si="48"/>
        <v>#DIV/0!</v>
      </c>
      <c r="T378" s="43">
        <f t="shared" si="41"/>
        <v>0</v>
      </c>
      <c r="U378" s="43"/>
      <c r="V378" s="525" t="e">
        <f>P378*('upper bound Kenaga'!$F$36/100)</f>
        <v>#DIV/0!</v>
      </c>
      <c r="W378" s="43"/>
      <c r="X378" s="525" t="e">
        <f>P378*('upper bound Kenaga'!$F$96/100)</f>
        <v>#DIV/0!</v>
      </c>
      <c r="Y378" s="43"/>
      <c r="Z378" s="43"/>
      <c r="AA378" s="43"/>
    </row>
    <row r="379" spans="13:27" ht="12.75">
      <c r="M379" s="43">
        <f t="shared" si="42"/>
        <v>358</v>
      </c>
      <c r="N379" s="43">
        <f t="shared" si="43"/>
        <v>1</v>
      </c>
      <c r="O379" s="43">
        <f t="shared" si="44"/>
        <v>0</v>
      </c>
      <c r="P379" s="113" t="e">
        <f t="shared" si="45"/>
        <v>#DIV/0!</v>
      </c>
      <c r="Q379" s="113" t="e">
        <f t="shared" si="46"/>
        <v>#DIV/0!</v>
      </c>
      <c r="R379" s="113" t="e">
        <f t="shared" si="47"/>
        <v>#DIV/0!</v>
      </c>
      <c r="S379" s="113" t="e">
        <f t="shared" si="48"/>
        <v>#DIV/0!</v>
      </c>
      <c r="T379" s="43">
        <f t="shared" si="41"/>
        <v>0</v>
      </c>
      <c r="U379" s="43"/>
      <c r="V379" s="525" t="e">
        <f>P379*('upper bound Kenaga'!$F$36/100)</f>
        <v>#DIV/0!</v>
      </c>
      <c r="W379" s="43"/>
      <c r="X379" s="525" t="e">
        <f>P379*('upper bound Kenaga'!$F$96/100)</f>
        <v>#DIV/0!</v>
      </c>
      <c r="Y379" s="43"/>
      <c r="Z379" s="43"/>
      <c r="AA379" s="43"/>
    </row>
    <row r="380" spans="13:27" ht="12.75">
      <c r="M380" s="43">
        <f t="shared" si="42"/>
        <v>359</v>
      </c>
      <c r="N380" s="43">
        <f t="shared" si="43"/>
        <v>1</v>
      </c>
      <c r="O380" s="43">
        <f t="shared" si="44"/>
        <v>0</v>
      </c>
      <c r="P380" s="113" t="e">
        <f t="shared" si="45"/>
        <v>#DIV/0!</v>
      </c>
      <c r="Q380" s="113" t="e">
        <f t="shared" si="46"/>
        <v>#DIV/0!</v>
      </c>
      <c r="R380" s="113" t="e">
        <f t="shared" si="47"/>
        <v>#DIV/0!</v>
      </c>
      <c r="S380" s="113" t="e">
        <f t="shared" si="48"/>
        <v>#DIV/0!</v>
      </c>
      <c r="T380" s="43">
        <f t="shared" si="41"/>
        <v>0</v>
      </c>
      <c r="U380" s="43"/>
      <c r="V380" s="525" t="e">
        <f>P380*('upper bound Kenaga'!$F$36/100)</f>
        <v>#DIV/0!</v>
      </c>
      <c r="W380" s="43"/>
      <c r="X380" s="525" t="e">
        <f>P380*('upper bound Kenaga'!$F$96/100)</f>
        <v>#DIV/0!</v>
      </c>
      <c r="Y380" s="43"/>
      <c r="Z380" s="43"/>
      <c r="AA380" s="43"/>
    </row>
    <row r="381" spans="13:27" ht="12.75">
      <c r="M381" s="43">
        <f t="shared" si="42"/>
        <v>360</v>
      </c>
      <c r="N381" s="43">
        <f t="shared" si="43"/>
        <v>1</v>
      </c>
      <c r="O381" s="43">
        <f t="shared" si="44"/>
        <v>0</v>
      </c>
      <c r="P381" s="113" t="e">
        <f t="shared" si="45"/>
        <v>#DIV/0!</v>
      </c>
      <c r="Q381" s="113" t="e">
        <f t="shared" si="46"/>
        <v>#DIV/0!</v>
      </c>
      <c r="R381" s="113" t="e">
        <f t="shared" si="47"/>
        <v>#DIV/0!</v>
      </c>
      <c r="S381" s="113" t="e">
        <f t="shared" si="48"/>
        <v>#DIV/0!</v>
      </c>
      <c r="T381" s="43">
        <f t="shared" si="41"/>
        <v>0</v>
      </c>
      <c r="U381" s="43"/>
      <c r="V381" s="525" t="e">
        <f>P381*('upper bound Kenaga'!$F$36/100)</f>
        <v>#DIV/0!</v>
      </c>
      <c r="W381" s="43"/>
      <c r="X381" s="525" t="e">
        <f>P381*('upper bound Kenaga'!$F$96/100)</f>
        <v>#DIV/0!</v>
      </c>
      <c r="Y381" s="43"/>
      <c r="Z381" s="43"/>
      <c r="AA381" s="43"/>
    </row>
    <row r="382" spans="13:27" ht="12.75">
      <c r="M382" s="43">
        <f t="shared" si="42"/>
        <v>361</v>
      </c>
      <c r="N382" s="43">
        <f t="shared" si="43"/>
        <v>1</v>
      </c>
      <c r="O382" s="43">
        <f t="shared" si="44"/>
        <v>0</v>
      </c>
      <c r="P382" s="113" t="e">
        <f t="shared" si="45"/>
        <v>#DIV/0!</v>
      </c>
      <c r="Q382" s="113" t="e">
        <f t="shared" si="46"/>
        <v>#DIV/0!</v>
      </c>
      <c r="R382" s="113" t="e">
        <f t="shared" si="47"/>
        <v>#DIV/0!</v>
      </c>
      <c r="S382" s="113" t="e">
        <f t="shared" si="48"/>
        <v>#DIV/0!</v>
      </c>
      <c r="T382" s="43">
        <f t="shared" si="41"/>
        <v>0</v>
      </c>
      <c r="U382" s="43"/>
      <c r="V382" s="525" t="e">
        <f>P382*('upper bound Kenaga'!$F$36/100)</f>
        <v>#DIV/0!</v>
      </c>
      <c r="W382" s="43"/>
      <c r="X382" s="525" t="e">
        <f>P382*('upper bound Kenaga'!$F$96/100)</f>
        <v>#DIV/0!</v>
      </c>
      <c r="Y382" s="43"/>
      <c r="Z382" s="43"/>
      <c r="AA382" s="43"/>
    </row>
    <row r="383" spans="13:27" ht="12.75">
      <c r="M383" s="43">
        <f t="shared" si="42"/>
        <v>362</v>
      </c>
      <c r="N383" s="43">
        <f t="shared" si="43"/>
        <v>1</v>
      </c>
      <c r="O383" s="43">
        <f t="shared" si="44"/>
        <v>0</v>
      </c>
      <c r="P383" s="113" t="e">
        <f t="shared" si="45"/>
        <v>#DIV/0!</v>
      </c>
      <c r="Q383" s="113" t="e">
        <f t="shared" si="46"/>
        <v>#DIV/0!</v>
      </c>
      <c r="R383" s="113" t="e">
        <f t="shared" si="47"/>
        <v>#DIV/0!</v>
      </c>
      <c r="S383" s="113" t="e">
        <f t="shared" si="48"/>
        <v>#DIV/0!</v>
      </c>
      <c r="T383" s="43">
        <f t="shared" si="41"/>
        <v>0</v>
      </c>
      <c r="U383" s="43"/>
      <c r="V383" s="525" t="e">
        <f>P383*('upper bound Kenaga'!$F$36/100)</f>
        <v>#DIV/0!</v>
      </c>
      <c r="W383" s="43"/>
      <c r="X383" s="525" t="e">
        <f>P383*('upper bound Kenaga'!$F$96/100)</f>
        <v>#DIV/0!</v>
      </c>
      <c r="Y383" s="43"/>
      <c r="Z383" s="43"/>
      <c r="AA383" s="43"/>
    </row>
    <row r="384" spans="13:27" ht="12.75">
      <c r="M384" s="43">
        <f t="shared" si="42"/>
        <v>363</v>
      </c>
      <c r="N384" s="43">
        <f t="shared" si="43"/>
        <v>1</v>
      </c>
      <c r="O384" s="43">
        <f t="shared" si="44"/>
        <v>0</v>
      </c>
      <c r="P384" s="113" t="e">
        <f t="shared" si="45"/>
        <v>#DIV/0!</v>
      </c>
      <c r="Q384" s="113" t="e">
        <f t="shared" si="46"/>
        <v>#DIV/0!</v>
      </c>
      <c r="R384" s="113" t="e">
        <f t="shared" si="47"/>
        <v>#DIV/0!</v>
      </c>
      <c r="S384" s="113" t="e">
        <f t="shared" si="48"/>
        <v>#DIV/0!</v>
      </c>
      <c r="T384" s="43">
        <f t="shared" si="41"/>
        <v>0</v>
      </c>
      <c r="U384" s="43"/>
      <c r="V384" s="525" t="e">
        <f>P384*('upper bound Kenaga'!$F$36/100)</f>
        <v>#DIV/0!</v>
      </c>
      <c r="W384" s="43"/>
      <c r="X384" s="525" t="e">
        <f>P384*('upper bound Kenaga'!$F$96/100)</f>
        <v>#DIV/0!</v>
      </c>
      <c r="Y384" s="43"/>
      <c r="Z384" s="43"/>
      <c r="AA384" s="43"/>
    </row>
    <row r="385" spans="13:27" ht="12.75">
      <c r="M385" s="43">
        <f t="shared" si="42"/>
        <v>364</v>
      </c>
      <c r="N385" s="43">
        <f t="shared" si="43"/>
        <v>1</v>
      </c>
      <c r="O385" s="43">
        <f t="shared" si="44"/>
        <v>0</v>
      </c>
      <c r="P385" s="113" t="e">
        <f t="shared" si="45"/>
        <v>#DIV/0!</v>
      </c>
      <c r="Q385" s="113" t="e">
        <f t="shared" si="46"/>
        <v>#DIV/0!</v>
      </c>
      <c r="R385" s="113" t="e">
        <f t="shared" si="47"/>
        <v>#DIV/0!</v>
      </c>
      <c r="S385" s="113" t="e">
        <f t="shared" si="48"/>
        <v>#DIV/0!</v>
      </c>
      <c r="T385" s="43">
        <f t="shared" si="41"/>
        <v>0</v>
      </c>
      <c r="U385" s="43"/>
      <c r="V385" s="525" t="e">
        <f>P385*('upper bound Kenaga'!$F$36/100)</f>
        <v>#DIV/0!</v>
      </c>
      <c r="W385" s="43"/>
      <c r="X385" s="525" t="e">
        <f>P385*('upper bound Kenaga'!$F$96/100)</f>
        <v>#DIV/0!</v>
      </c>
      <c r="Y385" s="43"/>
      <c r="Z385" s="43"/>
      <c r="AA385" s="43"/>
    </row>
    <row r="386" spans="13:27" ht="12.75">
      <c r="M386" s="43">
        <f t="shared" si="42"/>
        <v>365</v>
      </c>
      <c r="N386" s="43">
        <f t="shared" si="43"/>
        <v>1</v>
      </c>
      <c r="O386" s="43">
        <f t="shared" si="44"/>
        <v>0</v>
      </c>
      <c r="P386" s="113" t="e">
        <f t="shared" si="45"/>
        <v>#DIV/0!</v>
      </c>
      <c r="Q386" s="113" t="e">
        <f t="shared" si="46"/>
        <v>#DIV/0!</v>
      </c>
      <c r="R386" s="113" t="e">
        <f t="shared" si="47"/>
        <v>#DIV/0!</v>
      </c>
      <c r="S386" s="113" t="e">
        <f t="shared" si="48"/>
        <v>#DIV/0!</v>
      </c>
      <c r="T386" s="43">
        <f t="shared" si="41"/>
        <v>0</v>
      </c>
      <c r="U386" s="43"/>
      <c r="V386" s="525" t="e">
        <f>P386*('upper bound Kenaga'!$F$36/100)</f>
        <v>#DIV/0!</v>
      </c>
      <c r="W386" s="43"/>
      <c r="X386" s="525" t="e">
        <f>P386*('upper bound Kenaga'!$F$96/100)</f>
        <v>#DIV/0!</v>
      </c>
      <c r="Y386" s="43"/>
      <c r="Z386" s="43"/>
      <c r="AA386" s="43"/>
    </row>
    <row r="387" spans="21:27" ht="12.75">
      <c r="U387" s="43"/>
      <c r="V387" s="43"/>
      <c r="W387" s="43"/>
      <c r="X387" s="43"/>
      <c r="Y387" s="43"/>
      <c r="Z387" s="43"/>
      <c r="AA387" s="43"/>
    </row>
    <row r="388" spans="21:27" ht="12.75">
      <c r="U388" s="43"/>
      <c r="V388" s="43"/>
      <c r="W388" s="43"/>
      <c r="X388" s="43"/>
      <c r="Y388" s="43"/>
      <c r="Z388" s="43"/>
      <c r="AA388" s="43"/>
    </row>
    <row r="389" spans="21:27" ht="12.75">
      <c r="U389" s="43"/>
      <c r="V389" s="43"/>
      <c r="W389" s="43"/>
      <c r="X389" s="43"/>
      <c r="Y389" s="43"/>
      <c r="Z389" s="43"/>
      <c r="AA389" s="43"/>
    </row>
    <row r="390" spans="21:27" ht="12.75">
      <c r="U390" s="43"/>
      <c r="V390" s="43"/>
      <c r="W390" s="43"/>
      <c r="X390" s="43"/>
      <c r="Y390" s="43"/>
      <c r="Z390" s="43"/>
      <c r="AA390" s="43"/>
    </row>
  </sheetData>
  <sheetProtection password="F155" sheet="1" objects="1" scenarios="1" formatCells="0" formatColumns="0" formatRows="0"/>
  <mergeCells count="35">
    <mergeCell ref="A1:C2"/>
    <mergeCell ref="A44:A46"/>
    <mergeCell ref="A25:A26"/>
    <mergeCell ref="B22:C22"/>
    <mergeCell ref="B23:C23"/>
    <mergeCell ref="A20:A23"/>
    <mergeCell ref="B21:C21"/>
    <mergeCell ref="A15:A18"/>
    <mergeCell ref="B3:C3"/>
    <mergeCell ref="B4:C4"/>
    <mergeCell ref="B5:C5"/>
    <mergeCell ref="B12:C12"/>
    <mergeCell ref="A52:A53"/>
    <mergeCell ref="A13:D14"/>
    <mergeCell ref="B20:C20"/>
    <mergeCell ref="B52:D52"/>
    <mergeCell ref="A60:A62"/>
    <mergeCell ref="B104:G104"/>
    <mergeCell ref="B105:D105"/>
    <mergeCell ref="U14:Y14"/>
    <mergeCell ref="A104:A106"/>
    <mergeCell ref="B60:C61"/>
    <mergeCell ref="E45:G45"/>
    <mergeCell ref="B44:G44"/>
    <mergeCell ref="F60:G60"/>
    <mergeCell ref="D60:E60"/>
    <mergeCell ref="B121:C121"/>
    <mergeCell ref="D121:E121"/>
    <mergeCell ref="F121:G121"/>
    <mergeCell ref="A121:A123"/>
    <mergeCell ref="A112:A114"/>
    <mergeCell ref="E105:G105"/>
    <mergeCell ref="B112:C112"/>
    <mergeCell ref="D112:E112"/>
    <mergeCell ref="F112:G112"/>
  </mergeCells>
  <printOptions/>
  <pageMargins left="0.75" right="0.75" top="0.5" bottom="0.76" header="0.28" footer="0.26"/>
  <pageSetup fitToHeight="2" horizontalDpi="600" verticalDpi="600" orientation="portrait" scale="56" r:id="rId4"/>
  <headerFooter alignWithMargins="0">
    <oddHeader>&amp;C&amp;Z&amp;F</oddHeader>
    <oddFooter>&amp;C&amp;A&amp;RPage &amp;P</oddFooter>
  </headerFooter>
  <rowBreaks count="1" manualBreakCount="1">
    <brk id="90" max="7"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tabColor indexed="46"/>
    <pageSetUpPr fitToPage="1"/>
  </sheetPr>
  <dimension ref="A1:T61"/>
  <sheetViews>
    <sheetView workbookViewId="0" topLeftCell="A1">
      <selection activeCell="D6" sqref="D6"/>
    </sheetView>
  </sheetViews>
  <sheetFormatPr defaultColWidth="9.140625" defaultRowHeight="12.75"/>
  <cols>
    <col min="2" max="2" width="14.140625" style="0" customWidth="1"/>
    <col min="4" max="4" width="11.57421875" style="0" customWidth="1"/>
    <col min="7" max="7" width="12.28125" style="0" customWidth="1"/>
    <col min="8" max="8" width="11.28125" style="0" customWidth="1"/>
  </cols>
  <sheetData>
    <row r="1" spans="1:20" ht="15.75">
      <c r="A1" s="44"/>
      <c r="B1" s="158" t="s">
        <v>117</v>
      </c>
      <c r="C1" s="159">
        <f>'upper bound Kenaga'!B3</f>
        <v>0</v>
      </c>
      <c r="D1" s="14"/>
      <c r="E1" s="44"/>
      <c r="F1" s="44"/>
      <c r="G1" s="44"/>
      <c r="H1" s="44"/>
      <c r="I1" s="44"/>
      <c r="J1" s="44"/>
      <c r="K1" s="44"/>
      <c r="L1" s="44"/>
      <c r="M1" s="44"/>
      <c r="N1" s="44"/>
      <c r="O1" s="44"/>
      <c r="P1" s="44"/>
      <c r="Q1" s="44"/>
      <c r="R1" s="44"/>
      <c r="S1" s="44"/>
      <c r="T1" s="44"/>
    </row>
    <row r="2" spans="1:20" ht="12.75">
      <c r="A2" s="44"/>
      <c r="B2" s="14"/>
      <c r="C2" s="14"/>
      <c r="D2" s="14"/>
      <c r="E2" s="44"/>
      <c r="F2" s="44"/>
      <c r="G2" s="44"/>
      <c r="H2" s="44"/>
      <c r="I2" s="44"/>
      <c r="J2" s="44"/>
      <c r="K2" s="44"/>
      <c r="L2" s="44"/>
      <c r="M2" s="44"/>
      <c r="N2" s="44"/>
      <c r="O2" s="44"/>
      <c r="P2" s="44"/>
      <c r="Q2" s="44"/>
      <c r="R2" s="44"/>
      <c r="S2" s="44"/>
      <c r="T2" s="44"/>
    </row>
    <row r="3" spans="1:20" ht="15.75">
      <c r="A3" s="44"/>
      <c r="B3" s="955" t="s">
        <v>114</v>
      </c>
      <c r="C3" s="956"/>
      <c r="D3" s="160"/>
      <c r="E3" s="115"/>
      <c r="F3" s="115"/>
      <c r="G3" s="115"/>
      <c r="H3" s="115"/>
      <c r="I3" s="115"/>
      <c r="J3" s="60"/>
      <c r="K3" s="44"/>
      <c r="L3" s="44"/>
      <c r="M3" s="44"/>
      <c r="N3" s="44"/>
      <c r="O3" s="44"/>
      <c r="P3" s="44"/>
      <c r="Q3" s="44"/>
      <c r="R3" s="44"/>
      <c r="S3" s="44"/>
      <c r="T3" s="44"/>
    </row>
    <row r="4" spans="1:20" ht="16.5" thickBot="1">
      <c r="A4" s="44"/>
      <c r="B4" s="114"/>
      <c r="C4" s="59"/>
      <c r="D4" s="115"/>
      <c r="E4" s="115"/>
      <c r="F4" s="115"/>
      <c r="G4" s="115"/>
      <c r="H4" s="115"/>
      <c r="I4" s="115"/>
      <c r="J4" s="60"/>
      <c r="K4" s="44"/>
      <c r="L4" s="44"/>
      <c r="M4" s="44"/>
      <c r="N4" s="44"/>
      <c r="O4" s="44"/>
      <c r="P4" s="44"/>
      <c r="Q4" s="44"/>
      <c r="R4" s="44"/>
      <c r="S4" s="44"/>
      <c r="T4" s="44"/>
    </row>
    <row r="5" spans="1:20" ht="16.5" thickBot="1">
      <c r="A5" s="44"/>
      <c r="B5" s="531" t="s">
        <v>215</v>
      </c>
      <c r="C5" s="532" t="s">
        <v>260</v>
      </c>
      <c r="D5" s="532"/>
      <c r="E5" s="532"/>
      <c r="F5" s="533"/>
      <c r="G5" s="44"/>
      <c r="H5" s="177" t="s">
        <v>276</v>
      </c>
      <c r="I5" s="178"/>
      <c r="J5" s="178"/>
      <c r="K5" s="179"/>
      <c r="L5" s="44"/>
      <c r="M5" s="44"/>
      <c r="N5" s="44"/>
      <c r="O5" s="44"/>
      <c r="P5" s="44"/>
      <c r="Q5" s="44"/>
      <c r="R5" s="44"/>
      <c r="S5" s="44"/>
      <c r="T5" s="44"/>
    </row>
    <row r="6" spans="1:20" ht="15.75">
      <c r="A6" s="44"/>
      <c r="B6" s="969" t="s">
        <v>104</v>
      </c>
      <c r="C6" s="970"/>
      <c r="D6" s="125">
        <f>INPUTS!B10</f>
        <v>0</v>
      </c>
      <c r="E6" s="527" t="s">
        <v>392</v>
      </c>
      <c r="F6" s="127"/>
      <c r="G6" s="44"/>
      <c r="H6" s="180" t="s">
        <v>353</v>
      </c>
      <c r="I6" s="176"/>
      <c r="J6" s="176"/>
      <c r="K6" s="181"/>
      <c r="L6" s="44"/>
      <c r="M6" s="44"/>
      <c r="N6" s="44"/>
      <c r="O6" s="44"/>
      <c r="P6" s="44"/>
      <c r="Q6" s="44"/>
      <c r="R6" s="44"/>
      <c r="S6" s="44"/>
      <c r="T6" s="44"/>
    </row>
    <row r="7" spans="1:20" ht="12.75">
      <c r="A7" s="44"/>
      <c r="B7" s="963" t="s">
        <v>216</v>
      </c>
      <c r="C7" s="965"/>
      <c r="D7" s="528">
        <f>INPUTS!B9</f>
        <v>0</v>
      </c>
      <c r="E7" s="60"/>
      <c r="F7" s="87"/>
      <c r="G7" s="252">
        <f>IF(INPUTS!$D$28="","Warning! You Have Failed to Enter a Toxicity Scaling Factor on the Inputs Page","")</f>
      </c>
      <c r="I7" s="251"/>
      <c r="J7" s="251"/>
      <c r="K7" s="251"/>
      <c r="L7" s="44"/>
      <c r="M7" s="44"/>
      <c r="N7" s="44"/>
      <c r="O7" s="44"/>
      <c r="P7" s="44"/>
      <c r="Q7" s="44"/>
      <c r="R7" s="44"/>
      <c r="S7" s="44"/>
      <c r="T7" s="44"/>
    </row>
    <row r="8" spans="1:20" ht="12.75">
      <c r="A8" s="44"/>
      <c r="B8" s="963" t="s">
        <v>218</v>
      </c>
      <c r="C8" s="964"/>
      <c r="D8" s="529">
        <f>'upper bound Kenaga'!C46</f>
        <v>0</v>
      </c>
      <c r="E8" s="85" t="s">
        <v>223</v>
      </c>
      <c r="F8" s="87"/>
      <c r="G8" s="205">
        <f>IF(INPUTS!$F$24=0,"",IF(INPUTS!$D$24&lt;3,"NOTE:Toxicity adjustments not based on standard assumed test animal body weight",""))</f>
      </c>
      <c r="H8" s="44"/>
      <c r="I8" s="44"/>
      <c r="J8" s="44"/>
      <c r="K8" s="44"/>
      <c r="L8" s="44"/>
      <c r="M8" s="44"/>
      <c r="N8" s="44"/>
      <c r="O8" s="44"/>
      <c r="P8" s="44"/>
      <c r="Q8" s="44"/>
      <c r="R8" s="44"/>
      <c r="S8" s="44"/>
      <c r="T8" s="44"/>
    </row>
    <row r="9" spans="1:20" ht="12.75">
      <c r="A9" s="44"/>
      <c r="B9" s="963" t="s">
        <v>219</v>
      </c>
      <c r="C9" s="964"/>
      <c r="D9" s="529">
        <f>'upper bound Kenaga'!C47</f>
        <v>0</v>
      </c>
      <c r="E9" s="85"/>
      <c r="F9" s="87"/>
      <c r="G9" s="210">
        <f>IF(INPUTS!$F$24=0,"",IF(INPUTS!$D$24&lt;3,"NOTE:Toxicity adjustments not based on standard assumed test animal body weight",""))</f>
      </c>
      <c r="H9" s="44"/>
      <c r="I9" s="44"/>
      <c r="J9" s="44"/>
      <c r="K9" s="44"/>
      <c r="L9" s="44"/>
      <c r="M9" s="44"/>
      <c r="N9" s="44"/>
      <c r="O9" s="44"/>
      <c r="P9" s="44"/>
      <c r="Q9" s="44"/>
      <c r="R9" s="44"/>
      <c r="S9" s="44"/>
      <c r="T9" s="44"/>
    </row>
    <row r="10" spans="1:20" ht="12.75">
      <c r="A10" s="44"/>
      <c r="B10" s="963" t="s">
        <v>220</v>
      </c>
      <c r="C10" s="964"/>
      <c r="D10" s="529">
        <f>'upper bound Kenaga'!C48</f>
        <v>0</v>
      </c>
      <c r="E10" s="85"/>
      <c r="F10" s="87"/>
      <c r="G10" s="205">
        <f>IF(INPUTS!$F$24=0,"",IF(INPUTS!$D$24&lt;3,"NOTE:Toxicity adjustments not based on standard assumed test animal body weight",""))</f>
      </c>
      <c r="H10" s="44"/>
      <c r="I10" s="44"/>
      <c r="J10" s="44"/>
      <c r="K10" s="44"/>
      <c r="L10" s="44"/>
      <c r="M10" s="44"/>
      <c r="N10" s="44"/>
      <c r="O10" s="44"/>
      <c r="P10" s="44"/>
      <c r="Q10" s="44"/>
      <c r="R10" s="44"/>
      <c r="S10" s="44"/>
      <c r="T10" s="44"/>
    </row>
    <row r="11" spans="1:20" ht="12.75">
      <c r="A11" s="44"/>
      <c r="B11" s="963" t="s">
        <v>221</v>
      </c>
      <c r="C11" s="964"/>
      <c r="D11" s="529">
        <f>'upper bound Kenaga'!D105</f>
        <v>0</v>
      </c>
      <c r="E11" s="85" t="s">
        <v>223</v>
      </c>
      <c r="F11" s="87"/>
      <c r="G11" s="44"/>
      <c r="H11" s="44"/>
      <c r="I11" s="44"/>
      <c r="J11" s="44"/>
      <c r="K11" s="44"/>
      <c r="L11" s="44"/>
      <c r="M11" s="44"/>
      <c r="N11" s="44"/>
      <c r="O11" s="44"/>
      <c r="P11" s="44"/>
      <c r="Q11" s="44"/>
      <c r="R11" s="44"/>
      <c r="S11" s="44"/>
      <c r="T11" s="44"/>
    </row>
    <row r="12" spans="1:20" ht="12.75">
      <c r="A12" s="44"/>
      <c r="B12" s="963" t="s">
        <v>222</v>
      </c>
      <c r="C12" s="964"/>
      <c r="D12" s="529">
        <f>'upper bound Kenaga'!D106</f>
        <v>0</v>
      </c>
      <c r="E12" s="85"/>
      <c r="F12" s="87"/>
      <c r="G12" s="44"/>
      <c r="H12" s="44"/>
      <c r="I12" s="44"/>
      <c r="J12" s="44"/>
      <c r="K12" s="44"/>
      <c r="L12" s="44"/>
      <c r="M12" s="44"/>
      <c r="N12" s="44"/>
      <c r="O12" s="44"/>
      <c r="P12" s="44"/>
      <c r="Q12" s="44"/>
      <c r="R12" s="44"/>
      <c r="S12" s="44"/>
      <c r="T12" s="44"/>
    </row>
    <row r="13" spans="1:20" ht="12.75">
      <c r="A13" s="44"/>
      <c r="B13" s="963" t="s">
        <v>220</v>
      </c>
      <c r="C13" s="964"/>
      <c r="D13" s="529">
        <f>'upper bound Kenaga'!D107</f>
        <v>0</v>
      </c>
      <c r="E13" s="85"/>
      <c r="F13" s="87"/>
      <c r="G13" s="44"/>
      <c r="H13" s="44"/>
      <c r="I13" s="44"/>
      <c r="J13" s="44"/>
      <c r="K13" s="44"/>
      <c r="L13" s="44"/>
      <c r="M13" s="44"/>
      <c r="N13" s="44"/>
      <c r="O13" s="44"/>
      <c r="P13" s="44"/>
      <c r="Q13" s="44"/>
      <c r="R13" s="44"/>
      <c r="S13" s="44"/>
      <c r="T13" s="44"/>
    </row>
    <row r="14" spans="1:20" ht="12.75">
      <c r="A14" s="44"/>
      <c r="B14" s="963" t="s">
        <v>105</v>
      </c>
      <c r="C14" s="964"/>
      <c r="D14" s="98">
        <f>INPUTS!D46</f>
        <v>0</v>
      </c>
      <c r="E14" s="85" t="s">
        <v>110</v>
      </c>
      <c r="F14" s="87"/>
      <c r="G14" s="44"/>
      <c r="H14" s="44"/>
      <c r="I14" s="44"/>
      <c r="J14" s="44"/>
      <c r="K14" s="44"/>
      <c r="L14" s="44"/>
      <c r="M14" s="44"/>
      <c r="N14" s="44"/>
      <c r="O14" s="44"/>
      <c r="P14" s="44"/>
      <c r="Q14" s="44"/>
      <c r="R14" s="44"/>
      <c r="S14" s="44"/>
      <c r="T14" s="44"/>
    </row>
    <row r="15" spans="1:20" ht="12.75">
      <c r="A15" s="44"/>
      <c r="B15" s="963" t="s">
        <v>106</v>
      </c>
      <c r="C15" s="964"/>
      <c r="D15" s="98">
        <f>INPUTS!D47</f>
        <v>0</v>
      </c>
      <c r="E15" s="85" t="s">
        <v>110</v>
      </c>
      <c r="F15" s="87"/>
      <c r="G15" s="44"/>
      <c r="H15" s="44"/>
      <c r="I15" s="44"/>
      <c r="J15" s="44"/>
      <c r="K15" s="44"/>
      <c r="L15" s="44"/>
      <c r="M15" s="44"/>
      <c r="N15" s="44"/>
      <c r="O15" s="44"/>
      <c r="P15" s="44"/>
      <c r="Q15" s="44"/>
      <c r="R15" s="44"/>
      <c r="S15" s="44"/>
      <c r="T15" s="44"/>
    </row>
    <row r="16" spans="1:20" ht="13.5" thickBot="1">
      <c r="A16" s="44"/>
      <c r="B16" s="809" t="s">
        <v>107</v>
      </c>
      <c r="C16" s="981"/>
      <c r="D16" s="530">
        <f>1-INPUTS!D48</f>
        <v>1</v>
      </c>
      <c r="E16" s="83"/>
      <c r="F16" s="84"/>
      <c r="G16" s="44"/>
      <c r="H16" s="44"/>
      <c r="I16" s="44"/>
      <c r="J16" s="44"/>
      <c r="K16" s="44"/>
      <c r="L16" s="44"/>
      <c r="M16" s="44"/>
      <c r="N16" s="44"/>
      <c r="O16" s="44"/>
      <c r="P16" s="44"/>
      <c r="Q16" s="44"/>
      <c r="R16" s="44"/>
      <c r="S16" s="44"/>
      <c r="T16" s="44"/>
    </row>
    <row r="17" spans="1:20" ht="13.5" thickBot="1">
      <c r="A17" s="44"/>
      <c r="B17" s="86"/>
      <c r="C17" s="117"/>
      <c r="D17" s="98"/>
      <c r="E17" s="60"/>
      <c r="F17" s="60"/>
      <c r="G17" s="44"/>
      <c r="H17" s="44"/>
      <c r="I17" s="44"/>
      <c r="J17" s="44"/>
      <c r="K17" s="44"/>
      <c r="L17" s="44"/>
      <c r="M17" s="44"/>
      <c r="N17" s="44"/>
      <c r="O17" s="44"/>
      <c r="P17" s="44"/>
      <c r="Q17" s="44"/>
      <c r="R17" s="44"/>
      <c r="S17" s="44"/>
      <c r="T17" s="44"/>
    </row>
    <row r="18" spans="1:20" ht="15.75">
      <c r="A18" s="44"/>
      <c r="B18" s="123" t="s">
        <v>212</v>
      </c>
      <c r="C18" s="124"/>
      <c r="D18" s="125"/>
      <c r="E18" s="126"/>
      <c r="F18" s="126"/>
      <c r="G18" s="126"/>
      <c r="H18" s="126"/>
      <c r="I18" s="126"/>
      <c r="J18" s="127"/>
      <c r="K18" s="44"/>
      <c r="L18" s="44"/>
      <c r="M18" s="44"/>
      <c r="N18" s="44"/>
      <c r="O18" s="44"/>
      <c r="P18" s="44"/>
      <c r="Q18" s="44"/>
      <c r="R18" s="44"/>
      <c r="S18" s="44"/>
      <c r="T18" s="44"/>
    </row>
    <row r="19" spans="1:20" ht="16.5" thickBot="1">
      <c r="A19" s="44"/>
      <c r="B19" s="128"/>
      <c r="C19" s="115"/>
      <c r="D19" s="115"/>
      <c r="E19" s="115"/>
      <c r="F19" s="115"/>
      <c r="G19" s="115"/>
      <c r="H19" s="60"/>
      <c r="I19" s="60"/>
      <c r="J19" s="87"/>
      <c r="K19" s="44"/>
      <c r="L19" s="44"/>
      <c r="M19" s="44"/>
      <c r="N19" s="44"/>
      <c r="O19" s="44"/>
      <c r="P19" s="44"/>
      <c r="Q19" s="44"/>
      <c r="R19" s="44"/>
      <c r="S19" s="44"/>
      <c r="T19" s="44"/>
    </row>
    <row r="20" spans="1:20" ht="16.5" thickBot="1">
      <c r="A20" s="44"/>
      <c r="B20" s="987" t="str">
        <f>IF(AND(INPUTS!C42=2,INPUTS!D43="yes"),"Liquid",IF(AND(INPUTS!C42=2,INPUTS!D43="no"),"N/A","Granular"))</f>
        <v>Liquid</v>
      </c>
      <c r="C20" s="988"/>
      <c r="D20" s="988"/>
      <c r="E20" s="989"/>
      <c r="F20" s="44"/>
      <c r="G20" s="974" t="str">
        <f>IF(INPUTS!D43="yes","N/A","Liquid")</f>
        <v>N/A</v>
      </c>
      <c r="H20" s="975"/>
      <c r="I20" s="975"/>
      <c r="J20" s="976"/>
      <c r="K20" s="44"/>
      <c r="L20" s="44"/>
      <c r="M20" s="44"/>
      <c r="N20" s="44"/>
      <c r="O20" s="44"/>
      <c r="P20" s="44"/>
      <c r="Q20" s="44"/>
      <c r="R20" s="44"/>
      <c r="S20" s="44"/>
      <c r="T20" s="44"/>
    </row>
    <row r="21" spans="1:20" ht="12.75">
      <c r="A21" s="44"/>
      <c r="B21" s="966" t="s">
        <v>115</v>
      </c>
      <c r="C21" s="967"/>
      <c r="D21" s="967"/>
      <c r="E21" s="968"/>
      <c r="F21" s="59"/>
      <c r="G21" s="971" t="s">
        <v>115</v>
      </c>
      <c r="H21" s="972"/>
      <c r="I21" s="972"/>
      <c r="J21" s="973"/>
      <c r="K21" s="116"/>
      <c r="L21" s="44"/>
      <c r="M21" s="44"/>
      <c r="N21" s="44"/>
      <c r="O21" s="44"/>
      <c r="P21" s="44"/>
      <c r="Q21" s="44"/>
      <c r="R21" s="44"/>
      <c r="S21" s="44"/>
      <c r="T21" s="44"/>
    </row>
    <row r="22" spans="1:20" ht="12.75">
      <c r="A22" s="44"/>
      <c r="B22" s="957" t="s">
        <v>224</v>
      </c>
      <c r="C22" s="958"/>
      <c r="D22" s="959" t="str">
        <f>IF(INPUTS!C41=1,"N/A",IF(AND(INPUTS!C42=2,INPUTS!D43="No"),"N/A",(SQRT(43560))/(D14/12)))</f>
        <v>N/A</v>
      </c>
      <c r="E22" s="960"/>
      <c r="F22" s="59"/>
      <c r="G22" s="963" t="s">
        <v>227</v>
      </c>
      <c r="H22" s="965"/>
      <c r="I22" s="992" t="str">
        <f>IF(INPUTS!C41=1,"N/A",IF(INPUTS!C42=1,"N/A",IF(INPUTS!D43="yes","N/A",INPUTS!D45*28349*D7)))</f>
        <v>N/A</v>
      </c>
      <c r="J22" s="993"/>
      <c r="K22" s="44"/>
      <c r="L22" s="44"/>
      <c r="M22" s="44"/>
      <c r="N22" s="44"/>
      <c r="O22" s="44"/>
      <c r="P22" s="44"/>
      <c r="Q22" s="44"/>
      <c r="R22" s="44"/>
      <c r="S22" s="44"/>
      <c r="T22" s="44"/>
    </row>
    <row r="23" spans="1:20" ht="12.75">
      <c r="A23" s="44"/>
      <c r="B23" s="957" t="s">
        <v>214</v>
      </c>
      <c r="C23" s="958"/>
      <c r="D23" s="961" t="str">
        <f>IF(INPUTS!C41=1,"N/A",IF(AND(INPUTS!C42=2,INPUTS!D43="No"),"N/A",SQRT(43560)))</f>
        <v>N/A</v>
      </c>
      <c r="E23" s="962"/>
      <c r="F23" s="59"/>
      <c r="G23" s="963" t="s">
        <v>228</v>
      </c>
      <c r="H23" s="965"/>
      <c r="I23" s="992" t="str">
        <f>IF(INPUTS!C41=1,"N/A",IF(INPUTS!C42=1,"N/A",IF(INPUTS!D43="yes","N/A",D15/12)))</f>
        <v>N/A</v>
      </c>
      <c r="J23" s="993"/>
      <c r="K23" s="44"/>
      <c r="L23" s="44"/>
      <c r="M23" s="44"/>
      <c r="N23" s="44"/>
      <c r="O23" s="44"/>
      <c r="P23" s="44"/>
      <c r="Q23" s="44"/>
      <c r="R23" s="44"/>
      <c r="S23" s="44"/>
      <c r="T23" s="44"/>
    </row>
    <row r="24" spans="1:20" ht="12.75">
      <c r="A24" s="44"/>
      <c r="B24" s="957" t="s">
        <v>111</v>
      </c>
      <c r="C24" s="958"/>
      <c r="D24" s="961" t="str">
        <f>IF(INPUTS!C41=1,"N/A",IF(AND(INPUTS!C42=2,INPUTS!D43="No"),"N/A",((D6)/((43560)/(D14/12)))*1000))</f>
        <v>N/A</v>
      </c>
      <c r="E24" s="962"/>
      <c r="F24" s="59"/>
      <c r="G24" s="963" t="s">
        <v>229</v>
      </c>
      <c r="H24" s="965"/>
      <c r="I24" s="992" t="str">
        <f>IF(INPUTS!C41=1,"N/A",IF(INPUTS!C42=1,"N/A",IF(INPUTS!D43="yes","N/A",I22/(1000*I23))))</f>
        <v>N/A</v>
      </c>
      <c r="J24" s="993"/>
      <c r="K24" s="44"/>
      <c r="L24" s="44"/>
      <c r="M24" s="44"/>
      <c r="N24" s="44"/>
      <c r="O24" s="44"/>
      <c r="P24" s="44"/>
      <c r="Q24" s="44"/>
      <c r="R24" s="44"/>
      <c r="S24" s="44"/>
      <c r="T24" s="44"/>
    </row>
    <row r="25" spans="1:20" ht="12.75">
      <c r="A25" s="44"/>
      <c r="B25" s="957" t="s">
        <v>116</v>
      </c>
      <c r="C25" s="958"/>
      <c r="D25" s="961" t="str">
        <f>IF(INPUTS!C41=1,"N/A",IF(AND(INPUTS!C42=2,INPUTS!D43="No"),"N/A",D15/12))</f>
        <v>N/A</v>
      </c>
      <c r="E25" s="962"/>
      <c r="F25" s="59"/>
      <c r="G25" s="990" t="s">
        <v>230</v>
      </c>
      <c r="H25" s="991"/>
      <c r="I25" s="994" t="str">
        <f>IF(INPUTS!C41=1,"N/A",IF(INPUTS!C42=1,"N/A",IF(INPUTS!D43="yes","N/A",I24*D16)))</f>
        <v>N/A</v>
      </c>
      <c r="J25" s="995"/>
      <c r="K25" s="44"/>
      <c r="L25" s="44"/>
      <c r="M25" s="44"/>
      <c r="N25" s="44"/>
      <c r="O25" s="44"/>
      <c r="P25" s="44"/>
      <c r="Q25" s="44"/>
      <c r="R25" s="44"/>
      <c r="S25" s="44"/>
      <c r="T25" s="44"/>
    </row>
    <row r="26" spans="1:20" ht="12.75">
      <c r="A26" s="44"/>
      <c r="B26" s="957" t="s">
        <v>112</v>
      </c>
      <c r="C26" s="958"/>
      <c r="D26" s="961" t="str">
        <f>IF(INPUTS!C41=1,"N/A",IF(AND(INPUTS!C42=2,INPUTS!D43="No"),"N/A",(D6*D7*453590)/((D22*D25*D23))))</f>
        <v>N/A</v>
      </c>
      <c r="E26" s="962"/>
      <c r="F26" s="59"/>
      <c r="G26" s="119"/>
      <c r="H26" s="60"/>
      <c r="I26" s="16"/>
      <c r="J26" s="156"/>
      <c r="K26" s="44"/>
      <c r="L26" s="44"/>
      <c r="M26" s="44"/>
      <c r="N26" s="44"/>
      <c r="O26" s="44"/>
      <c r="P26" s="44"/>
      <c r="Q26" s="44"/>
      <c r="R26" s="44"/>
      <c r="S26" s="44"/>
      <c r="T26" s="44"/>
    </row>
    <row r="27" spans="1:20" ht="12.75">
      <c r="A27" s="44"/>
      <c r="B27" s="977" t="s">
        <v>113</v>
      </c>
      <c r="C27" s="978"/>
      <c r="D27" s="979" t="str">
        <f>IF(INPUTS!C41=1,"N/A",IF(AND(INPUTS!C42=2,INPUTS!D43="No"),"N/A",D26*D16))</f>
        <v>N/A</v>
      </c>
      <c r="E27" s="980"/>
      <c r="F27" s="59"/>
      <c r="G27" s="119"/>
      <c r="H27" s="60"/>
      <c r="I27" s="16"/>
      <c r="J27" s="156"/>
      <c r="K27" s="44"/>
      <c r="L27" s="44"/>
      <c r="M27" s="44"/>
      <c r="N27" s="44"/>
      <c r="O27" s="44"/>
      <c r="P27" s="44"/>
      <c r="Q27" s="44"/>
      <c r="R27" s="44"/>
      <c r="S27" s="44"/>
      <c r="T27" s="44"/>
    </row>
    <row r="28" spans="1:20" ht="12.75">
      <c r="A28" s="44"/>
      <c r="B28" s="121"/>
      <c r="C28" s="122"/>
      <c r="D28" s="122"/>
      <c r="E28" s="87"/>
      <c r="F28" s="44"/>
      <c r="G28" s="119"/>
      <c r="H28" s="60"/>
      <c r="I28" s="16"/>
      <c r="J28" s="156"/>
      <c r="K28" s="44"/>
      <c r="L28" s="44"/>
      <c r="M28" s="44"/>
      <c r="N28" s="44"/>
      <c r="O28" s="44"/>
      <c r="P28" s="44"/>
      <c r="Q28" s="44"/>
      <c r="R28" s="44"/>
      <c r="S28" s="44"/>
      <c r="T28" s="44"/>
    </row>
    <row r="29" spans="1:20" ht="15.75">
      <c r="A29" s="44"/>
      <c r="B29" s="719" t="s">
        <v>114</v>
      </c>
      <c r="C29" s="720"/>
      <c r="D29" s="721"/>
      <c r="E29" s="120"/>
      <c r="F29" s="44"/>
      <c r="G29" s="719" t="str">
        <f>IF(G20="N/A","N/A","LD50 ft-2")</f>
        <v>N/A</v>
      </c>
      <c r="H29" s="720"/>
      <c r="I29" s="721"/>
      <c r="J29" s="156"/>
      <c r="K29" s="44"/>
      <c r="L29" s="44"/>
      <c r="M29" s="44"/>
      <c r="N29" s="44"/>
      <c r="O29" s="44"/>
      <c r="P29" s="44"/>
      <c r="Q29" s="44"/>
      <c r="R29" s="44"/>
      <c r="S29" s="44"/>
      <c r="T29" s="44"/>
    </row>
    <row r="30" spans="1:20" ht="12.75">
      <c r="A30" s="44"/>
      <c r="B30" s="722"/>
      <c r="C30" s="723" t="s">
        <v>476</v>
      </c>
      <c r="D30" s="724"/>
      <c r="E30" s="87"/>
      <c r="F30" s="44"/>
      <c r="G30" s="722"/>
      <c r="H30" s="723" t="s">
        <v>476</v>
      </c>
      <c r="I30" s="724"/>
      <c r="J30" s="156"/>
      <c r="K30" s="44"/>
      <c r="L30" s="44"/>
      <c r="M30" s="44"/>
      <c r="N30" s="44"/>
      <c r="O30" s="44"/>
      <c r="P30" s="44"/>
      <c r="Q30" s="44"/>
      <c r="R30" s="44"/>
      <c r="S30" s="44"/>
      <c r="T30" s="44"/>
    </row>
    <row r="31" spans="1:20" ht="12.75">
      <c r="A31" s="44"/>
      <c r="B31" s="725" t="s">
        <v>19</v>
      </c>
      <c r="C31" s="726">
        <f aca="true" t="shared" si="0" ref="C31:C36">C46</f>
        <v>20</v>
      </c>
      <c r="D31" s="454" t="str">
        <f>IF(INPUTS!C41=1,"N/A",IF(AND(INPUTS!C42=2,INPUTS!D43="No"),"N/A",$D$27/($D$8*(C31/1000))))</f>
        <v>N/A</v>
      </c>
      <c r="E31" s="87"/>
      <c r="F31" s="44"/>
      <c r="G31" s="725" t="s">
        <v>19</v>
      </c>
      <c r="H31" s="726">
        <f aca="true" t="shared" si="1" ref="H31:H36">C31</f>
        <v>20</v>
      </c>
      <c r="I31" s="454" t="str">
        <f>IF(INPUTS!C41=1,"N/A",IF(INPUTS!C42=1,"N/A",IF(INPUTS!D43="yes","N/A",I25/($D$8*(H31/1000)))))</f>
        <v>N/A</v>
      </c>
      <c r="J31" s="156"/>
      <c r="K31" s="44"/>
      <c r="L31" s="44"/>
      <c r="M31" s="44"/>
      <c r="N31" s="44"/>
      <c r="O31" s="44"/>
      <c r="P31" s="44"/>
      <c r="Q31" s="44"/>
      <c r="R31" s="44"/>
      <c r="S31" s="44"/>
      <c r="T31" s="44"/>
    </row>
    <row r="32" spans="1:20" ht="12.75">
      <c r="A32" s="44"/>
      <c r="B32" s="727"/>
      <c r="C32" s="726">
        <f t="shared" si="0"/>
        <v>100</v>
      </c>
      <c r="D32" s="427" t="str">
        <f>IF(INPUTS!C41=1,"N/A",IF(AND(INPUTS!C42=2,INPUTS!D43="No"),"N/A",$D$27/(D9*(C32/1000))))</f>
        <v>N/A</v>
      </c>
      <c r="E32" s="87"/>
      <c r="F32" s="44"/>
      <c r="G32" s="727"/>
      <c r="H32" s="726">
        <f t="shared" si="1"/>
        <v>100</v>
      </c>
      <c r="I32" s="427" t="str">
        <f>IF(INPUTS!C41=1,"N/A",IF(INPUTS!C42=1,"N/A",IF(INPUTS!D43="yes","N/A",I25/(D9*(H32/1000)))))</f>
        <v>N/A</v>
      </c>
      <c r="J32" s="156"/>
      <c r="K32" s="44"/>
      <c r="L32" s="44"/>
      <c r="M32" s="44"/>
      <c r="N32" s="44"/>
      <c r="O32" s="44"/>
      <c r="P32" s="44"/>
      <c r="Q32" s="44"/>
      <c r="R32" s="44"/>
      <c r="S32" s="44"/>
      <c r="T32" s="44"/>
    </row>
    <row r="33" spans="1:20" ht="12.75">
      <c r="A33" s="44"/>
      <c r="B33" s="728"/>
      <c r="C33" s="729">
        <f t="shared" si="0"/>
        <v>1000</v>
      </c>
      <c r="D33" s="458" t="str">
        <f>IF(INPUTS!C41=1,"N/A",IF(AND(INPUTS!C42=2,INPUTS!D43="No"),"N/A",$D$27/(D10*(C33/1000))))</f>
        <v>N/A</v>
      </c>
      <c r="E33" s="87"/>
      <c r="F33" s="44"/>
      <c r="G33" s="728"/>
      <c r="H33" s="729">
        <f t="shared" si="1"/>
        <v>1000</v>
      </c>
      <c r="I33" s="458" t="str">
        <f>IF(INPUTS!C41=1,"N/A",IF(INPUTS!C42=1,"N/A",IF(INPUTS!D43="yes","N/A",I25/(D10*(H33/1000)))))</f>
        <v>N/A</v>
      </c>
      <c r="J33" s="156"/>
      <c r="K33" s="44"/>
      <c r="L33" s="44"/>
      <c r="M33" s="44"/>
      <c r="N33" s="44"/>
      <c r="O33" s="44"/>
      <c r="P33" s="44"/>
      <c r="Q33" s="44"/>
      <c r="R33" s="44"/>
      <c r="S33" s="44"/>
      <c r="T33" s="44"/>
    </row>
    <row r="34" spans="1:20" ht="12.75">
      <c r="A34" s="44"/>
      <c r="B34" s="727" t="s">
        <v>103</v>
      </c>
      <c r="C34" s="730">
        <f t="shared" si="0"/>
        <v>15</v>
      </c>
      <c r="D34" s="427" t="str">
        <f>IF(INPUTS!C41=1,"N/A",IF(AND(INPUTS!C42=2,INPUTS!D43="No"),"N/A",$D$27/($D$11*(C34/1000))))</f>
        <v>N/A</v>
      </c>
      <c r="E34" s="87"/>
      <c r="F34" s="44"/>
      <c r="G34" s="727" t="s">
        <v>103</v>
      </c>
      <c r="H34" s="730">
        <f t="shared" si="1"/>
        <v>15</v>
      </c>
      <c r="I34" s="427" t="str">
        <f>IF(INPUTS!C41=1,"N/A",IF(INPUTS!C42=1,"N/A",IF(INPUTS!D43="yes","N/A",I25/($D$11*(H34/1000)))))</f>
        <v>N/A</v>
      </c>
      <c r="J34" s="156"/>
      <c r="K34" s="44"/>
      <c r="L34" s="44"/>
      <c r="M34" s="44"/>
      <c r="N34" s="44"/>
      <c r="O34" s="44"/>
      <c r="P34" s="44"/>
      <c r="Q34" s="44"/>
      <c r="R34" s="44"/>
      <c r="S34" s="44"/>
      <c r="T34" s="44"/>
    </row>
    <row r="35" spans="1:20" ht="12.75">
      <c r="A35" s="44"/>
      <c r="B35" s="727"/>
      <c r="C35" s="730">
        <f t="shared" si="0"/>
        <v>35</v>
      </c>
      <c r="D35" s="427" t="str">
        <f>IF(INPUTS!C41=1,"N/A",IF(AND(INPUTS!C42=2,INPUTS!D43="No"),"N/A",$D$27/(D12*(C35/1000))))</f>
        <v>N/A</v>
      </c>
      <c r="E35" s="87"/>
      <c r="F35" s="44"/>
      <c r="G35" s="727"/>
      <c r="H35" s="730">
        <f t="shared" si="1"/>
        <v>35</v>
      </c>
      <c r="I35" s="427" t="str">
        <f>IF(INPUTS!C41=1,"N/A",IF(INPUTS!C42=1,"N/A",IF(INPUTS!D43="yes","N/A",I25/(D12*(H35/1000)))))</f>
        <v>N/A</v>
      </c>
      <c r="J35" s="156"/>
      <c r="K35" s="44"/>
      <c r="L35" s="44"/>
      <c r="M35" s="44"/>
      <c r="N35" s="44"/>
      <c r="O35" s="44"/>
      <c r="P35" s="44"/>
      <c r="Q35" s="44"/>
      <c r="R35" s="44"/>
      <c r="S35" s="44"/>
      <c r="T35" s="44"/>
    </row>
    <row r="36" spans="1:20" ht="13.5" thickBot="1">
      <c r="A36" s="44"/>
      <c r="B36" s="731"/>
      <c r="C36" s="732">
        <f t="shared" si="0"/>
        <v>1000</v>
      </c>
      <c r="D36" s="428" t="str">
        <f>IF(INPUTS!C41=1,"N/A",IF(AND(INPUTS!C42=2,INPUTS!D43="No"),"N/A",$D$27/(D13*(C36/1000))))</f>
        <v>N/A</v>
      </c>
      <c r="E36" s="84"/>
      <c r="F36" s="129"/>
      <c r="G36" s="731"/>
      <c r="H36" s="732">
        <f t="shared" si="1"/>
        <v>1000</v>
      </c>
      <c r="I36" s="428" t="str">
        <f>IF(INPUTS!C41=1,"N/A",IF(INPUTS!C42=1,"N/A",IF(INPUTS!D43="yes","N/A",I25/(D13*(H36/1000)))))</f>
        <v>N/A</v>
      </c>
      <c r="J36" s="157"/>
      <c r="K36" s="44"/>
      <c r="L36" s="44"/>
      <c r="M36" s="44"/>
      <c r="N36" s="44"/>
      <c r="O36" s="44"/>
      <c r="P36" s="44"/>
      <c r="Q36" s="44"/>
      <c r="R36" s="44"/>
      <c r="S36" s="44"/>
      <c r="T36" s="44"/>
    </row>
    <row r="37" spans="1:20" ht="12.75">
      <c r="A37" s="44"/>
      <c r="B37" s="44"/>
      <c r="C37" s="44"/>
      <c r="D37" s="44"/>
      <c r="E37" s="44"/>
      <c r="F37" s="44"/>
      <c r="G37" s="44"/>
      <c r="H37" s="44"/>
      <c r="I37" s="44"/>
      <c r="J37" s="44"/>
      <c r="K37" s="44"/>
      <c r="L37" s="44"/>
      <c r="M37" s="44"/>
      <c r="N37" s="44"/>
      <c r="O37" s="44"/>
      <c r="P37" s="44"/>
      <c r="Q37" s="44"/>
      <c r="R37" s="44"/>
      <c r="S37" s="44"/>
      <c r="T37" s="44"/>
    </row>
    <row r="38" spans="1:20" ht="13.5" thickBot="1">
      <c r="A38" s="44"/>
      <c r="C38" s="44"/>
      <c r="D38" s="44"/>
      <c r="E38" s="44"/>
      <c r="F38" s="44"/>
      <c r="G38" s="44"/>
      <c r="H38" s="44"/>
      <c r="I38" s="44"/>
      <c r="J38" s="44"/>
      <c r="K38" s="44"/>
      <c r="L38" s="44"/>
      <c r="M38" s="44"/>
      <c r="N38" s="44"/>
      <c r="O38" s="44"/>
      <c r="P38" s="44"/>
      <c r="Q38" s="44"/>
      <c r="R38" s="44"/>
      <c r="S38" s="44"/>
      <c r="T38" s="44"/>
    </row>
    <row r="39" spans="1:20" ht="15.75">
      <c r="A39" s="44"/>
      <c r="B39" s="733" t="s">
        <v>213</v>
      </c>
      <c r="C39" s="734"/>
      <c r="D39" s="735"/>
      <c r="E39" s="44"/>
      <c r="F39" s="44"/>
      <c r="G39" s="44"/>
      <c r="H39" s="44"/>
      <c r="I39" s="44"/>
      <c r="J39" s="44"/>
      <c r="K39" s="44"/>
      <c r="L39" s="44"/>
      <c r="M39" s="44"/>
      <c r="N39" s="44"/>
      <c r="O39" s="44"/>
      <c r="P39" s="44"/>
      <c r="Q39" s="44"/>
      <c r="R39" s="44"/>
      <c r="S39" s="44"/>
      <c r="T39" s="44"/>
    </row>
    <row r="40" spans="1:20" ht="13.5" thickBot="1">
      <c r="A40" s="44"/>
      <c r="B40" s="736" t="str">
        <f>IF(INPUTS!C42=1,"Granular","Liquid")</f>
        <v>Liquid</v>
      </c>
      <c r="C40" s="737"/>
      <c r="D40" s="738"/>
      <c r="E40" s="44"/>
      <c r="F40" s="44"/>
      <c r="G40" s="44"/>
      <c r="H40" s="44"/>
      <c r="I40" s="44"/>
      <c r="J40" s="44"/>
      <c r="K40" s="44"/>
      <c r="L40" s="44"/>
      <c r="M40" s="44"/>
      <c r="N40" s="44"/>
      <c r="O40" s="44"/>
      <c r="P40" s="44"/>
      <c r="Q40" s="44"/>
      <c r="R40" s="44"/>
      <c r="S40" s="44"/>
      <c r="T40" s="44"/>
    </row>
    <row r="41" spans="1:20" ht="19.5" customHeight="1">
      <c r="A41" s="44"/>
      <c r="B41" s="984" t="s">
        <v>115</v>
      </c>
      <c r="C41" s="985"/>
      <c r="D41" s="986"/>
      <c r="E41" s="44"/>
      <c r="F41" s="44"/>
      <c r="G41" s="44"/>
      <c r="H41" s="44"/>
      <c r="I41" s="44"/>
      <c r="J41" s="44"/>
      <c r="K41" s="44"/>
      <c r="L41" s="44"/>
      <c r="M41" s="44"/>
      <c r="N41" s="44"/>
      <c r="O41" s="44"/>
      <c r="P41" s="44"/>
      <c r="Q41" s="44"/>
      <c r="R41" s="44"/>
      <c r="S41" s="44"/>
      <c r="T41" s="44"/>
    </row>
    <row r="42" spans="1:20" ht="21" customHeight="1" thickBot="1">
      <c r="A42" s="44"/>
      <c r="B42" s="741" t="s">
        <v>112</v>
      </c>
      <c r="C42" s="982">
        <f>IF(OR(INPUTS!C42=1,(AND(INPUTS!C42=2,INPUTS!D43="yes"))),((D6*D7*453590)/43560),((INPUTS!D45*28349*'LD50 ft-2'!D7)/43560))*D16</f>
        <v>0</v>
      </c>
      <c r="D42" s="983"/>
      <c r="E42" s="44"/>
      <c r="F42" s="44"/>
      <c r="G42" s="44"/>
      <c r="H42" s="44"/>
      <c r="I42" s="44"/>
      <c r="J42" s="44"/>
      <c r="K42" s="44"/>
      <c r="L42" s="44"/>
      <c r="M42" s="44"/>
      <c r="N42" s="44"/>
      <c r="O42" s="44"/>
      <c r="P42" s="44"/>
      <c r="Q42" s="44"/>
      <c r="R42" s="44"/>
      <c r="S42" s="44"/>
      <c r="T42" s="44"/>
    </row>
    <row r="43" spans="1:20" ht="21" customHeight="1" thickBot="1">
      <c r="A43" s="44"/>
      <c r="B43" s="742"/>
      <c r="C43" s="743"/>
      <c r="D43" s="744"/>
      <c r="E43" s="44"/>
      <c r="F43" s="44"/>
      <c r="G43" s="44"/>
      <c r="H43" s="44"/>
      <c r="I43" s="44"/>
      <c r="J43" s="44"/>
      <c r="K43" s="44"/>
      <c r="L43" s="44"/>
      <c r="M43" s="44"/>
      <c r="N43" s="44"/>
      <c r="O43" s="44"/>
      <c r="P43" s="44"/>
      <c r="Q43" s="44"/>
      <c r="R43" s="44"/>
      <c r="S43" s="44"/>
      <c r="T43" s="44"/>
    </row>
    <row r="44" spans="1:20" ht="15.75">
      <c r="A44" s="44"/>
      <c r="B44" s="745" t="s">
        <v>114</v>
      </c>
      <c r="C44" s="739"/>
      <c r="D44" s="740"/>
      <c r="E44" s="44"/>
      <c r="F44" s="44"/>
      <c r="G44" s="44"/>
      <c r="H44" s="44"/>
      <c r="I44" s="44"/>
      <c r="J44" s="44"/>
      <c r="K44" s="44"/>
      <c r="L44" s="44"/>
      <c r="M44" s="44"/>
      <c r="N44" s="44"/>
      <c r="O44" s="44"/>
      <c r="P44" s="44"/>
      <c r="Q44" s="44"/>
      <c r="R44" s="44"/>
      <c r="S44" s="44"/>
      <c r="T44" s="44"/>
    </row>
    <row r="45" spans="1:20" ht="12.75">
      <c r="A45" s="44"/>
      <c r="B45" s="746"/>
      <c r="C45" s="452" t="s">
        <v>476</v>
      </c>
      <c r="D45" s="747"/>
      <c r="E45" s="44"/>
      <c r="F45" s="44"/>
      <c r="G45" s="44"/>
      <c r="H45" s="44"/>
      <c r="I45" s="44"/>
      <c r="J45" s="44"/>
      <c r="K45" s="44"/>
      <c r="L45" s="44"/>
      <c r="M45" s="44"/>
      <c r="N45" s="44"/>
      <c r="O45" s="44"/>
      <c r="P45" s="44"/>
      <c r="Q45" s="44"/>
      <c r="R45" s="44"/>
      <c r="S45" s="44"/>
      <c r="T45" s="44"/>
    </row>
    <row r="46" spans="1:20" ht="12.75">
      <c r="A46" s="44"/>
      <c r="B46" s="742" t="s">
        <v>19</v>
      </c>
      <c r="C46" s="466">
        <f>INPUTS!B16</f>
        <v>20</v>
      </c>
      <c r="D46" s="748" t="e">
        <f>IF(INPUTS!C41=1,C42/($D$8*(C46/1000)),"N/A")</f>
        <v>#DIV/0!</v>
      </c>
      <c r="E46" s="44"/>
      <c r="F46" s="44"/>
      <c r="G46" s="44"/>
      <c r="H46" s="44"/>
      <c r="I46" s="44"/>
      <c r="J46" s="44"/>
      <c r="K46" s="44"/>
      <c r="L46" s="44"/>
      <c r="M46" s="44"/>
      <c r="N46" s="44"/>
      <c r="O46" s="44"/>
      <c r="P46" s="44"/>
      <c r="Q46" s="44"/>
      <c r="R46" s="44"/>
      <c r="S46" s="44"/>
      <c r="T46" s="44"/>
    </row>
    <row r="47" spans="1:20" ht="12.75">
      <c r="A47" s="44"/>
      <c r="B47" s="742"/>
      <c r="C47" s="466">
        <f>INPUTS!B17</f>
        <v>100</v>
      </c>
      <c r="D47" s="748" t="e">
        <f>IF(INPUTS!C41=1,C42/(D9*(C47/1000)),"N/A")</f>
        <v>#DIV/0!</v>
      </c>
      <c r="E47" s="44"/>
      <c r="F47" s="44"/>
      <c r="G47" s="44"/>
      <c r="H47" s="44"/>
      <c r="I47" s="44"/>
      <c r="J47" s="44"/>
      <c r="K47" s="44"/>
      <c r="L47" s="44"/>
      <c r="M47" s="44"/>
      <c r="N47" s="44"/>
      <c r="O47" s="44"/>
      <c r="P47" s="44"/>
      <c r="Q47" s="44"/>
      <c r="R47" s="44"/>
      <c r="S47" s="44"/>
      <c r="T47" s="44"/>
    </row>
    <row r="48" spans="1:20" ht="12.75">
      <c r="A48" s="44"/>
      <c r="B48" s="746"/>
      <c r="C48" s="452">
        <f>INPUTS!B18</f>
        <v>1000</v>
      </c>
      <c r="D48" s="749" t="e">
        <f>IF(INPUTS!C41=1,C42/(D10*(C48/1000)),"N/A")</f>
        <v>#DIV/0!</v>
      </c>
      <c r="E48" s="44"/>
      <c r="F48" s="44"/>
      <c r="G48" s="44"/>
      <c r="H48" s="44"/>
      <c r="I48" s="44"/>
      <c r="J48" s="44"/>
      <c r="K48" s="44"/>
      <c r="L48" s="44"/>
      <c r="M48" s="44"/>
      <c r="N48" s="44"/>
      <c r="O48" s="44"/>
      <c r="P48" s="44"/>
      <c r="Q48" s="44"/>
      <c r="R48" s="44"/>
      <c r="S48" s="44"/>
      <c r="T48" s="44"/>
    </row>
    <row r="49" spans="1:20" ht="12.75">
      <c r="A49" s="44"/>
      <c r="B49" s="742" t="s">
        <v>103</v>
      </c>
      <c r="C49" s="453">
        <f>INPUTS!C16</f>
        <v>15</v>
      </c>
      <c r="D49" s="748" t="e">
        <f>IF(INPUTS!C41=1,C42/($D$11*(C49/1000)),"N/A")</f>
        <v>#DIV/0!</v>
      </c>
      <c r="E49" s="44"/>
      <c r="F49" s="44"/>
      <c r="G49" s="44"/>
      <c r="H49" s="44"/>
      <c r="I49" s="44"/>
      <c r="J49" s="44"/>
      <c r="K49" s="44"/>
      <c r="L49" s="44"/>
      <c r="M49" s="44"/>
      <c r="N49" s="44"/>
      <c r="O49" s="44"/>
      <c r="P49" s="44"/>
      <c r="Q49" s="44"/>
      <c r="R49" s="44"/>
      <c r="S49" s="44"/>
      <c r="T49" s="44"/>
    </row>
    <row r="50" spans="1:20" ht="12.75">
      <c r="A50" s="44"/>
      <c r="B50" s="742"/>
      <c r="C50" s="453">
        <f>INPUTS!C17</f>
        <v>35</v>
      </c>
      <c r="D50" s="748" t="e">
        <f>IF(INPUTS!C41=1,C42/(D12*(C50/1000)),"N/A")</f>
        <v>#DIV/0!</v>
      </c>
      <c r="E50" s="44"/>
      <c r="F50" s="44"/>
      <c r="G50" s="44"/>
      <c r="H50" s="44"/>
      <c r="I50" s="44"/>
      <c r="J50" s="44"/>
      <c r="K50" s="44"/>
      <c r="L50" s="44"/>
      <c r="M50" s="44"/>
      <c r="N50" s="44"/>
      <c r="O50" s="44"/>
      <c r="P50" s="44"/>
      <c r="Q50" s="44"/>
      <c r="R50" s="44"/>
      <c r="S50" s="44"/>
      <c r="T50" s="44"/>
    </row>
    <row r="51" spans="2:20" ht="13.5" thickBot="1">
      <c r="B51" s="750"/>
      <c r="C51" s="460">
        <f>INPUTS!C18</f>
        <v>1000</v>
      </c>
      <c r="D51" s="751" t="e">
        <f>IF(INPUTS!C41=1,C42/(D13*(C51/1000)),"N/A")</f>
        <v>#DIV/0!</v>
      </c>
      <c r="E51" s="44"/>
      <c r="F51" s="44"/>
      <c r="G51" s="44"/>
      <c r="H51" s="44"/>
      <c r="I51" s="44"/>
      <c r="J51" s="44"/>
      <c r="K51" s="44"/>
      <c r="L51" s="44"/>
      <c r="M51" s="44"/>
      <c r="N51" s="44"/>
      <c r="O51" s="44"/>
      <c r="P51" s="44"/>
      <c r="Q51" s="44"/>
      <c r="R51" s="44"/>
      <c r="S51" s="44"/>
      <c r="T51" s="44"/>
    </row>
    <row r="52" s="44" customFormat="1" ht="12.75"/>
    <row r="53" s="44" customFormat="1" ht="12.75">
      <c r="B53" s="44" t="s">
        <v>381</v>
      </c>
    </row>
    <row r="54" s="44" customFormat="1" ht="12.75"/>
    <row r="55" s="44" customFormat="1" ht="12.75"/>
    <row r="56" s="44" customFormat="1" ht="12.75"/>
    <row r="57" s="44" customFormat="1" ht="12.75"/>
    <row r="58" s="44" customFormat="1" ht="12.75"/>
    <row r="59" s="44" customFormat="1" ht="12.75"/>
    <row r="60" s="44" customFormat="1" ht="12.75"/>
    <row r="61" s="44" customFormat="1" ht="12.75">
      <c r="H61"/>
    </row>
  </sheetData>
  <sheetProtection password="F155" sheet="1" objects="1" scenarios="1" formatCells="0" formatColumns="0" formatRows="0"/>
  <mergeCells count="38">
    <mergeCell ref="G23:H23"/>
    <mergeCell ref="G24:H24"/>
    <mergeCell ref="G25:H25"/>
    <mergeCell ref="I22:J22"/>
    <mergeCell ref="I23:J23"/>
    <mergeCell ref="I24:J24"/>
    <mergeCell ref="I25:J25"/>
    <mergeCell ref="G22:H22"/>
    <mergeCell ref="B9:C9"/>
    <mergeCell ref="B10:C10"/>
    <mergeCell ref="B12:C12"/>
    <mergeCell ref="B13:C13"/>
    <mergeCell ref="B14:C14"/>
    <mergeCell ref="B15:C15"/>
    <mergeCell ref="B16:C16"/>
    <mergeCell ref="C42:D42"/>
    <mergeCell ref="B41:D41"/>
    <mergeCell ref="B20:E20"/>
    <mergeCell ref="G21:J21"/>
    <mergeCell ref="G20:J20"/>
    <mergeCell ref="B27:C27"/>
    <mergeCell ref="D24:E24"/>
    <mergeCell ref="D25:E25"/>
    <mergeCell ref="D26:E26"/>
    <mergeCell ref="D27:E27"/>
    <mergeCell ref="B24:C24"/>
    <mergeCell ref="B25:C25"/>
    <mergeCell ref="B26:C26"/>
    <mergeCell ref="B3:C3"/>
    <mergeCell ref="B22:C22"/>
    <mergeCell ref="B23:C23"/>
    <mergeCell ref="D22:E22"/>
    <mergeCell ref="D23:E23"/>
    <mergeCell ref="B11:C11"/>
    <mergeCell ref="B7:C7"/>
    <mergeCell ref="B21:E21"/>
    <mergeCell ref="B6:C6"/>
    <mergeCell ref="B8:C8"/>
  </mergeCells>
  <printOptions/>
  <pageMargins left="0.75" right="0.75" top="0.82" bottom="1" header="0.5" footer="0.5"/>
  <pageSetup fitToHeight="1" fitToWidth="1" horizontalDpi="600" verticalDpi="600" orientation="portrait" scale="89" r:id="rId3"/>
  <headerFooter alignWithMargins="0">
    <oddHeader>&amp;C&amp;A</oddHeader>
    <oddFooter>&amp;C&amp;F</oddFooter>
  </headerFooter>
  <legacyDrawing r:id="rId2"/>
</worksheet>
</file>

<file path=xl/worksheets/sheet7.xml><?xml version="1.0" encoding="utf-8"?>
<worksheet xmlns="http://schemas.openxmlformats.org/spreadsheetml/2006/main" xmlns:r="http://schemas.openxmlformats.org/officeDocument/2006/relationships">
  <dimension ref="A7:D33"/>
  <sheetViews>
    <sheetView workbookViewId="0" topLeftCell="A1">
      <selection activeCell="B14" sqref="B14"/>
    </sheetView>
  </sheetViews>
  <sheetFormatPr defaultColWidth="9.140625" defaultRowHeight="12.75"/>
  <cols>
    <col min="1" max="1" width="35.140625" style="130" customWidth="1"/>
    <col min="2" max="3" width="15.421875" style="130" customWidth="1"/>
    <col min="4" max="4" width="69.8515625" style="130" customWidth="1"/>
    <col min="5" max="6" width="9.140625" style="130" customWidth="1"/>
    <col min="7" max="7" width="11.00390625" style="130" bestFit="1" customWidth="1"/>
    <col min="8" max="16384" width="9.140625" style="130" customWidth="1"/>
  </cols>
  <sheetData>
    <row r="7" spans="2:4" ht="12.75">
      <c r="B7" s="277"/>
      <c r="C7" s="277"/>
      <c r="D7" s="277"/>
    </row>
    <row r="8" spans="2:4" ht="12.75">
      <c r="B8" s="277"/>
      <c r="C8" s="277"/>
      <c r="D8" s="277"/>
    </row>
    <row r="9" spans="2:4" ht="13.5" thickBot="1">
      <c r="B9" s="277"/>
      <c r="C9" s="277"/>
      <c r="D9" s="277"/>
    </row>
    <row r="10" spans="1:4" ht="21.75" customHeight="1" thickBot="1">
      <c r="A10" s="999" t="s">
        <v>403</v>
      </c>
      <c r="B10" s="1000"/>
      <c r="C10" s="1000"/>
      <c r="D10" s="1001"/>
    </row>
    <row r="11" spans="1:4" ht="12.75">
      <c r="A11" s="1006" t="s">
        <v>386</v>
      </c>
      <c r="B11" s="1007"/>
      <c r="C11" s="1008"/>
      <c r="D11" s="1009"/>
    </row>
    <row r="12" spans="1:4" ht="12.75">
      <c r="A12" s="1017" t="s">
        <v>477</v>
      </c>
      <c r="B12" s="1021" t="s">
        <v>478</v>
      </c>
      <c r="C12" s="1022"/>
      <c r="D12" s="1019" t="s">
        <v>480</v>
      </c>
    </row>
    <row r="13" spans="1:4" ht="12.75">
      <c r="A13" s="1018"/>
      <c r="B13" s="581" t="s">
        <v>479</v>
      </c>
      <c r="C13" s="582" t="s">
        <v>103</v>
      </c>
      <c r="D13" s="1020"/>
    </row>
    <row r="14" spans="1:4" ht="25.5">
      <c r="A14" s="282" t="s">
        <v>385</v>
      </c>
      <c r="B14" s="791"/>
      <c r="C14" s="790"/>
      <c r="D14" s="283" t="s">
        <v>481</v>
      </c>
    </row>
    <row r="15" spans="1:4" ht="25.5">
      <c r="A15" s="282" t="s">
        <v>391</v>
      </c>
      <c r="B15" s="298">
        <f>+IF(INPUTS!$D$24=3,(('upper bound Kenaga'!D15)*((B14*1000/INPUTS!$F$24)^(INPUTS!$D$28-1))),IF(INPUTS!$D$24=1,(('upper bound Kenaga'!D15)*((B14*1000/178)^(INPUTS!$D$28-1))),(('upper bound Kenaga'!D15)*((B14*1000/1580)^(INPUTS!$D$28-1)))))</f>
        <v>0</v>
      </c>
      <c r="C15" s="584" t="e">
        <f>(INPUTS!C33*((350/(C14*1000))^0.25))</f>
        <v>#DIV/0!</v>
      </c>
      <c r="D15" s="284" t="s">
        <v>482</v>
      </c>
    </row>
    <row r="16" spans="1:4" ht="25.5">
      <c r="A16" s="282" t="s">
        <v>398</v>
      </c>
      <c r="B16" s="300">
        <f>B15*B14</f>
        <v>0</v>
      </c>
      <c r="C16" s="300" t="e">
        <f>C15*C14</f>
        <v>#DIV/0!</v>
      </c>
      <c r="D16" s="1014" t="s">
        <v>397</v>
      </c>
    </row>
    <row r="17" spans="1:4" ht="38.25">
      <c r="A17" s="282" t="s">
        <v>411</v>
      </c>
      <c r="B17" s="300">
        <f>B15/2*B14</f>
        <v>0</v>
      </c>
      <c r="C17" s="300" t="e">
        <f>C15/2*C14</f>
        <v>#DIV/0!</v>
      </c>
      <c r="D17" s="1015"/>
    </row>
    <row r="18" spans="1:4" ht="51">
      <c r="A18" s="282" t="s">
        <v>410</v>
      </c>
      <c r="B18" s="300">
        <f>(B15/10)*B14</f>
        <v>0</v>
      </c>
      <c r="C18" s="300" t="e">
        <f>(C15/10)*C14</f>
        <v>#DIV/0!</v>
      </c>
      <c r="D18" s="1016"/>
    </row>
    <row r="19" spans="1:4" ht="12.75">
      <c r="A19" s="1002" t="s">
        <v>388</v>
      </c>
      <c r="B19" s="1003"/>
      <c r="C19" s="1004"/>
      <c r="D19" s="1005"/>
    </row>
    <row r="20" spans="1:4" ht="12.75">
      <c r="A20" s="282" t="s">
        <v>443</v>
      </c>
      <c r="B20" s="307"/>
      <c r="C20" s="580"/>
      <c r="D20" s="306" t="s">
        <v>442</v>
      </c>
    </row>
    <row r="21" spans="1:4" ht="25.5">
      <c r="A21" s="282" t="s">
        <v>387</v>
      </c>
      <c r="B21" s="301"/>
      <c r="C21" s="684"/>
      <c r="D21" s="283" t="s">
        <v>396</v>
      </c>
    </row>
    <row r="22" spans="1:4" ht="12.75">
      <c r="A22" s="285" t="s">
        <v>399</v>
      </c>
      <c r="B22" s="305">
        <f>B21*B20</f>
        <v>0</v>
      </c>
      <c r="C22" s="305">
        <f>C21*C20</f>
        <v>0</v>
      </c>
      <c r="D22" s="286" t="s">
        <v>400</v>
      </c>
    </row>
    <row r="23" spans="1:4" ht="12.75">
      <c r="A23" s="1010" t="s">
        <v>401</v>
      </c>
      <c r="B23" s="1011"/>
      <c r="C23" s="1012"/>
      <c r="D23" s="1013"/>
    </row>
    <row r="24" spans="1:4" ht="25.5">
      <c r="A24" s="282" t="s">
        <v>402</v>
      </c>
      <c r="B24" s="275" t="e">
        <f>B16/B22</f>
        <v>#DIV/0!</v>
      </c>
      <c r="C24" s="275" t="e">
        <f>C16/C22</f>
        <v>#DIV/0!</v>
      </c>
      <c r="D24" s="284" t="s">
        <v>483</v>
      </c>
    </row>
    <row r="25" spans="1:4" ht="25.5">
      <c r="A25" s="282" t="s">
        <v>409</v>
      </c>
      <c r="B25" s="275" t="e">
        <f>B17/B22</f>
        <v>#DIV/0!</v>
      </c>
      <c r="C25" s="275" t="e">
        <f>C17/C22</f>
        <v>#DIV/0!</v>
      </c>
      <c r="D25" s="284" t="s">
        <v>484</v>
      </c>
    </row>
    <row r="26" spans="1:4" ht="39" thickBot="1">
      <c r="A26" s="287" t="s">
        <v>408</v>
      </c>
      <c r="B26" s="299" t="e">
        <f>B18/B22</f>
        <v>#DIV/0!</v>
      </c>
      <c r="C26" s="299" t="e">
        <f>C18/C22</f>
        <v>#DIV/0!</v>
      </c>
      <c r="D26" s="288" t="s">
        <v>485</v>
      </c>
    </row>
    <row r="27" spans="1:4" ht="12.75">
      <c r="A27" s="279"/>
      <c r="B27" s="280"/>
      <c r="C27" s="280"/>
      <c r="D27" s="281"/>
    </row>
    <row r="28" spans="1:4" ht="13.5" thickBot="1">
      <c r="A28" s="267"/>
      <c r="B28" s="269"/>
      <c r="C28" s="269"/>
      <c r="D28" s="276"/>
    </row>
    <row r="29" spans="1:4" ht="24" customHeight="1">
      <c r="A29" s="996" t="s">
        <v>393</v>
      </c>
      <c r="B29" s="997"/>
      <c r="C29" s="997"/>
      <c r="D29" s="998"/>
    </row>
    <row r="30" spans="1:4" ht="12.75">
      <c r="A30" s="285" t="s">
        <v>389</v>
      </c>
      <c r="B30" s="278">
        <f>'LD50 ft-2'!C42</f>
        <v>0</v>
      </c>
      <c r="C30" s="278">
        <f>'LD50 ft-2'!C42</f>
        <v>0</v>
      </c>
      <c r="D30" s="286" t="s">
        <v>390</v>
      </c>
    </row>
    <row r="31" spans="1:4" ht="51">
      <c r="A31" s="285" t="s">
        <v>412</v>
      </c>
      <c r="B31" s="278" t="e">
        <f>B18/B30</f>
        <v>#DIV/0!</v>
      </c>
      <c r="C31" s="278" t="e">
        <f>C18/C30</f>
        <v>#DIV/0!</v>
      </c>
      <c r="D31" s="286" t="s">
        <v>486</v>
      </c>
    </row>
    <row r="32" spans="1:4" ht="51">
      <c r="A32" s="285" t="s">
        <v>413</v>
      </c>
      <c r="B32" s="278" t="e">
        <f>B31*2</f>
        <v>#DIV/0!</v>
      </c>
      <c r="C32" s="278" t="e">
        <f>C31*2</f>
        <v>#DIV/0!</v>
      </c>
      <c r="D32" s="286" t="s">
        <v>487</v>
      </c>
    </row>
    <row r="33" spans="1:4" ht="51.75" thickBot="1">
      <c r="A33" s="289" t="s">
        <v>414</v>
      </c>
      <c r="B33" s="290" t="e">
        <f>B31*10</f>
        <v>#DIV/0!</v>
      </c>
      <c r="C33" s="290" t="e">
        <f>C31*10</f>
        <v>#DIV/0!</v>
      </c>
      <c r="D33" s="583" t="s">
        <v>488</v>
      </c>
    </row>
  </sheetData>
  <sheetProtection password="F155" sheet="1" objects="1" scenarios="1" formatCells="0" formatColumns="0" formatRows="0"/>
  <mergeCells count="9">
    <mergeCell ref="A29:D29"/>
    <mergeCell ref="A10:D10"/>
    <mergeCell ref="A19:D19"/>
    <mergeCell ref="A11:D11"/>
    <mergeCell ref="A23:D23"/>
    <mergeCell ref="D16:D18"/>
    <mergeCell ref="A12:A13"/>
    <mergeCell ref="D12:D13"/>
    <mergeCell ref="B12:C12"/>
  </mergeCells>
  <printOptions/>
  <pageMargins left="0.75" right="0.75" top="1" bottom="1" header="0.5" footer="0.5"/>
  <pageSetup horizontalDpi="600" verticalDpi="600" orientation="portrait" scale="93" r:id="rId2"/>
  <colBreaks count="1" manualBreakCount="1">
    <brk id="5" max="65535" man="1"/>
  </colBreaks>
  <drawing r:id="rId1"/>
</worksheet>
</file>

<file path=xl/worksheets/sheet8.xml><?xml version="1.0" encoding="utf-8"?>
<worksheet xmlns="http://schemas.openxmlformats.org/spreadsheetml/2006/main" xmlns:r="http://schemas.openxmlformats.org/officeDocument/2006/relationships">
  <sheetPr codeName="Sheet7">
    <tabColor indexed="42"/>
    <pageSetUpPr fitToPage="1"/>
  </sheetPr>
  <dimension ref="A1:Z133"/>
  <sheetViews>
    <sheetView zoomScale="75" zoomScaleNormal="75" workbookViewId="0" topLeftCell="B1">
      <selection activeCell="G17" sqref="G17"/>
    </sheetView>
  </sheetViews>
  <sheetFormatPr defaultColWidth="9.140625" defaultRowHeight="12.75"/>
  <cols>
    <col min="1" max="1" width="31.00390625" style="150" customWidth="1"/>
    <col min="2" max="2" width="19.8515625" style="65" customWidth="1"/>
    <col min="3" max="3" width="18.00390625" style="65" customWidth="1"/>
    <col min="4" max="4" width="19.57421875" style="0" customWidth="1"/>
    <col min="5" max="5" width="18.7109375" style="0" customWidth="1"/>
    <col min="6" max="6" width="16.421875" style="0" customWidth="1"/>
    <col min="7" max="7" width="14.7109375" style="0" customWidth="1"/>
    <col min="8" max="8" width="3.140625" style="0" customWidth="1"/>
    <col min="9" max="9" width="9.140625" style="0" hidden="1" customWidth="1"/>
    <col min="10" max="10" width="15.421875" style="0" customWidth="1"/>
    <col min="11" max="11" width="14.7109375" style="0" customWidth="1"/>
    <col min="12" max="16" width="10.28125" style="0" customWidth="1"/>
    <col min="18" max="18" width="29.28125" style="0" customWidth="1"/>
    <col min="19" max="19" width="23.7109375" style="0" customWidth="1"/>
    <col min="20" max="20" width="13.7109375" style="0" customWidth="1"/>
  </cols>
  <sheetData>
    <row r="1" spans="2:26" ht="13.5" thickBot="1">
      <c r="B1" s="66"/>
      <c r="C1" s="66"/>
      <c r="D1" s="44"/>
      <c r="E1" s="44"/>
      <c r="F1" s="44"/>
      <c r="G1" s="44"/>
      <c r="H1" s="44"/>
      <c r="I1" s="44"/>
      <c r="J1" s="44"/>
      <c r="K1" s="44"/>
      <c r="L1" s="44"/>
      <c r="M1" s="44"/>
      <c r="N1" s="44"/>
      <c r="O1" s="44"/>
      <c r="P1" s="44"/>
      <c r="R1" s="60"/>
      <c r="S1" s="60"/>
      <c r="T1" s="60"/>
      <c r="U1" s="60"/>
      <c r="V1" s="67"/>
      <c r="W1" s="67"/>
      <c r="X1" s="67"/>
      <c r="Y1" s="67"/>
      <c r="Z1" s="67"/>
    </row>
    <row r="2" spans="1:26" ht="15.75">
      <c r="A2" s="610"/>
      <c r="B2" s="634" t="s">
        <v>117</v>
      </c>
      <c r="C2" s="1047">
        <f>'upper bound Kenaga'!B3</f>
        <v>0</v>
      </c>
      <c r="D2" s="1048"/>
      <c r="E2" s="1048"/>
      <c r="F2" s="1049"/>
      <c r="G2" s="1057" t="s">
        <v>259</v>
      </c>
      <c r="H2" s="1058"/>
      <c r="I2" s="1058"/>
      <c r="J2" s="1058"/>
      <c r="K2" s="44"/>
      <c r="L2" s="44"/>
      <c r="M2" s="44"/>
      <c r="N2" s="44"/>
      <c r="O2" s="44"/>
      <c r="P2" s="44"/>
      <c r="R2" s="62"/>
      <c r="S2" s="62"/>
      <c r="T2" s="169"/>
      <c r="U2" s="60"/>
      <c r="V2" s="67"/>
      <c r="W2" s="67"/>
      <c r="X2" s="67"/>
      <c r="Y2" s="67"/>
      <c r="Z2" s="67"/>
    </row>
    <row r="3" spans="1:26" ht="16.5" thickBot="1">
      <c r="A3" s="611"/>
      <c r="B3" s="635" t="s">
        <v>154</v>
      </c>
      <c r="C3" s="1050" t="s">
        <v>16</v>
      </c>
      <c r="D3" s="1051"/>
      <c r="E3" s="1051"/>
      <c r="F3" s="1052"/>
      <c r="G3" s="96"/>
      <c r="H3" s="83"/>
      <c r="I3" s="83"/>
      <c r="J3" s="83"/>
      <c r="K3" s="44"/>
      <c r="L3" s="44"/>
      <c r="M3" s="44"/>
      <c r="N3" s="44"/>
      <c r="O3" s="44"/>
      <c r="P3" s="44"/>
      <c r="R3" s="62"/>
      <c r="S3" s="62"/>
      <c r="T3" s="169"/>
      <c r="U3" s="60"/>
      <c r="V3" s="67"/>
      <c r="W3" s="67"/>
      <c r="X3" s="67"/>
      <c r="Y3" s="67"/>
      <c r="Z3" s="67"/>
    </row>
    <row r="4" spans="1:26" ht="15.75">
      <c r="A4" s="612"/>
      <c r="B4" s="636" t="s">
        <v>155</v>
      </c>
      <c r="C4" s="247">
        <v>1</v>
      </c>
      <c r="D4" s="638"/>
      <c r="E4" s="639">
        <f>C4</f>
        <v>1</v>
      </c>
      <c r="F4" s="1055" t="s">
        <v>254</v>
      </c>
      <c r="G4" s="1056"/>
      <c r="H4" s="1056"/>
      <c r="I4" s="152"/>
      <c r="J4" s="168">
        <v>8.33</v>
      </c>
      <c r="K4" s="44"/>
      <c r="L4" s="44"/>
      <c r="M4" s="44"/>
      <c r="N4" s="44"/>
      <c r="O4" s="44"/>
      <c r="P4" s="44"/>
      <c r="R4" s="62"/>
      <c r="S4" s="63"/>
      <c r="T4" s="62"/>
      <c r="U4" s="60"/>
      <c r="V4" s="67"/>
      <c r="W4" s="67"/>
      <c r="X4" s="67"/>
      <c r="Y4" s="67"/>
      <c r="Z4" s="67"/>
    </row>
    <row r="5" spans="1:26" ht="15.75">
      <c r="A5" s="1033" t="s">
        <v>63</v>
      </c>
      <c r="B5" s="1034"/>
      <c r="C5" s="1041" t="s">
        <v>166</v>
      </c>
      <c r="D5" s="81" t="s">
        <v>171</v>
      </c>
      <c r="E5" s="1037" t="s">
        <v>193</v>
      </c>
      <c r="F5" s="1039"/>
      <c r="G5" s="60"/>
      <c r="H5" s="60"/>
      <c r="I5" s="60"/>
      <c r="J5" s="87"/>
      <c r="K5" s="44"/>
      <c r="L5" s="44"/>
      <c r="M5" s="44"/>
      <c r="N5" s="44"/>
      <c r="O5" s="44"/>
      <c r="P5" s="44"/>
      <c r="R5" s="62"/>
      <c r="S5" s="63"/>
      <c r="T5" s="62"/>
      <c r="U5" s="60"/>
      <c r="V5" s="67"/>
      <c r="W5" s="67"/>
      <c r="X5" s="67"/>
      <c r="Y5" s="67"/>
      <c r="Z5" s="67"/>
    </row>
    <row r="6" spans="1:26" ht="16.5" thickBot="1">
      <c r="A6" s="1035"/>
      <c r="B6" s="1036"/>
      <c r="C6" s="1042"/>
      <c r="D6" s="82" t="s">
        <v>172</v>
      </c>
      <c r="E6" s="1038"/>
      <c r="F6" s="1040"/>
      <c r="G6" s="44"/>
      <c r="H6" s="44"/>
      <c r="I6" s="44"/>
      <c r="J6" s="87"/>
      <c r="K6" s="44"/>
      <c r="L6" s="44"/>
      <c r="M6" s="44"/>
      <c r="N6" s="44"/>
      <c r="O6" s="44"/>
      <c r="P6" s="44"/>
      <c r="R6" s="62"/>
      <c r="S6" s="63"/>
      <c r="T6" s="62"/>
      <c r="U6" s="60"/>
      <c r="V6" s="67"/>
      <c r="W6" s="67"/>
      <c r="X6" s="67"/>
      <c r="Y6" s="67"/>
      <c r="Z6" s="67"/>
    </row>
    <row r="7" spans="1:21" ht="16.5" thickTop="1">
      <c r="A7" s="611"/>
      <c r="B7" s="635" t="s">
        <v>108</v>
      </c>
      <c r="C7" s="598">
        <f>'upper bound Kenaga'!D15</f>
        <v>0</v>
      </c>
      <c r="D7" s="599">
        <f>IF(INPUTS!D24=1,178,IF(INPUTS!D24=2,1580,INPUTS!F24))</f>
        <v>1580</v>
      </c>
      <c r="E7" s="600">
        <f>((C7)*((20/D7)^(INPUTS!$D$28-1)))</f>
        <v>0</v>
      </c>
      <c r="F7" s="207">
        <f>IF(INPUTS!$F$24=0,"",IF(INPUTS!$D$24&lt;3,"NOTE:Toxicity adjustments not based on standard assumed test animal body weight",""))</f>
      </c>
      <c r="G7" s="68"/>
      <c r="H7" s="68"/>
      <c r="I7" s="68"/>
      <c r="J7" s="88"/>
      <c r="K7" s="68"/>
      <c r="L7" s="68"/>
      <c r="M7" s="68"/>
      <c r="N7" s="68"/>
      <c r="O7" s="68"/>
      <c r="P7" s="68"/>
      <c r="Q7" s="67"/>
      <c r="R7" s="169"/>
      <c r="S7" s="170"/>
      <c r="T7" s="170"/>
      <c r="U7" s="60"/>
    </row>
    <row r="8" spans="1:21" ht="15.75">
      <c r="A8" s="611"/>
      <c r="B8" s="637" t="s">
        <v>175</v>
      </c>
      <c r="C8" s="601">
        <f>'upper bound Kenaga'!D18</f>
        <v>0</v>
      </c>
      <c r="D8" s="166"/>
      <c r="E8" s="153"/>
      <c r="F8" s="68"/>
      <c r="G8" s="68"/>
      <c r="H8" s="68"/>
      <c r="I8" s="68"/>
      <c r="J8" s="88"/>
      <c r="K8" s="68"/>
      <c r="L8" s="68"/>
      <c r="M8" s="68"/>
      <c r="N8" s="68"/>
      <c r="O8" s="68"/>
      <c r="P8" s="68"/>
      <c r="Q8" s="67"/>
      <c r="R8" s="169"/>
      <c r="S8" s="170"/>
      <c r="T8" s="170"/>
      <c r="U8" s="60"/>
    </row>
    <row r="9" spans="1:21" ht="15.75">
      <c r="A9" s="611"/>
      <c r="B9" s="635" t="s">
        <v>109</v>
      </c>
      <c r="C9" s="602">
        <f>'upper bound Kenaga'!D20</f>
        <v>0</v>
      </c>
      <c r="D9" s="167"/>
      <c r="E9" s="602">
        <f>(C9*((D9/15)^0.25))</f>
        <v>0</v>
      </c>
      <c r="F9" s="60"/>
      <c r="G9" s="44"/>
      <c r="H9" s="44"/>
      <c r="I9" s="44"/>
      <c r="J9" s="87"/>
      <c r="K9" s="44"/>
      <c r="L9" s="44"/>
      <c r="M9" s="44"/>
      <c r="N9" s="44"/>
      <c r="O9" s="44"/>
      <c r="P9" s="44"/>
      <c r="R9" s="169"/>
      <c r="S9" s="170"/>
      <c r="T9" s="170"/>
      <c r="U9" s="60"/>
    </row>
    <row r="10" spans="1:21" ht="15.75">
      <c r="A10" s="612"/>
      <c r="B10" s="636" t="s">
        <v>237</v>
      </c>
      <c r="C10" s="602">
        <f>'upper bound Kenaga'!D23</f>
        <v>0</v>
      </c>
      <c r="D10" s="60"/>
      <c r="E10" s="154"/>
      <c r="F10" s="60"/>
      <c r="G10" s="44"/>
      <c r="H10" s="44"/>
      <c r="I10" s="44"/>
      <c r="J10" s="87"/>
      <c r="K10" s="44"/>
      <c r="L10" s="44"/>
      <c r="M10" s="44"/>
      <c r="N10" s="44"/>
      <c r="O10" s="44"/>
      <c r="P10" s="44"/>
      <c r="R10" s="169"/>
      <c r="S10" s="170"/>
      <c r="T10" s="170"/>
      <c r="U10" s="60"/>
    </row>
    <row r="11" spans="1:21" ht="24" thickBot="1">
      <c r="A11" s="613"/>
      <c r="B11" s="97"/>
      <c r="C11" s="254">
        <f>IF(INPUTS!$D$28="","Warning! You Have Failed to Enter a Toxicity Scaling Factor on the Inputs Page","")</f>
      </c>
      <c r="D11" s="83"/>
      <c r="E11" s="151"/>
      <c r="F11" s="83"/>
      <c r="G11" s="44"/>
      <c r="H11" s="44"/>
      <c r="I11" s="44"/>
      <c r="J11" s="84"/>
      <c r="K11" s="44"/>
      <c r="L11" s="44"/>
      <c r="M11" s="44"/>
      <c r="N11" s="44"/>
      <c r="O11" s="44"/>
      <c r="P11" s="44"/>
      <c r="R11" s="62"/>
      <c r="S11" s="63"/>
      <c r="T11" s="27"/>
      <c r="U11" s="60"/>
    </row>
    <row r="12" spans="1:21" ht="47.25">
      <c r="A12" s="614" t="s">
        <v>124</v>
      </c>
      <c r="B12" s="640" t="s">
        <v>313</v>
      </c>
      <c r="C12" s="1053" t="s">
        <v>152</v>
      </c>
      <c r="D12" s="1054"/>
      <c r="E12" s="1054"/>
      <c r="F12" s="1054"/>
      <c r="G12" s="1054"/>
      <c r="H12" s="1054"/>
      <c r="I12" s="644"/>
      <c r="J12" s="640" t="s">
        <v>125</v>
      </c>
      <c r="K12" s="642" t="s">
        <v>125</v>
      </c>
      <c r="L12" s="44"/>
      <c r="M12" s="44"/>
      <c r="N12" s="44"/>
      <c r="O12" s="44"/>
      <c r="P12" s="44"/>
      <c r="R12" s="62"/>
      <c r="S12" s="63"/>
      <c r="T12" s="27"/>
      <c r="U12" s="60"/>
    </row>
    <row r="13" spans="1:21" ht="15.75">
      <c r="A13" s="615"/>
      <c r="B13" s="641"/>
      <c r="C13" s="628"/>
      <c r="D13" s="629"/>
      <c r="E13" s="629"/>
      <c r="F13" s="629"/>
      <c r="G13" s="629"/>
      <c r="H13" s="629"/>
      <c r="I13" s="645"/>
      <c r="J13" s="641" t="s">
        <v>197</v>
      </c>
      <c r="K13" s="643" t="s">
        <v>156</v>
      </c>
      <c r="L13" s="44"/>
      <c r="M13" s="44"/>
      <c r="N13" s="44"/>
      <c r="O13" s="44"/>
      <c r="P13" s="44"/>
      <c r="R13" s="62"/>
      <c r="S13" s="63"/>
      <c r="T13" s="170"/>
      <c r="U13" s="60"/>
    </row>
    <row r="14" spans="1:21" ht="15.75">
      <c r="A14" s="616" t="s">
        <v>127</v>
      </c>
      <c r="B14" s="161">
        <v>100</v>
      </c>
      <c r="C14" s="630" t="s">
        <v>494</v>
      </c>
      <c r="D14" s="631"/>
      <c r="E14" s="631"/>
      <c r="F14" s="631"/>
      <c r="G14" s="631"/>
      <c r="H14" s="631"/>
      <c r="I14" s="69"/>
      <c r="J14" s="164">
        <v>0</v>
      </c>
      <c r="K14" s="646">
        <f>((J14*$E$4)/128)*$J$4</f>
        <v>0</v>
      </c>
      <c r="L14" s="44"/>
      <c r="M14" s="44"/>
      <c r="N14" s="44"/>
      <c r="O14" s="44"/>
      <c r="P14" s="44"/>
      <c r="R14" s="62"/>
      <c r="S14" s="63"/>
      <c r="T14" s="27"/>
      <c r="U14" s="60"/>
    </row>
    <row r="15" spans="1:21" ht="15.75">
      <c r="A15" s="617" t="s">
        <v>139</v>
      </c>
      <c r="B15" s="162">
        <v>160</v>
      </c>
      <c r="C15" s="632" t="s">
        <v>148</v>
      </c>
      <c r="D15" s="631"/>
      <c r="E15" s="631"/>
      <c r="F15" s="631"/>
      <c r="G15" s="631"/>
      <c r="H15" s="631"/>
      <c r="I15" s="69"/>
      <c r="J15" s="164">
        <v>0</v>
      </c>
      <c r="K15" s="646">
        <f aca="true" t="shared" si="0" ref="K15:K38">((J15*$E$4)/128)*$J$4</f>
        <v>0</v>
      </c>
      <c r="L15" s="44"/>
      <c r="M15" s="44"/>
      <c r="N15" s="44"/>
      <c r="O15" s="44"/>
      <c r="P15" s="44"/>
      <c r="R15" s="169"/>
      <c r="S15" s="170"/>
      <c r="T15" s="170"/>
      <c r="U15" s="60"/>
    </row>
    <row r="16" spans="1:21" ht="15.75">
      <c r="A16" s="617" t="s">
        <v>140</v>
      </c>
      <c r="B16" s="162">
        <v>160</v>
      </c>
      <c r="C16" s="632" t="s">
        <v>148</v>
      </c>
      <c r="D16" s="631"/>
      <c r="E16" s="631"/>
      <c r="F16" s="631"/>
      <c r="G16" s="631"/>
      <c r="H16" s="631"/>
      <c r="I16" s="69"/>
      <c r="J16" s="164">
        <v>0</v>
      </c>
      <c r="K16" s="646">
        <f t="shared" si="0"/>
        <v>0</v>
      </c>
      <c r="L16" s="44"/>
      <c r="M16" s="44"/>
      <c r="N16" s="44"/>
      <c r="O16" s="44"/>
      <c r="P16" s="44"/>
      <c r="R16" s="62"/>
      <c r="S16" s="63"/>
      <c r="T16" s="27"/>
      <c r="U16" s="60"/>
    </row>
    <row r="17" spans="1:21" ht="15.75">
      <c r="A17" s="617" t="s">
        <v>141</v>
      </c>
      <c r="B17" s="162">
        <v>100</v>
      </c>
      <c r="C17" s="630" t="s">
        <v>494</v>
      </c>
      <c r="D17" s="631"/>
      <c r="E17" s="631"/>
      <c r="F17" s="631"/>
      <c r="G17" s="631"/>
      <c r="H17" s="631"/>
      <c r="I17" s="69"/>
      <c r="J17" s="164">
        <v>0</v>
      </c>
      <c r="K17" s="646">
        <f t="shared" si="0"/>
        <v>0</v>
      </c>
      <c r="L17" s="44"/>
      <c r="M17" s="44"/>
      <c r="N17" s="44"/>
      <c r="O17" s="44"/>
      <c r="P17" s="44"/>
      <c r="R17" s="169"/>
      <c r="S17" s="170"/>
      <c r="T17" s="170"/>
      <c r="U17" s="60"/>
    </row>
    <row r="18" spans="1:21" ht="15.75">
      <c r="A18" s="617" t="s">
        <v>142</v>
      </c>
      <c r="B18" s="162">
        <v>100</v>
      </c>
      <c r="C18" s="630" t="s">
        <v>494</v>
      </c>
      <c r="D18" s="631"/>
      <c r="E18" s="631"/>
      <c r="F18" s="631"/>
      <c r="G18" s="631"/>
      <c r="H18" s="631"/>
      <c r="I18" s="69"/>
      <c r="J18" s="164">
        <v>0</v>
      </c>
      <c r="K18" s="646">
        <f t="shared" si="0"/>
        <v>0</v>
      </c>
      <c r="L18" s="44"/>
      <c r="M18" s="44"/>
      <c r="N18" s="44"/>
      <c r="O18" s="44"/>
      <c r="P18" s="44"/>
      <c r="R18" s="169"/>
      <c r="S18" s="170"/>
      <c r="T18" s="170"/>
      <c r="U18" s="60"/>
    </row>
    <row r="19" spans="1:21" ht="15.75">
      <c r="A19" s="616" t="s">
        <v>167</v>
      </c>
      <c r="B19" s="161">
        <v>8</v>
      </c>
      <c r="C19" s="630" t="s">
        <v>494</v>
      </c>
      <c r="D19" s="631"/>
      <c r="E19" s="631"/>
      <c r="F19" s="631"/>
      <c r="G19" s="631"/>
      <c r="H19" s="631"/>
      <c r="I19" s="69"/>
      <c r="J19" s="164">
        <v>0</v>
      </c>
      <c r="K19" s="646">
        <f t="shared" si="0"/>
        <v>0</v>
      </c>
      <c r="L19" s="44"/>
      <c r="M19" s="44"/>
      <c r="N19" s="44"/>
      <c r="O19" s="44"/>
      <c r="P19" s="44"/>
      <c r="R19" s="169"/>
      <c r="S19" s="170"/>
      <c r="T19" s="170"/>
      <c r="U19" s="60"/>
    </row>
    <row r="20" spans="1:21" ht="15.75">
      <c r="A20" s="616" t="s">
        <v>128</v>
      </c>
      <c r="B20" s="161">
        <v>25</v>
      </c>
      <c r="C20" s="630" t="s">
        <v>494</v>
      </c>
      <c r="D20" s="631"/>
      <c r="E20" s="631"/>
      <c r="F20" s="631"/>
      <c r="G20" s="631"/>
      <c r="H20" s="631"/>
      <c r="I20" s="69"/>
      <c r="J20" s="164">
        <v>0</v>
      </c>
      <c r="K20" s="646">
        <f t="shared" si="0"/>
        <v>0</v>
      </c>
      <c r="L20" s="44"/>
      <c r="M20" s="44"/>
      <c r="N20" s="44"/>
      <c r="O20" s="44"/>
      <c r="P20" s="44"/>
      <c r="R20" s="169"/>
      <c r="S20" s="170"/>
      <c r="T20" s="170"/>
      <c r="U20" s="60"/>
    </row>
    <row r="21" spans="1:21" ht="15.75">
      <c r="A21" s="616" t="s">
        <v>129</v>
      </c>
      <c r="B21" s="161">
        <v>18</v>
      </c>
      <c r="C21" s="630" t="s">
        <v>494</v>
      </c>
      <c r="D21" s="631"/>
      <c r="E21" s="631"/>
      <c r="F21" s="631"/>
      <c r="G21" s="631"/>
      <c r="H21" s="631"/>
      <c r="I21" s="69"/>
      <c r="J21" s="164">
        <v>0</v>
      </c>
      <c r="K21" s="646">
        <f t="shared" si="0"/>
        <v>0</v>
      </c>
      <c r="L21" s="44"/>
      <c r="M21" s="44"/>
      <c r="N21" s="44"/>
      <c r="O21" s="44"/>
      <c r="P21" s="44"/>
      <c r="R21" s="62"/>
      <c r="S21" s="63"/>
      <c r="T21" s="27"/>
      <c r="U21" s="60"/>
    </row>
    <row r="22" spans="1:21" ht="15.75">
      <c r="A22" s="616" t="s">
        <v>130</v>
      </c>
      <c r="B22" s="161">
        <v>128</v>
      </c>
      <c r="C22" s="630" t="s">
        <v>494</v>
      </c>
      <c r="D22" s="631"/>
      <c r="E22" s="631"/>
      <c r="F22" s="631"/>
      <c r="G22" s="631"/>
      <c r="H22" s="631"/>
      <c r="I22" s="69"/>
      <c r="J22" s="164">
        <v>0</v>
      </c>
      <c r="K22" s="646">
        <f t="shared" si="0"/>
        <v>0</v>
      </c>
      <c r="L22" s="44"/>
      <c r="M22" s="44"/>
      <c r="N22" s="44"/>
      <c r="O22" s="44"/>
      <c r="P22" s="44"/>
      <c r="R22" s="62"/>
      <c r="S22" s="63"/>
      <c r="T22" s="27"/>
      <c r="U22" s="60"/>
    </row>
    <row r="23" spans="1:21" ht="15.75">
      <c r="A23" s="616" t="s">
        <v>168</v>
      </c>
      <c r="B23" s="161">
        <v>15</v>
      </c>
      <c r="C23" s="630" t="s">
        <v>494</v>
      </c>
      <c r="D23" s="631"/>
      <c r="E23" s="631"/>
      <c r="F23" s="631"/>
      <c r="G23" s="631"/>
      <c r="H23" s="631"/>
      <c r="I23" s="69"/>
      <c r="J23" s="164">
        <v>0</v>
      </c>
      <c r="K23" s="646">
        <f t="shared" si="0"/>
        <v>0</v>
      </c>
      <c r="L23" s="44"/>
      <c r="M23" s="44"/>
      <c r="N23" s="44"/>
      <c r="O23" s="44"/>
      <c r="P23" s="44"/>
      <c r="R23" s="62"/>
      <c r="S23" s="63"/>
      <c r="T23" s="27"/>
      <c r="U23" s="60"/>
    </row>
    <row r="24" spans="1:21" ht="15.75">
      <c r="A24" s="617" t="s">
        <v>143</v>
      </c>
      <c r="B24" s="162">
        <v>50</v>
      </c>
      <c r="C24" s="630" t="s">
        <v>494</v>
      </c>
      <c r="D24" s="631"/>
      <c r="E24" s="631"/>
      <c r="F24" s="631"/>
      <c r="G24" s="631"/>
      <c r="H24" s="631"/>
      <c r="I24" s="69"/>
      <c r="J24" s="164">
        <v>0</v>
      </c>
      <c r="K24" s="646">
        <f t="shared" si="0"/>
        <v>0</v>
      </c>
      <c r="L24" s="44"/>
      <c r="M24" s="44"/>
      <c r="N24" s="44"/>
      <c r="O24" s="44"/>
      <c r="P24" s="44"/>
      <c r="R24" s="62"/>
      <c r="S24" s="63"/>
      <c r="T24" s="27"/>
      <c r="U24" s="60"/>
    </row>
    <row r="25" spans="1:21" ht="15.75">
      <c r="A25" s="616" t="s">
        <v>131</v>
      </c>
      <c r="B25" s="161">
        <v>180</v>
      </c>
      <c r="C25" s="630" t="s">
        <v>494</v>
      </c>
      <c r="D25" s="631"/>
      <c r="E25" s="631"/>
      <c r="F25" s="631"/>
      <c r="G25" s="631"/>
      <c r="H25" s="631"/>
      <c r="I25" s="69"/>
      <c r="J25" s="164">
        <v>0</v>
      </c>
      <c r="K25" s="646">
        <f t="shared" si="0"/>
        <v>0</v>
      </c>
      <c r="L25" s="44"/>
      <c r="M25" s="44"/>
      <c r="N25" s="44"/>
      <c r="O25" s="44"/>
      <c r="P25" s="44"/>
      <c r="R25" s="62"/>
      <c r="S25" s="63"/>
      <c r="T25" s="27"/>
      <c r="U25" s="60"/>
    </row>
    <row r="26" spans="1:21" ht="15.75">
      <c r="A26" s="617" t="s">
        <v>144</v>
      </c>
      <c r="B26" s="162">
        <v>170</v>
      </c>
      <c r="C26" s="632" t="s">
        <v>149</v>
      </c>
      <c r="D26" s="631"/>
      <c r="E26" s="631"/>
      <c r="F26" s="631"/>
      <c r="G26" s="631"/>
      <c r="H26" s="631"/>
      <c r="I26" s="69"/>
      <c r="J26" s="164">
        <v>0</v>
      </c>
      <c r="K26" s="646">
        <f t="shared" si="0"/>
        <v>0</v>
      </c>
      <c r="L26" s="44"/>
      <c r="M26" s="44"/>
      <c r="N26" s="44"/>
      <c r="O26" s="44"/>
      <c r="P26" s="44"/>
      <c r="R26" s="62"/>
      <c r="S26" s="63"/>
      <c r="T26" s="170"/>
      <c r="U26" s="60"/>
    </row>
    <row r="27" spans="1:21" ht="15.75">
      <c r="A27" s="617" t="s">
        <v>145</v>
      </c>
      <c r="B27" s="162">
        <v>170</v>
      </c>
      <c r="C27" s="632" t="s">
        <v>149</v>
      </c>
      <c r="D27" s="631"/>
      <c r="E27" s="631"/>
      <c r="F27" s="631"/>
      <c r="G27" s="631"/>
      <c r="H27" s="631"/>
      <c r="I27" s="69"/>
      <c r="J27" s="164">
        <v>0</v>
      </c>
      <c r="K27" s="646">
        <f t="shared" si="0"/>
        <v>0</v>
      </c>
      <c r="L27" s="44"/>
      <c r="M27" s="44"/>
      <c r="N27" s="44"/>
      <c r="O27" s="44"/>
      <c r="P27" s="44"/>
      <c r="R27" s="169"/>
      <c r="S27" s="170"/>
      <c r="T27" s="170"/>
      <c r="U27" s="60"/>
    </row>
    <row r="28" spans="1:21" ht="15.75">
      <c r="A28" s="617" t="s">
        <v>146</v>
      </c>
      <c r="B28" s="162">
        <v>225</v>
      </c>
      <c r="C28" s="630" t="s">
        <v>494</v>
      </c>
      <c r="D28" s="631"/>
      <c r="E28" s="631"/>
      <c r="F28" s="631"/>
      <c r="G28" s="631"/>
      <c r="H28" s="631"/>
      <c r="I28" s="69"/>
      <c r="J28" s="164">
        <v>0</v>
      </c>
      <c r="K28" s="646">
        <f t="shared" si="0"/>
        <v>0</v>
      </c>
      <c r="L28" s="44"/>
      <c r="M28" s="44"/>
      <c r="N28" s="44"/>
      <c r="O28" s="44"/>
      <c r="P28" s="44"/>
      <c r="R28" s="62"/>
      <c r="S28" s="63"/>
      <c r="T28" s="170"/>
      <c r="U28" s="60"/>
    </row>
    <row r="29" spans="1:21" ht="15.75">
      <c r="A29" s="616" t="s">
        <v>132</v>
      </c>
      <c r="B29" s="161">
        <v>135</v>
      </c>
      <c r="C29" s="630" t="s">
        <v>494</v>
      </c>
      <c r="D29" s="631"/>
      <c r="E29" s="631"/>
      <c r="F29" s="631"/>
      <c r="G29" s="631"/>
      <c r="H29" s="631"/>
      <c r="I29" s="69"/>
      <c r="J29" s="164">
        <v>0</v>
      </c>
      <c r="K29" s="646">
        <f t="shared" si="0"/>
        <v>0</v>
      </c>
      <c r="L29" s="44"/>
      <c r="M29" s="44"/>
      <c r="N29" s="44"/>
      <c r="O29" s="44"/>
      <c r="P29" s="44"/>
      <c r="R29" s="62"/>
      <c r="S29" s="171"/>
      <c r="T29" s="27"/>
      <c r="U29" s="60"/>
    </row>
    <row r="30" spans="1:21" ht="15.75">
      <c r="A30" s="616" t="s">
        <v>133</v>
      </c>
      <c r="B30" s="161">
        <v>160</v>
      </c>
      <c r="C30" s="630" t="s">
        <v>494</v>
      </c>
      <c r="D30" s="631"/>
      <c r="E30" s="631"/>
      <c r="F30" s="631"/>
      <c r="G30" s="631"/>
      <c r="H30" s="631"/>
      <c r="I30" s="69"/>
      <c r="J30" s="164">
        <v>0</v>
      </c>
      <c r="K30" s="646">
        <f t="shared" si="0"/>
        <v>0</v>
      </c>
      <c r="L30" s="44"/>
      <c r="M30" s="44"/>
      <c r="N30" s="44"/>
      <c r="O30" s="44"/>
      <c r="P30" s="44"/>
      <c r="R30" s="27"/>
      <c r="S30" s="27"/>
      <c r="T30" s="60"/>
      <c r="U30" s="60"/>
    </row>
    <row r="31" spans="1:21" ht="15.75">
      <c r="A31" s="616" t="s">
        <v>169</v>
      </c>
      <c r="B31" s="161">
        <v>150</v>
      </c>
      <c r="C31" s="630" t="s">
        <v>494</v>
      </c>
      <c r="D31" s="631"/>
      <c r="E31" s="631"/>
      <c r="F31" s="631"/>
      <c r="G31" s="631"/>
      <c r="H31" s="631"/>
      <c r="I31" s="69"/>
      <c r="J31" s="164">
        <v>0</v>
      </c>
      <c r="K31" s="646">
        <f t="shared" si="0"/>
        <v>0</v>
      </c>
      <c r="L31" s="44"/>
      <c r="M31" s="44"/>
      <c r="N31" s="44"/>
      <c r="O31" s="44"/>
      <c r="P31" s="44"/>
      <c r="R31" s="60"/>
      <c r="S31" s="60"/>
      <c r="T31" s="60"/>
      <c r="U31" s="60"/>
    </row>
    <row r="32" spans="1:21" ht="15.75">
      <c r="A32" s="616" t="s">
        <v>153</v>
      </c>
      <c r="B32" s="161">
        <v>100</v>
      </c>
      <c r="C32" s="630" t="s">
        <v>494</v>
      </c>
      <c r="D32" s="631"/>
      <c r="E32" s="631"/>
      <c r="F32" s="631"/>
      <c r="G32" s="631"/>
      <c r="H32" s="631"/>
      <c r="I32" s="69"/>
      <c r="J32" s="164">
        <v>0</v>
      </c>
      <c r="K32" s="646">
        <f t="shared" si="0"/>
        <v>0</v>
      </c>
      <c r="L32" s="44"/>
      <c r="M32" s="44"/>
      <c r="N32" s="44"/>
      <c r="O32" s="44"/>
      <c r="P32" s="44"/>
      <c r="R32" s="60"/>
      <c r="S32" s="60"/>
      <c r="T32" s="60"/>
      <c r="U32" s="60"/>
    </row>
    <row r="33" spans="1:21" ht="15.75">
      <c r="A33" s="616" t="s">
        <v>134</v>
      </c>
      <c r="B33" s="161">
        <v>8</v>
      </c>
      <c r="C33" s="630" t="s">
        <v>494</v>
      </c>
      <c r="D33" s="631"/>
      <c r="E33" s="631"/>
      <c r="F33" s="631"/>
      <c r="G33" s="631"/>
      <c r="H33" s="631"/>
      <c r="I33" s="69"/>
      <c r="J33" s="164">
        <v>0</v>
      </c>
      <c r="K33" s="646">
        <f t="shared" si="0"/>
        <v>0</v>
      </c>
      <c r="L33" s="44"/>
      <c r="M33" s="44"/>
      <c r="N33" s="44"/>
      <c r="O33" s="44"/>
      <c r="P33" s="44"/>
      <c r="R33" s="60"/>
      <c r="S33" s="60"/>
      <c r="T33" s="60"/>
      <c r="U33" s="60"/>
    </row>
    <row r="34" spans="1:21" ht="15.75">
      <c r="A34" s="616" t="s">
        <v>135</v>
      </c>
      <c r="B34" s="161">
        <v>100</v>
      </c>
      <c r="C34" s="632" t="s">
        <v>150</v>
      </c>
      <c r="D34" s="631"/>
      <c r="E34" s="631"/>
      <c r="F34" s="631"/>
      <c r="G34" s="631"/>
      <c r="H34" s="631"/>
      <c r="I34" s="69"/>
      <c r="J34" s="164">
        <v>0</v>
      </c>
      <c r="K34" s="646">
        <f t="shared" si="0"/>
        <v>0</v>
      </c>
      <c r="L34" s="44"/>
      <c r="M34" s="44"/>
      <c r="N34" s="44"/>
      <c r="O34" s="44"/>
      <c r="P34" s="44"/>
      <c r="R34" s="60"/>
      <c r="S34" s="60"/>
      <c r="T34" s="60"/>
      <c r="U34" s="60"/>
    </row>
    <row r="35" spans="1:21" ht="15.75">
      <c r="A35" s="617" t="s">
        <v>147</v>
      </c>
      <c r="B35" s="162">
        <v>100</v>
      </c>
      <c r="C35" s="632" t="s">
        <v>150</v>
      </c>
      <c r="D35" s="631"/>
      <c r="E35" s="631"/>
      <c r="F35" s="631"/>
      <c r="G35" s="631"/>
      <c r="H35" s="631"/>
      <c r="I35" s="69"/>
      <c r="J35" s="164">
        <v>0</v>
      </c>
      <c r="K35" s="646">
        <f t="shared" si="0"/>
        <v>0</v>
      </c>
      <c r="L35" s="44"/>
      <c r="M35" s="44"/>
      <c r="N35" s="44"/>
      <c r="O35" s="44"/>
      <c r="P35" s="44"/>
      <c r="R35" s="60"/>
      <c r="S35" s="172"/>
      <c r="T35" s="60"/>
      <c r="U35" s="60"/>
    </row>
    <row r="36" spans="1:21" ht="15.75">
      <c r="A36" s="616" t="s">
        <v>136</v>
      </c>
      <c r="B36" s="161">
        <v>8</v>
      </c>
      <c r="C36" s="632" t="s">
        <v>151</v>
      </c>
      <c r="D36" s="631"/>
      <c r="E36" s="631"/>
      <c r="F36" s="631"/>
      <c r="G36" s="631"/>
      <c r="H36" s="631"/>
      <c r="I36" s="69"/>
      <c r="J36" s="164">
        <v>0</v>
      </c>
      <c r="K36" s="646">
        <f t="shared" si="0"/>
        <v>0</v>
      </c>
      <c r="L36" s="44"/>
      <c r="M36" s="44"/>
      <c r="N36" s="44"/>
      <c r="O36" s="44"/>
      <c r="P36" s="44"/>
      <c r="R36" s="60"/>
      <c r="S36" s="172"/>
      <c r="T36" s="60"/>
      <c r="U36" s="60"/>
    </row>
    <row r="37" spans="1:21" ht="15.75">
      <c r="A37" s="616" t="s">
        <v>170</v>
      </c>
      <c r="B37" s="161">
        <v>90</v>
      </c>
      <c r="C37" s="630" t="s">
        <v>494</v>
      </c>
      <c r="D37" s="631"/>
      <c r="E37" s="631"/>
      <c r="F37" s="631"/>
      <c r="G37" s="631"/>
      <c r="H37" s="631"/>
      <c r="I37" s="69"/>
      <c r="J37" s="164">
        <v>0</v>
      </c>
      <c r="K37" s="646">
        <f t="shared" si="0"/>
        <v>0</v>
      </c>
      <c r="L37" s="44"/>
      <c r="M37" s="44"/>
      <c r="N37" s="44"/>
      <c r="O37" s="44"/>
      <c r="P37" s="44"/>
      <c r="R37" s="173"/>
      <c r="S37" s="62"/>
      <c r="T37" s="60"/>
      <c r="U37" s="60"/>
    </row>
    <row r="38" spans="1:21" ht="16.5" thickBot="1">
      <c r="A38" s="618" t="s">
        <v>137</v>
      </c>
      <c r="B38" s="163">
        <v>135</v>
      </c>
      <c r="C38" s="630" t="s">
        <v>494</v>
      </c>
      <c r="D38" s="633"/>
      <c r="E38" s="633"/>
      <c r="F38" s="633"/>
      <c r="G38" s="633"/>
      <c r="H38" s="633"/>
      <c r="I38" s="70"/>
      <c r="J38" s="165">
        <v>0</v>
      </c>
      <c r="K38" s="647">
        <f t="shared" si="0"/>
        <v>0</v>
      </c>
      <c r="L38" s="44"/>
      <c r="M38" s="44"/>
      <c r="N38" s="44"/>
      <c r="O38" s="44"/>
      <c r="P38" s="44"/>
      <c r="R38" s="62"/>
      <c r="S38" s="62"/>
      <c r="T38" s="60"/>
      <c r="U38" s="60"/>
    </row>
    <row r="39" spans="1:21" s="44" customFormat="1" ht="15.75">
      <c r="A39" s="90"/>
      <c r="B39" s="91"/>
      <c r="C39" s="92"/>
      <c r="D39" s="93"/>
      <c r="E39" s="93"/>
      <c r="F39" s="93"/>
      <c r="G39" s="93"/>
      <c r="H39" s="93"/>
      <c r="I39" s="93"/>
      <c r="J39" s="94"/>
      <c r="K39" s="95"/>
      <c r="R39" s="62"/>
      <c r="S39" s="62"/>
      <c r="T39" s="60"/>
      <c r="U39" s="60"/>
    </row>
    <row r="40" spans="1:21" s="44" customFormat="1" ht="15.75">
      <c r="A40" s="90"/>
      <c r="B40" s="91"/>
      <c r="C40" s="92"/>
      <c r="D40" s="93"/>
      <c r="E40" s="93"/>
      <c r="F40" s="93"/>
      <c r="G40" s="93"/>
      <c r="H40" s="93"/>
      <c r="I40" s="93"/>
      <c r="J40" s="94"/>
      <c r="K40" s="95"/>
      <c r="R40" s="62"/>
      <c r="S40" s="62"/>
      <c r="T40" s="60"/>
      <c r="U40" s="60"/>
    </row>
    <row r="41" spans="1:21" s="44" customFormat="1" ht="15.75">
      <c r="A41" s="90"/>
      <c r="B41" s="91"/>
      <c r="C41" s="92"/>
      <c r="D41" s="93"/>
      <c r="E41" s="93"/>
      <c r="F41" s="93"/>
      <c r="G41" s="93"/>
      <c r="H41" s="93"/>
      <c r="I41" s="93"/>
      <c r="J41" s="94"/>
      <c r="K41" s="95"/>
      <c r="R41" s="62"/>
      <c r="S41" s="62"/>
      <c r="T41" s="60"/>
      <c r="U41" s="60"/>
    </row>
    <row r="42" spans="2:21" ht="13.5" thickBot="1">
      <c r="B42" s="66"/>
      <c r="C42" s="66"/>
      <c r="D42" s="44"/>
      <c r="E42" s="83"/>
      <c r="F42" s="44"/>
      <c r="G42" s="44"/>
      <c r="H42" s="44"/>
      <c r="I42" s="44"/>
      <c r="J42" s="44"/>
      <c r="K42" s="44"/>
      <c r="L42" s="44"/>
      <c r="M42" s="44"/>
      <c r="N42" s="44"/>
      <c r="O42" s="44"/>
      <c r="P42" s="44"/>
      <c r="R42" s="62"/>
      <c r="S42" s="62"/>
      <c r="T42" s="60"/>
      <c r="U42" s="60"/>
    </row>
    <row r="43" spans="1:21" ht="63">
      <c r="A43" s="614" t="s">
        <v>124</v>
      </c>
      <c r="B43" s="603" t="s">
        <v>157</v>
      </c>
      <c r="C43" s="603" t="s">
        <v>159</v>
      </c>
      <c r="D43" s="604" t="s">
        <v>178</v>
      </c>
      <c r="E43" s="605" t="s">
        <v>179</v>
      </c>
      <c r="F43" s="606" t="s">
        <v>160</v>
      </c>
      <c r="G43" s="44"/>
      <c r="H43" s="44"/>
      <c r="I43" s="44"/>
      <c r="J43" s="44"/>
      <c r="K43" s="44"/>
      <c r="L43" s="44"/>
      <c r="M43" s="44"/>
      <c r="N43" s="44"/>
      <c r="O43" s="44"/>
      <c r="P43" s="44"/>
      <c r="Q43" s="89"/>
      <c r="R43" s="62"/>
      <c r="S43" s="64"/>
      <c r="T43" s="60"/>
      <c r="U43" s="60"/>
    </row>
    <row r="44" spans="1:21" ht="16.5" thickBot="1">
      <c r="A44" s="615"/>
      <c r="B44" s="607" t="s">
        <v>158</v>
      </c>
      <c r="C44" s="607" t="s">
        <v>126</v>
      </c>
      <c r="D44" s="608" t="s">
        <v>340</v>
      </c>
      <c r="E44" s="608" t="s">
        <v>340</v>
      </c>
      <c r="F44" s="609" t="s">
        <v>161</v>
      </c>
      <c r="G44" s="85"/>
      <c r="H44" s="42"/>
      <c r="I44" s="60"/>
      <c r="J44" s="60"/>
      <c r="K44" s="60"/>
      <c r="L44" s="44"/>
      <c r="M44" s="44"/>
      <c r="N44" s="44"/>
      <c r="O44" s="44"/>
      <c r="P44" s="44"/>
      <c r="R44" s="62"/>
      <c r="S44" s="64"/>
      <c r="T44" s="60"/>
      <c r="U44" s="60"/>
    </row>
    <row r="45" spans="1:21" ht="15.75">
      <c r="A45" s="616" t="s">
        <v>127</v>
      </c>
      <c r="B45" s="648">
        <f>(K14*B14)/100</f>
        <v>0</v>
      </c>
      <c r="C45" s="648">
        <f>K14*10000</f>
        <v>0</v>
      </c>
      <c r="D45" s="649">
        <f aca="true" t="shared" si="1" ref="D45:D69">($K$47*0.001*C45)/0.02</f>
        <v>0</v>
      </c>
      <c r="E45" s="649">
        <f aca="true" t="shared" si="2" ref="E45:E69">($K$48*0.001*C45)/0.015</f>
        <v>0</v>
      </c>
      <c r="F45" s="650">
        <f aca="true" t="shared" si="3" ref="F45:F69">((B45*10^6)/(43560*2.2))</f>
        <v>0</v>
      </c>
      <c r="G45" s="60"/>
      <c r="H45" s="60"/>
      <c r="I45" s="85"/>
      <c r="J45" s="1059" t="s">
        <v>339</v>
      </c>
      <c r="K45" s="1043" t="s">
        <v>337</v>
      </c>
      <c r="L45" s="1044"/>
      <c r="M45" s="44"/>
      <c r="N45" s="44"/>
      <c r="O45" s="44"/>
      <c r="P45" s="44"/>
      <c r="R45" s="62"/>
      <c r="S45" s="64"/>
      <c r="T45" s="60"/>
      <c r="U45" s="60"/>
    </row>
    <row r="46" spans="1:21" ht="16.5" thickBot="1">
      <c r="A46" s="617" t="s">
        <v>139</v>
      </c>
      <c r="B46" s="648">
        <f>(K15*B15)/100</f>
        <v>0</v>
      </c>
      <c r="C46" s="648">
        <f>K15*10000</f>
        <v>0</v>
      </c>
      <c r="D46" s="649">
        <f t="shared" si="1"/>
        <v>0</v>
      </c>
      <c r="E46" s="649">
        <f t="shared" si="2"/>
        <v>0</v>
      </c>
      <c r="F46" s="650">
        <f t="shared" si="3"/>
        <v>0</v>
      </c>
      <c r="G46" s="60"/>
      <c r="H46" s="86"/>
      <c r="I46" s="60"/>
      <c r="J46" s="1060"/>
      <c r="K46" s="1045" t="s">
        <v>338</v>
      </c>
      <c r="L46" s="1046"/>
      <c r="M46" s="44"/>
      <c r="N46" s="44"/>
      <c r="O46" s="44"/>
      <c r="P46" s="44"/>
      <c r="R46" s="62"/>
      <c r="S46" s="64"/>
      <c r="T46" s="60"/>
      <c r="U46" s="60"/>
    </row>
    <row r="47" spans="1:21" ht="15.75">
      <c r="A47" s="617" t="s">
        <v>140</v>
      </c>
      <c r="B47" s="648">
        <f>(K16*B16)/100</f>
        <v>0</v>
      </c>
      <c r="C47" s="648">
        <f>K16*10000</f>
        <v>0</v>
      </c>
      <c r="D47" s="649">
        <f t="shared" si="1"/>
        <v>0</v>
      </c>
      <c r="E47" s="649">
        <f t="shared" si="2"/>
        <v>0</v>
      </c>
      <c r="F47" s="650">
        <f t="shared" si="3"/>
        <v>0</v>
      </c>
      <c r="G47" s="42"/>
      <c r="H47" s="86"/>
      <c r="I47" s="60"/>
      <c r="J47" s="625" t="s">
        <v>257</v>
      </c>
      <c r="K47" s="87">
        <f>(0.648*20^0.651)/0.9</f>
        <v>5.0617771806688765</v>
      </c>
      <c r="L47" s="246"/>
      <c r="M47" s="44"/>
      <c r="N47" s="44"/>
      <c r="O47" s="44"/>
      <c r="P47" s="44"/>
      <c r="R47" s="62"/>
      <c r="S47" s="64"/>
      <c r="T47" s="60"/>
      <c r="U47" s="60"/>
    </row>
    <row r="48" spans="1:21" ht="16.5" thickBot="1">
      <c r="A48" s="617" t="s">
        <v>141</v>
      </c>
      <c r="B48" s="648">
        <f>(K17*B17)/100</f>
        <v>0</v>
      </c>
      <c r="C48" s="648">
        <f>K17*10000</f>
        <v>0</v>
      </c>
      <c r="D48" s="649">
        <f t="shared" si="1"/>
        <v>0</v>
      </c>
      <c r="E48" s="649">
        <f t="shared" si="2"/>
        <v>0</v>
      </c>
      <c r="F48" s="650">
        <f t="shared" si="3"/>
        <v>0</v>
      </c>
      <c r="G48" s="71"/>
      <c r="H48" s="71"/>
      <c r="I48" s="71"/>
      <c r="J48" s="626" t="s">
        <v>258</v>
      </c>
      <c r="K48" s="627">
        <f>((0.621*15^0.564)/(1-0.1))</f>
        <v>3.178078065084758</v>
      </c>
      <c r="L48" s="44"/>
      <c r="M48" s="44"/>
      <c r="N48" s="44"/>
      <c r="O48" s="44"/>
      <c r="P48" s="44"/>
      <c r="R48" s="62"/>
      <c r="S48" s="64"/>
      <c r="T48" s="60"/>
      <c r="U48" s="60"/>
    </row>
    <row r="49" spans="1:21" ht="15.75">
      <c r="A49" s="619" t="s">
        <v>142</v>
      </c>
      <c r="B49" s="651">
        <f>(K18*B18)/100</f>
        <v>0</v>
      </c>
      <c r="C49" s="651">
        <f>K18*10000</f>
        <v>0</v>
      </c>
      <c r="D49" s="652">
        <f t="shared" si="1"/>
        <v>0</v>
      </c>
      <c r="E49" s="652">
        <f t="shared" si="2"/>
        <v>0</v>
      </c>
      <c r="F49" s="653">
        <f t="shared" si="3"/>
        <v>0</v>
      </c>
      <c r="G49" s="71"/>
      <c r="H49" s="71"/>
      <c r="I49" s="71"/>
      <c r="J49" s="71"/>
      <c r="K49" s="71"/>
      <c r="L49" s="44"/>
      <c r="M49" s="44"/>
      <c r="N49" s="44"/>
      <c r="O49" s="44"/>
      <c r="P49" s="44"/>
      <c r="R49" s="62"/>
      <c r="S49" s="64"/>
      <c r="T49" s="60"/>
      <c r="U49" s="60"/>
    </row>
    <row r="50" spans="1:21" ht="15.75">
      <c r="A50" s="616" t="s">
        <v>167</v>
      </c>
      <c r="B50" s="648">
        <f aca="true" t="shared" si="4" ref="B50:B69">(K19*B19)/100</f>
        <v>0</v>
      </c>
      <c r="C50" s="648">
        <f aca="true" t="shared" si="5" ref="C50:C69">K19*10000</f>
        <v>0</v>
      </c>
      <c r="D50" s="649">
        <f t="shared" si="1"/>
        <v>0</v>
      </c>
      <c r="E50" s="649">
        <f t="shared" si="2"/>
        <v>0</v>
      </c>
      <c r="F50" s="650">
        <f t="shared" si="3"/>
        <v>0</v>
      </c>
      <c r="G50" s="44"/>
      <c r="H50" s="72"/>
      <c r="I50" s="72"/>
      <c r="J50" s="44"/>
      <c r="K50" s="44"/>
      <c r="L50" s="44"/>
      <c r="M50" s="44"/>
      <c r="N50" s="44"/>
      <c r="O50" s="44"/>
      <c r="P50" s="44"/>
      <c r="R50" s="62"/>
      <c r="S50" s="64"/>
      <c r="T50" s="60"/>
      <c r="U50" s="60"/>
    </row>
    <row r="51" spans="1:21" ht="15.75">
      <c r="A51" s="616" t="s">
        <v>128</v>
      </c>
      <c r="B51" s="648">
        <f t="shared" si="4"/>
        <v>0</v>
      </c>
      <c r="C51" s="648">
        <f t="shared" si="5"/>
        <v>0</v>
      </c>
      <c r="D51" s="649">
        <f t="shared" si="1"/>
        <v>0</v>
      </c>
      <c r="E51" s="649">
        <f t="shared" si="2"/>
        <v>0</v>
      </c>
      <c r="F51" s="650">
        <f t="shared" si="3"/>
        <v>0</v>
      </c>
      <c r="G51" s="44"/>
      <c r="H51" s="72"/>
      <c r="I51" s="72"/>
      <c r="J51" s="44"/>
      <c r="K51" s="44"/>
      <c r="L51" s="44"/>
      <c r="M51" s="44"/>
      <c r="N51" s="44"/>
      <c r="O51" s="44"/>
      <c r="P51" s="44"/>
      <c r="R51" s="62"/>
      <c r="S51" s="64"/>
      <c r="T51" s="60"/>
      <c r="U51" s="60"/>
    </row>
    <row r="52" spans="1:21" ht="15.75">
      <c r="A52" s="616" t="s">
        <v>129</v>
      </c>
      <c r="B52" s="648">
        <f t="shared" si="4"/>
        <v>0</v>
      </c>
      <c r="C52" s="648">
        <f t="shared" si="5"/>
        <v>0</v>
      </c>
      <c r="D52" s="649">
        <f t="shared" si="1"/>
        <v>0</v>
      </c>
      <c r="E52" s="649">
        <f t="shared" si="2"/>
        <v>0</v>
      </c>
      <c r="F52" s="650">
        <f t="shared" si="3"/>
        <v>0</v>
      </c>
      <c r="G52" s="44"/>
      <c r="H52" s="75"/>
      <c r="I52" s="73"/>
      <c r="J52" s="44"/>
      <c r="K52" s="44"/>
      <c r="L52" s="44"/>
      <c r="M52" s="44"/>
      <c r="N52" s="44"/>
      <c r="O52" s="44"/>
      <c r="P52" s="44"/>
      <c r="R52" s="62"/>
      <c r="S52" s="64"/>
      <c r="T52" s="60"/>
      <c r="U52" s="60"/>
    </row>
    <row r="53" spans="1:21" ht="15.75">
      <c r="A53" s="616" t="s">
        <v>130</v>
      </c>
      <c r="B53" s="648">
        <f t="shared" si="4"/>
        <v>0</v>
      </c>
      <c r="C53" s="648">
        <f t="shared" si="5"/>
        <v>0</v>
      </c>
      <c r="D53" s="649">
        <f t="shared" si="1"/>
        <v>0</v>
      </c>
      <c r="E53" s="649">
        <f t="shared" si="2"/>
        <v>0</v>
      </c>
      <c r="F53" s="650">
        <f t="shared" si="3"/>
        <v>0</v>
      </c>
      <c r="G53" s="74"/>
      <c r="H53" s="75"/>
      <c r="I53" s="73"/>
      <c r="J53" s="73"/>
      <c r="K53" s="72"/>
      <c r="L53" s="44"/>
      <c r="M53" s="44"/>
      <c r="N53" s="44"/>
      <c r="O53" s="44"/>
      <c r="P53" s="44"/>
      <c r="R53" s="62"/>
      <c r="S53" s="64"/>
      <c r="T53" s="60"/>
      <c r="U53" s="60"/>
    </row>
    <row r="54" spans="1:21" ht="15.75">
      <c r="A54" s="615" t="s">
        <v>168</v>
      </c>
      <c r="B54" s="651">
        <f t="shared" si="4"/>
        <v>0</v>
      </c>
      <c r="C54" s="651">
        <f t="shared" si="5"/>
        <v>0</v>
      </c>
      <c r="D54" s="652">
        <f t="shared" si="1"/>
        <v>0</v>
      </c>
      <c r="E54" s="652">
        <f t="shared" si="2"/>
        <v>0</v>
      </c>
      <c r="F54" s="653">
        <f t="shared" si="3"/>
        <v>0</v>
      </c>
      <c r="G54" s="74"/>
      <c r="H54" s="75"/>
      <c r="I54" s="76"/>
      <c r="J54" s="73"/>
      <c r="K54" s="72"/>
      <c r="L54" s="44"/>
      <c r="M54" s="44"/>
      <c r="N54" s="44"/>
      <c r="O54" s="44"/>
      <c r="P54" s="44"/>
      <c r="R54" s="62"/>
      <c r="S54" s="64"/>
      <c r="T54" s="60"/>
      <c r="U54" s="60"/>
    </row>
    <row r="55" spans="1:21" ht="15.75">
      <c r="A55" s="617" t="s">
        <v>143</v>
      </c>
      <c r="B55" s="648">
        <f t="shared" si="4"/>
        <v>0</v>
      </c>
      <c r="C55" s="648">
        <f t="shared" si="5"/>
        <v>0</v>
      </c>
      <c r="D55" s="649">
        <f t="shared" si="1"/>
        <v>0</v>
      </c>
      <c r="E55" s="649">
        <f t="shared" si="2"/>
        <v>0</v>
      </c>
      <c r="F55" s="650">
        <f t="shared" si="3"/>
        <v>0</v>
      </c>
      <c r="G55" s="77"/>
      <c r="H55" s="78"/>
      <c r="I55" s="73"/>
      <c r="J55" s="73"/>
      <c r="K55" s="72"/>
      <c r="L55" s="44"/>
      <c r="M55" s="44"/>
      <c r="N55" s="44"/>
      <c r="O55" s="44"/>
      <c r="P55" s="44"/>
      <c r="R55" s="60"/>
      <c r="S55" s="60"/>
      <c r="T55" s="60"/>
      <c r="U55" s="60"/>
    </row>
    <row r="56" spans="1:16" ht="15.75">
      <c r="A56" s="616" t="s">
        <v>131</v>
      </c>
      <c r="B56" s="648">
        <f t="shared" si="4"/>
        <v>0</v>
      </c>
      <c r="C56" s="648">
        <f t="shared" si="5"/>
        <v>0</v>
      </c>
      <c r="D56" s="649">
        <f t="shared" si="1"/>
        <v>0</v>
      </c>
      <c r="E56" s="649">
        <f t="shared" si="2"/>
        <v>0</v>
      </c>
      <c r="F56" s="650">
        <f t="shared" si="3"/>
        <v>0</v>
      </c>
      <c r="G56" s="77"/>
      <c r="H56" s="79"/>
      <c r="I56" s="73"/>
      <c r="J56" s="73"/>
      <c r="K56" s="72"/>
      <c r="L56" s="44"/>
      <c r="M56" s="44"/>
      <c r="N56" s="44"/>
      <c r="O56" s="44"/>
      <c r="P56" s="44"/>
    </row>
    <row r="57" spans="1:16" ht="15.75">
      <c r="A57" s="617" t="s">
        <v>144</v>
      </c>
      <c r="B57" s="648">
        <f t="shared" si="4"/>
        <v>0</v>
      </c>
      <c r="C57" s="648">
        <f t="shared" si="5"/>
        <v>0</v>
      </c>
      <c r="D57" s="649">
        <f t="shared" si="1"/>
        <v>0</v>
      </c>
      <c r="E57" s="649">
        <f t="shared" si="2"/>
        <v>0</v>
      </c>
      <c r="F57" s="650">
        <f t="shared" si="3"/>
        <v>0</v>
      </c>
      <c r="G57" s="76"/>
      <c r="H57" s="73"/>
      <c r="I57" s="73"/>
      <c r="J57" s="73"/>
      <c r="K57" s="72"/>
      <c r="L57" s="44"/>
      <c r="M57" s="44"/>
      <c r="N57" s="44"/>
      <c r="O57" s="44"/>
      <c r="P57" s="44"/>
    </row>
    <row r="58" spans="1:16" ht="15.75">
      <c r="A58" s="617" t="s">
        <v>145</v>
      </c>
      <c r="B58" s="648">
        <f t="shared" si="4"/>
        <v>0</v>
      </c>
      <c r="C58" s="648">
        <f t="shared" si="5"/>
        <v>0</v>
      </c>
      <c r="D58" s="649">
        <f t="shared" si="1"/>
        <v>0</v>
      </c>
      <c r="E58" s="649">
        <f t="shared" si="2"/>
        <v>0</v>
      </c>
      <c r="F58" s="650">
        <f t="shared" si="3"/>
        <v>0</v>
      </c>
      <c r="G58" s="72"/>
      <c r="H58" s="72"/>
      <c r="I58" s="72"/>
      <c r="J58" s="72"/>
      <c r="K58" s="72"/>
      <c r="L58" s="44"/>
      <c r="M58" s="44"/>
      <c r="N58" s="44"/>
      <c r="O58" s="44"/>
      <c r="P58" s="44"/>
    </row>
    <row r="59" spans="1:16" ht="15.75">
      <c r="A59" s="619" t="s">
        <v>146</v>
      </c>
      <c r="B59" s="651">
        <f t="shared" si="4"/>
        <v>0</v>
      </c>
      <c r="C59" s="651">
        <f t="shared" si="5"/>
        <v>0</v>
      </c>
      <c r="D59" s="652">
        <f t="shared" si="1"/>
        <v>0</v>
      </c>
      <c r="E59" s="652">
        <f t="shared" si="2"/>
        <v>0</v>
      </c>
      <c r="F59" s="653">
        <f t="shared" si="3"/>
        <v>0</v>
      </c>
      <c r="G59" s="72"/>
      <c r="H59" s="72"/>
      <c r="I59" s="72"/>
      <c r="J59" s="72"/>
      <c r="K59" s="72"/>
      <c r="L59" s="44"/>
      <c r="M59" s="44"/>
      <c r="N59" s="44"/>
      <c r="O59" s="44"/>
      <c r="P59" s="44"/>
    </row>
    <row r="60" spans="1:16" ht="15.75">
      <c r="A60" s="616" t="s">
        <v>132</v>
      </c>
      <c r="B60" s="648">
        <f t="shared" si="4"/>
        <v>0</v>
      </c>
      <c r="C60" s="648">
        <f t="shared" si="5"/>
        <v>0</v>
      </c>
      <c r="D60" s="649">
        <f t="shared" si="1"/>
        <v>0</v>
      </c>
      <c r="E60" s="649">
        <f t="shared" si="2"/>
        <v>0</v>
      </c>
      <c r="F60" s="650">
        <f t="shared" si="3"/>
        <v>0</v>
      </c>
      <c r="G60" s="72"/>
      <c r="H60" s="72"/>
      <c r="I60" s="72"/>
      <c r="J60" s="72"/>
      <c r="K60" s="72"/>
      <c r="L60" s="44"/>
      <c r="M60" s="44"/>
      <c r="N60" s="44"/>
      <c r="O60" s="44"/>
      <c r="P60" s="44"/>
    </row>
    <row r="61" spans="1:16" ht="15.75">
      <c r="A61" s="616" t="s">
        <v>133</v>
      </c>
      <c r="B61" s="648">
        <f t="shared" si="4"/>
        <v>0</v>
      </c>
      <c r="C61" s="648">
        <f t="shared" si="5"/>
        <v>0</v>
      </c>
      <c r="D61" s="649">
        <f t="shared" si="1"/>
        <v>0</v>
      </c>
      <c r="E61" s="649">
        <f t="shared" si="2"/>
        <v>0</v>
      </c>
      <c r="F61" s="650">
        <f t="shared" si="3"/>
        <v>0</v>
      </c>
      <c r="G61" s="72"/>
      <c r="H61" s="72"/>
      <c r="I61" s="72"/>
      <c r="J61" s="72"/>
      <c r="K61" s="72"/>
      <c r="L61" s="44"/>
      <c r="M61" s="44"/>
      <c r="N61" s="44"/>
      <c r="O61" s="44"/>
      <c r="P61" s="44"/>
    </row>
    <row r="62" spans="1:16" ht="15.75">
      <c r="A62" s="616" t="s">
        <v>169</v>
      </c>
      <c r="B62" s="648">
        <f t="shared" si="4"/>
        <v>0</v>
      </c>
      <c r="C62" s="648">
        <f t="shared" si="5"/>
        <v>0</v>
      </c>
      <c r="D62" s="649">
        <f t="shared" si="1"/>
        <v>0</v>
      </c>
      <c r="E62" s="649">
        <f t="shared" si="2"/>
        <v>0</v>
      </c>
      <c r="F62" s="650">
        <f t="shared" si="3"/>
        <v>0</v>
      </c>
      <c r="G62" s="72"/>
      <c r="H62" s="72"/>
      <c r="I62" s="72"/>
      <c r="J62" s="72"/>
      <c r="K62" s="72"/>
      <c r="L62" s="44"/>
      <c r="M62" s="44"/>
      <c r="N62" s="44"/>
      <c r="O62" s="44"/>
      <c r="P62" s="44"/>
    </row>
    <row r="63" spans="1:16" ht="15.75">
      <c r="A63" s="616" t="s">
        <v>153</v>
      </c>
      <c r="B63" s="648">
        <f t="shared" si="4"/>
        <v>0</v>
      </c>
      <c r="C63" s="648">
        <f t="shared" si="5"/>
        <v>0</v>
      </c>
      <c r="D63" s="649">
        <f t="shared" si="1"/>
        <v>0</v>
      </c>
      <c r="E63" s="649">
        <f t="shared" si="2"/>
        <v>0</v>
      </c>
      <c r="F63" s="650">
        <f t="shared" si="3"/>
        <v>0</v>
      </c>
      <c r="G63" s="72"/>
      <c r="H63" s="72"/>
      <c r="I63" s="72"/>
      <c r="J63" s="72"/>
      <c r="K63" s="72"/>
      <c r="L63" s="44"/>
      <c r="M63" s="44"/>
      <c r="N63" s="44"/>
      <c r="O63" s="44"/>
      <c r="P63" s="44"/>
    </row>
    <row r="64" spans="1:16" ht="15.75">
      <c r="A64" s="615" t="s">
        <v>134</v>
      </c>
      <c r="B64" s="651">
        <f t="shared" si="4"/>
        <v>0</v>
      </c>
      <c r="C64" s="651">
        <f t="shared" si="5"/>
        <v>0</v>
      </c>
      <c r="D64" s="652">
        <f t="shared" si="1"/>
        <v>0</v>
      </c>
      <c r="E64" s="652">
        <f t="shared" si="2"/>
        <v>0</v>
      </c>
      <c r="F64" s="653">
        <f t="shared" si="3"/>
        <v>0</v>
      </c>
      <c r="G64" s="72"/>
      <c r="H64" s="72"/>
      <c r="I64" s="72"/>
      <c r="J64" s="72"/>
      <c r="K64" s="72"/>
      <c r="L64" s="44"/>
      <c r="M64" s="44"/>
      <c r="N64" s="44"/>
      <c r="O64" s="44"/>
      <c r="P64" s="44"/>
    </row>
    <row r="65" spans="1:16" ht="15.75">
      <c r="A65" s="616" t="s">
        <v>135</v>
      </c>
      <c r="B65" s="648">
        <f t="shared" si="4"/>
        <v>0</v>
      </c>
      <c r="C65" s="648">
        <f t="shared" si="5"/>
        <v>0</v>
      </c>
      <c r="D65" s="649">
        <f t="shared" si="1"/>
        <v>0</v>
      </c>
      <c r="E65" s="649">
        <f t="shared" si="2"/>
        <v>0</v>
      </c>
      <c r="F65" s="650">
        <f t="shared" si="3"/>
        <v>0</v>
      </c>
      <c r="G65" s="72"/>
      <c r="H65" s="72"/>
      <c r="I65" s="72"/>
      <c r="J65" s="72"/>
      <c r="K65" s="72"/>
      <c r="L65" s="44"/>
      <c r="M65" s="44"/>
      <c r="N65" s="44"/>
      <c r="O65" s="44"/>
      <c r="P65" s="44"/>
    </row>
    <row r="66" spans="1:16" ht="15.75">
      <c r="A66" s="617" t="s">
        <v>147</v>
      </c>
      <c r="B66" s="648">
        <f t="shared" si="4"/>
        <v>0</v>
      </c>
      <c r="C66" s="648">
        <f t="shared" si="5"/>
        <v>0</v>
      </c>
      <c r="D66" s="649">
        <f t="shared" si="1"/>
        <v>0</v>
      </c>
      <c r="E66" s="649">
        <f t="shared" si="2"/>
        <v>0</v>
      </c>
      <c r="F66" s="650">
        <f t="shared" si="3"/>
        <v>0</v>
      </c>
      <c r="G66" s="72"/>
      <c r="H66" s="72"/>
      <c r="I66" s="72"/>
      <c r="J66" s="72"/>
      <c r="K66" s="72"/>
      <c r="L66" s="44"/>
      <c r="M66" s="44"/>
      <c r="N66" s="44"/>
      <c r="O66" s="44"/>
      <c r="P66" s="44"/>
    </row>
    <row r="67" spans="1:16" ht="15.75">
      <c r="A67" s="616" t="s">
        <v>136</v>
      </c>
      <c r="B67" s="648">
        <f t="shared" si="4"/>
        <v>0</v>
      </c>
      <c r="C67" s="648">
        <f t="shared" si="5"/>
        <v>0</v>
      </c>
      <c r="D67" s="649">
        <f t="shared" si="1"/>
        <v>0</v>
      </c>
      <c r="E67" s="649">
        <f t="shared" si="2"/>
        <v>0</v>
      </c>
      <c r="F67" s="650">
        <f t="shared" si="3"/>
        <v>0</v>
      </c>
      <c r="G67" s="44"/>
      <c r="H67" s="44"/>
      <c r="I67" s="44"/>
      <c r="J67" s="44"/>
      <c r="K67" s="72"/>
      <c r="L67" s="44"/>
      <c r="M67" s="44"/>
      <c r="N67" s="44"/>
      <c r="O67" s="44"/>
      <c r="P67" s="44"/>
    </row>
    <row r="68" spans="1:16" ht="15.75">
      <c r="A68" s="616" t="s">
        <v>170</v>
      </c>
      <c r="B68" s="648">
        <f t="shared" si="4"/>
        <v>0</v>
      </c>
      <c r="C68" s="648">
        <f t="shared" si="5"/>
        <v>0</v>
      </c>
      <c r="D68" s="649">
        <f t="shared" si="1"/>
        <v>0</v>
      </c>
      <c r="E68" s="649">
        <f t="shared" si="2"/>
        <v>0</v>
      </c>
      <c r="F68" s="650">
        <f t="shared" si="3"/>
        <v>0</v>
      </c>
      <c r="G68" s="44"/>
      <c r="H68" s="44"/>
      <c r="I68" s="44"/>
      <c r="J68" s="44"/>
      <c r="K68" s="72"/>
      <c r="L68" s="44"/>
      <c r="M68" s="44"/>
      <c r="N68" s="44"/>
      <c r="O68" s="44"/>
      <c r="P68" s="44"/>
    </row>
    <row r="69" spans="1:16" ht="16.5" thickBot="1">
      <c r="A69" s="618" t="s">
        <v>137</v>
      </c>
      <c r="B69" s="654">
        <f t="shared" si="4"/>
        <v>0</v>
      </c>
      <c r="C69" s="654">
        <f t="shared" si="5"/>
        <v>0</v>
      </c>
      <c r="D69" s="655">
        <f t="shared" si="1"/>
        <v>0</v>
      </c>
      <c r="E69" s="655">
        <f t="shared" si="2"/>
        <v>0</v>
      </c>
      <c r="F69" s="656">
        <f t="shared" si="3"/>
        <v>0</v>
      </c>
      <c r="G69" s="44"/>
      <c r="H69" s="44"/>
      <c r="I69" s="44"/>
      <c r="J69" s="44"/>
      <c r="K69" s="72"/>
      <c r="L69" s="44"/>
      <c r="M69" s="44"/>
      <c r="N69" s="44"/>
      <c r="O69" s="44"/>
      <c r="P69" s="44"/>
    </row>
    <row r="70" spans="2:16" ht="15">
      <c r="B70" s="66"/>
      <c r="C70" s="66"/>
      <c r="D70" s="44"/>
      <c r="E70" s="44"/>
      <c r="F70" s="72"/>
      <c r="G70" s="72"/>
      <c r="H70" s="72"/>
      <c r="I70" s="72"/>
      <c r="J70" s="72"/>
      <c r="K70" s="72"/>
      <c r="L70" s="44"/>
      <c r="M70" s="44"/>
      <c r="N70" s="44"/>
      <c r="O70" s="44"/>
      <c r="P70" s="44"/>
    </row>
    <row r="71" spans="2:16" ht="15">
      <c r="B71" s="66"/>
      <c r="C71" s="66"/>
      <c r="D71" s="44"/>
      <c r="E71" s="44"/>
      <c r="F71" s="72"/>
      <c r="G71" s="72"/>
      <c r="H71" s="72"/>
      <c r="I71" s="72"/>
      <c r="J71" s="72"/>
      <c r="K71" s="72"/>
      <c r="L71" s="44"/>
      <c r="M71" s="44"/>
      <c r="N71" s="44"/>
      <c r="O71" s="44"/>
      <c r="P71" s="44"/>
    </row>
    <row r="72" spans="2:16" ht="15">
      <c r="B72" s="66"/>
      <c r="C72" s="66"/>
      <c r="D72" s="44"/>
      <c r="E72" s="44"/>
      <c r="F72" s="72"/>
      <c r="G72" s="72"/>
      <c r="H72" s="72"/>
      <c r="I72" s="72"/>
      <c r="J72" s="72"/>
      <c r="K72" s="72"/>
      <c r="L72" s="44"/>
      <c r="M72" s="44"/>
      <c r="N72" s="44"/>
      <c r="O72" s="44"/>
      <c r="P72" s="44"/>
    </row>
    <row r="73" spans="2:16" ht="15">
      <c r="B73" s="66"/>
      <c r="C73" s="66"/>
      <c r="D73" s="44"/>
      <c r="E73" s="44"/>
      <c r="F73" s="72"/>
      <c r="G73" s="72"/>
      <c r="H73" s="72"/>
      <c r="I73" s="72"/>
      <c r="J73" s="72"/>
      <c r="K73" s="72"/>
      <c r="L73" s="44"/>
      <c r="M73" s="44"/>
      <c r="N73" s="44"/>
      <c r="O73" s="44"/>
      <c r="P73" s="44"/>
    </row>
    <row r="74" spans="2:16" ht="15">
      <c r="B74" s="66"/>
      <c r="C74" s="66"/>
      <c r="D74" s="44"/>
      <c r="E74" s="44"/>
      <c r="F74" s="72"/>
      <c r="G74" s="72"/>
      <c r="H74" s="72"/>
      <c r="I74" s="72"/>
      <c r="J74" s="72"/>
      <c r="K74" s="72"/>
      <c r="L74" s="44"/>
      <c r="M74" s="44"/>
      <c r="N74" s="44"/>
      <c r="O74" s="44"/>
      <c r="P74" s="44"/>
    </row>
    <row r="75" spans="2:16" ht="15.75" thickBot="1">
      <c r="B75" s="27"/>
      <c r="C75" s="27"/>
      <c r="D75" s="60"/>
      <c r="E75" s="60"/>
      <c r="F75" s="72"/>
      <c r="G75" s="72"/>
      <c r="H75" s="72"/>
      <c r="I75" s="72"/>
      <c r="J75" s="72"/>
      <c r="K75" s="72"/>
      <c r="L75" s="44"/>
      <c r="M75" s="44"/>
      <c r="N75" s="44"/>
      <c r="O75" s="44"/>
      <c r="P75" s="44"/>
    </row>
    <row r="76" spans="1:16" ht="15.75">
      <c r="A76" s="1023" t="s">
        <v>124</v>
      </c>
      <c r="B76" s="1032" t="s">
        <v>176</v>
      </c>
      <c r="C76" s="972"/>
      <c r="D76" s="972"/>
      <c r="E76" s="972"/>
      <c r="F76" s="972"/>
      <c r="G76" s="973"/>
      <c r="H76" s="72"/>
      <c r="I76" s="72"/>
      <c r="J76" s="72"/>
      <c r="K76" s="72"/>
      <c r="L76" s="44"/>
      <c r="M76" s="44"/>
      <c r="N76" s="44"/>
      <c r="O76" s="44"/>
      <c r="P76" s="44"/>
    </row>
    <row r="77" spans="1:16" ht="15.75">
      <c r="A77" s="1024"/>
      <c r="B77" s="1026" t="s">
        <v>256</v>
      </c>
      <c r="C77" s="1027"/>
      <c r="D77" s="1028"/>
      <c r="E77" s="1029" t="s">
        <v>255</v>
      </c>
      <c r="F77" s="1030"/>
      <c r="G77" s="1031"/>
      <c r="H77" s="72"/>
      <c r="I77" s="72"/>
      <c r="J77" s="72"/>
      <c r="K77" s="72"/>
      <c r="L77" s="44"/>
      <c r="M77" s="44"/>
      <c r="N77" s="44"/>
      <c r="O77" s="44"/>
      <c r="P77" s="44"/>
    </row>
    <row r="78" spans="1:16" ht="15.75">
      <c r="A78" s="1025"/>
      <c r="B78" s="608" t="s">
        <v>173</v>
      </c>
      <c r="C78" s="657" t="s">
        <v>174</v>
      </c>
      <c r="D78" s="658" t="s">
        <v>49</v>
      </c>
      <c r="E78" s="659" t="s">
        <v>173</v>
      </c>
      <c r="F78" s="608" t="s">
        <v>174</v>
      </c>
      <c r="G78" s="660" t="s">
        <v>49</v>
      </c>
      <c r="H78" s="72"/>
      <c r="I78" s="72"/>
      <c r="J78" s="72"/>
      <c r="K78" s="72"/>
      <c r="L78" s="44"/>
      <c r="M78" s="44"/>
      <c r="N78" s="44"/>
      <c r="O78" s="44"/>
      <c r="P78" s="44"/>
    </row>
    <row r="79" spans="1:16" ht="15.75">
      <c r="A79" s="620" t="s">
        <v>127</v>
      </c>
      <c r="B79" s="752" t="e">
        <f>D45/$E$7</f>
        <v>#DIV/0!</v>
      </c>
      <c r="C79" s="752" t="e">
        <f aca="true" t="shared" si="6" ref="C79:C103">((F45)/($E$7*0.02))</f>
        <v>#DIV/0!</v>
      </c>
      <c r="D79" s="753" t="e">
        <f>C45/$C$8</f>
        <v>#DIV/0!</v>
      </c>
      <c r="E79" s="754" t="e">
        <f>E45/$E$9</f>
        <v>#DIV/0!</v>
      </c>
      <c r="F79" s="752" t="e">
        <f aca="true" t="shared" si="7" ref="F79:F103">((F45)/($E$9*0.015))</f>
        <v>#DIV/0!</v>
      </c>
      <c r="G79" s="755" t="e">
        <f>C45/$C$10</f>
        <v>#DIV/0!</v>
      </c>
      <c r="H79" s="72"/>
      <c r="I79" s="72"/>
      <c r="J79" s="72"/>
      <c r="K79" s="72"/>
      <c r="L79" s="44"/>
      <c r="M79" s="44"/>
      <c r="N79" s="44"/>
      <c r="O79" s="44"/>
      <c r="P79" s="44"/>
    </row>
    <row r="80" spans="1:16" ht="15.75">
      <c r="A80" s="621" t="s">
        <v>139</v>
      </c>
      <c r="B80" s="756" t="e">
        <f aca="true" t="shared" si="8" ref="B80:B103">D46/$E$7</f>
        <v>#DIV/0!</v>
      </c>
      <c r="C80" s="756" t="e">
        <f t="shared" si="6"/>
        <v>#DIV/0!</v>
      </c>
      <c r="D80" s="757" t="e">
        <f aca="true" t="shared" si="9" ref="D80:D103">C46/$C$8</f>
        <v>#DIV/0!</v>
      </c>
      <c r="E80" s="758" t="e">
        <f aca="true" t="shared" si="10" ref="E80:E103">E46/$E$9</f>
        <v>#DIV/0!</v>
      </c>
      <c r="F80" s="756" t="e">
        <f t="shared" si="7"/>
        <v>#DIV/0!</v>
      </c>
      <c r="G80" s="755" t="e">
        <f aca="true" t="shared" si="11" ref="G80:G103">C46/$C$10</f>
        <v>#DIV/0!</v>
      </c>
      <c r="H80" s="44"/>
      <c r="I80" s="44"/>
      <c r="J80" s="44"/>
      <c r="K80" s="44"/>
      <c r="L80" s="44"/>
      <c r="M80" s="44"/>
      <c r="N80" s="44"/>
      <c r="O80" s="44"/>
      <c r="P80" s="44"/>
    </row>
    <row r="81" spans="1:16" ht="15.75">
      <c r="A81" s="621" t="s">
        <v>140</v>
      </c>
      <c r="B81" s="756" t="e">
        <f t="shared" si="8"/>
        <v>#DIV/0!</v>
      </c>
      <c r="C81" s="756" t="e">
        <f t="shared" si="6"/>
        <v>#DIV/0!</v>
      </c>
      <c r="D81" s="757" t="e">
        <f t="shared" si="9"/>
        <v>#DIV/0!</v>
      </c>
      <c r="E81" s="758" t="e">
        <f t="shared" si="10"/>
        <v>#DIV/0!</v>
      </c>
      <c r="F81" s="756" t="e">
        <f t="shared" si="7"/>
        <v>#DIV/0!</v>
      </c>
      <c r="G81" s="755" t="e">
        <f t="shared" si="11"/>
        <v>#DIV/0!</v>
      </c>
      <c r="H81" s="44"/>
      <c r="I81" s="44"/>
      <c r="J81" s="44"/>
      <c r="K81" s="44"/>
      <c r="L81" s="44"/>
      <c r="M81" s="44"/>
      <c r="N81" s="44"/>
      <c r="O81" s="44"/>
      <c r="P81" s="44"/>
    </row>
    <row r="82" spans="1:16" ht="15.75">
      <c r="A82" s="621" t="s">
        <v>141</v>
      </c>
      <c r="B82" s="756" t="e">
        <f t="shared" si="8"/>
        <v>#DIV/0!</v>
      </c>
      <c r="C82" s="756" t="e">
        <f t="shared" si="6"/>
        <v>#DIV/0!</v>
      </c>
      <c r="D82" s="757" t="e">
        <f t="shared" si="9"/>
        <v>#DIV/0!</v>
      </c>
      <c r="E82" s="758" t="e">
        <f t="shared" si="10"/>
        <v>#DIV/0!</v>
      </c>
      <c r="F82" s="756" t="e">
        <f t="shared" si="7"/>
        <v>#DIV/0!</v>
      </c>
      <c r="G82" s="755" t="e">
        <f t="shared" si="11"/>
        <v>#DIV/0!</v>
      </c>
      <c r="H82" s="44"/>
      <c r="I82" s="44"/>
      <c r="J82" s="44"/>
      <c r="K82" s="44"/>
      <c r="L82" s="44"/>
      <c r="M82" s="44"/>
      <c r="N82" s="44"/>
      <c r="O82" s="44"/>
      <c r="P82" s="44"/>
    </row>
    <row r="83" spans="1:16" ht="15.75">
      <c r="A83" s="622" t="s">
        <v>142</v>
      </c>
      <c r="B83" s="759" t="e">
        <f t="shared" si="8"/>
        <v>#DIV/0!</v>
      </c>
      <c r="C83" s="759" t="e">
        <f t="shared" si="6"/>
        <v>#DIV/0!</v>
      </c>
      <c r="D83" s="760" t="e">
        <f t="shared" si="9"/>
        <v>#DIV/0!</v>
      </c>
      <c r="E83" s="761" t="e">
        <f t="shared" si="10"/>
        <v>#DIV/0!</v>
      </c>
      <c r="F83" s="759" t="e">
        <f t="shared" si="7"/>
        <v>#DIV/0!</v>
      </c>
      <c r="G83" s="762" t="e">
        <f t="shared" si="11"/>
        <v>#DIV/0!</v>
      </c>
      <c r="H83" s="44"/>
      <c r="I83" s="44"/>
      <c r="J83" s="44"/>
      <c r="K83" s="44"/>
      <c r="L83" s="44"/>
      <c r="M83" s="44"/>
      <c r="N83" s="44"/>
      <c r="O83" s="44"/>
      <c r="P83" s="44"/>
    </row>
    <row r="84" spans="1:16" ht="15.75">
      <c r="A84" s="620" t="s">
        <v>167</v>
      </c>
      <c r="B84" s="756" t="e">
        <f t="shared" si="8"/>
        <v>#DIV/0!</v>
      </c>
      <c r="C84" s="756" t="e">
        <f t="shared" si="6"/>
        <v>#DIV/0!</v>
      </c>
      <c r="D84" s="757" t="e">
        <f t="shared" si="9"/>
        <v>#DIV/0!</v>
      </c>
      <c r="E84" s="758" t="e">
        <f t="shared" si="10"/>
        <v>#DIV/0!</v>
      </c>
      <c r="F84" s="756" t="e">
        <f t="shared" si="7"/>
        <v>#DIV/0!</v>
      </c>
      <c r="G84" s="755" t="e">
        <f t="shared" si="11"/>
        <v>#DIV/0!</v>
      </c>
      <c r="H84" s="44"/>
      <c r="I84" s="44"/>
      <c r="J84" s="44"/>
      <c r="K84" s="44"/>
      <c r="L84" s="44"/>
      <c r="M84" s="44"/>
      <c r="N84" s="44"/>
      <c r="O84" s="44"/>
      <c r="P84" s="44"/>
    </row>
    <row r="85" spans="1:16" ht="15.75">
      <c r="A85" s="620" t="s">
        <v>128</v>
      </c>
      <c r="B85" s="756" t="e">
        <f t="shared" si="8"/>
        <v>#DIV/0!</v>
      </c>
      <c r="C85" s="756" t="e">
        <f t="shared" si="6"/>
        <v>#DIV/0!</v>
      </c>
      <c r="D85" s="757" t="e">
        <f t="shared" si="9"/>
        <v>#DIV/0!</v>
      </c>
      <c r="E85" s="758" t="e">
        <f t="shared" si="10"/>
        <v>#DIV/0!</v>
      </c>
      <c r="F85" s="756" t="e">
        <f t="shared" si="7"/>
        <v>#DIV/0!</v>
      </c>
      <c r="G85" s="755" t="e">
        <f t="shared" si="11"/>
        <v>#DIV/0!</v>
      </c>
      <c r="H85" s="44"/>
      <c r="I85" s="44"/>
      <c r="J85" s="44"/>
      <c r="K85" s="44"/>
      <c r="L85" s="44"/>
      <c r="M85" s="44"/>
      <c r="N85" s="44"/>
      <c r="O85" s="44"/>
      <c r="P85" s="44"/>
    </row>
    <row r="86" spans="1:16" ht="15.75">
      <c r="A86" s="620" t="s">
        <v>129</v>
      </c>
      <c r="B86" s="756" t="e">
        <f t="shared" si="8"/>
        <v>#DIV/0!</v>
      </c>
      <c r="C86" s="756" t="e">
        <f t="shared" si="6"/>
        <v>#DIV/0!</v>
      </c>
      <c r="D86" s="757" t="e">
        <f t="shared" si="9"/>
        <v>#DIV/0!</v>
      </c>
      <c r="E86" s="758" t="e">
        <f t="shared" si="10"/>
        <v>#DIV/0!</v>
      </c>
      <c r="F86" s="756" t="e">
        <f t="shared" si="7"/>
        <v>#DIV/0!</v>
      </c>
      <c r="G86" s="755" t="e">
        <f t="shared" si="11"/>
        <v>#DIV/0!</v>
      </c>
      <c r="H86" s="44"/>
      <c r="I86" s="44"/>
      <c r="J86" s="44"/>
      <c r="K86" s="44"/>
      <c r="L86" s="44"/>
      <c r="M86" s="44"/>
      <c r="N86" s="44"/>
      <c r="O86" s="44"/>
      <c r="P86" s="44"/>
    </row>
    <row r="87" spans="1:16" ht="15.75">
      <c r="A87" s="620" t="s">
        <v>130</v>
      </c>
      <c r="B87" s="756" t="e">
        <f t="shared" si="8"/>
        <v>#DIV/0!</v>
      </c>
      <c r="C87" s="756" t="e">
        <f t="shared" si="6"/>
        <v>#DIV/0!</v>
      </c>
      <c r="D87" s="757" t="e">
        <f t="shared" si="9"/>
        <v>#DIV/0!</v>
      </c>
      <c r="E87" s="758" t="e">
        <f t="shared" si="10"/>
        <v>#DIV/0!</v>
      </c>
      <c r="F87" s="756" t="e">
        <f t="shared" si="7"/>
        <v>#DIV/0!</v>
      </c>
      <c r="G87" s="755" t="e">
        <f t="shared" si="11"/>
        <v>#DIV/0!</v>
      </c>
      <c r="H87" s="44"/>
      <c r="I87" s="44"/>
      <c r="J87" s="44"/>
      <c r="K87" s="44"/>
      <c r="L87" s="44"/>
      <c r="M87" s="44"/>
      <c r="N87" s="44"/>
      <c r="O87" s="44"/>
      <c r="P87" s="44"/>
    </row>
    <row r="88" spans="1:16" ht="15.75">
      <c r="A88" s="623" t="s">
        <v>168</v>
      </c>
      <c r="B88" s="759" t="e">
        <f t="shared" si="8"/>
        <v>#DIV/0!</v>
      </c>
      <c r="C88" s="759" t="e">
        <f t="shared" si="6"/>
        <v>#DIV/0!</v>
      </c>
      <c r="D88" s="760" t="e">
        <f t="shared" si="9"/>
        <v>#DIV/0!</v>
      </c>
      <c r="E88" s="761" t="e">
        <f t="shared" si="10"/>
        <v>#DIV/0!</v>
      </c>
      <c r="F88" s="759" t="e">
        <f t="shared" si="7"/>
        <v>#DIV/0!</v>
      </c>
      <c r="G88" s="762" t="e">
        <f t="shared" si="11"/>
        <v>#DIV/0!</v>
      </c>
      <c r="H88" s="44"/>
      <c r="I88" s="44"/>
      <c r="J88" s="44"/>
      <c r="K88" s="44"/>
      <c r="L88" s="44"/>
      <c r="M88" s="44"/>
      <c r="N88" s="44"/>
      <c r="O88" s="44"/>
      <c r="P88" s="44"/>
    </row>
    <row r="89" spans="1:16" ht="15.75">
      <c r="A89" s="621" t="s">
        <v>143</v>
      </c>
      <c r="B89" s="756" t="e">
        <f t="shared" si="8"/>
        <v>#DIV/0!</v>
      </c>
      <c r="C89" s="756" t="e">
        <f t="shared" si="6"/>
        <v>#DIV/0!</v>
      </c>
      <c r="D89" s="757" t="e">
        <f t="shared" si="9"/>
        <v>#DIV/0!</v>
      </c>
      <c r="E89" s="758" t="e">
        <f t="shared" si="10"/>
        <v>#DIV/0!</v>
      </c>
      <c r="F89" s="756" t="e">
        <f t="shared" si="7"/>
        <v>#DIV/0!</v>
      </c>
      <c r="G89" s="755" t="e">
        <f t="shared" si="11"/>
        <v>#DIV/0!</v>
      </c>
      <c r="H89" s="44"/>
      <c r="I89" s="44"/>
      <c r="J89" s="44"/>
      <c r="K89" s="44"/>
      <c r="L89" s="44"/>
      <c r="M89" s="44"/>
      <c r="N89" s="44"/>
      <c r="O89" s="44"/>
      <c r="P89" s="44"/>
    </row>
    <row r="90" spans="1:16" ht="15.75">
      <c r="A90" s="620" t="s">
        <v>131</v>
      </c>
      <c r="B90" s="756" t="e">
        <f t="shared" si="8"/>
        <v>#DIV/0!</v>
      </c>
      <c r="C90" s="756" t="e">
        <f t="shared" si="6"/>
        <v>#DIV/0!</v>
      </c>
      <c r="D90" s="757" t="e">
        <f t="shared" si="9"/>
        <v>#DIV/0!</v>
      </c>
      <c r="E90" s="758" t="e">
        <f t="shared" si="10"/>
        <v>#DIV/0!</v>
      </c>
      <c r="F90" s="756" t="e">
        <f t="shared" si="7"/>
        <v>#DIV/0!</v>
      </c>
      <c r="G90" s="755" t="e">
        <f t="shared" si="11"/>
        <v>#DIV/0!</v>
      </c>
      <c r="H90" s="44"/>
      <c r="I90" s="44"/>
      <c r="J90" s="44"/>
      <c r="K90" s="44"/>
      <c r="L90" s="44"/>
      <c r="M90" s="44"/>
      <c r="N90" s="44"/>
      <c r="O90" s="44"/>
      <c r="P90" s="44"/>
    </row>
    <row r="91" spans="1:16" ht="15.75">
      <c r="A91" s="621" t="s">
        <v>144</v>
      </c>
      <c r="B91" s="756" t="e">
        <f t="shared" si="8"/>
        <v>#DIV/0!</v>
      </c>
      <c r="C91" s="756" t="e">
        <f t="shared" si="6"/>
        <v>#DIV/0!</v>
      </c>
      <c r="D91" s="757" t="e">
        <f t="shared" si="9"/>
        <v>#DIV/0!</v>
      </c>
      <c r="E91" s="758" t="e">
        <f t="shared" si="10"/>
        <v>#DIV/0!</v>
      </c>
      <c r="F91" s="756" t="e">
        <f t="shared" si="7"/>
        <v>#DIV/0!</v>
      </c>
      <c r="G91" s="755" t="e">
        <f t="shared" si="11"/>
        <v>#DIV/0!</v>
      </c>
      <c r="H91" s="44"/>
      <c r="I91" s="44"/>
      <c r="J91" s="44"/>
      <c r="K91" s="44"/>
      <c r="L91" s="44"/>
      <c r="M91" s="44"/>
      <c r="N91" s="44"/>
      <c r="O91" s="44"/>
      <c r="P91" s="44"/>
    </row>
    <row r="92" spans="1:16" ht="15.75">
      <c r="A92" s="621" t="s">
        <v>145</v>
      </c>
      <c r="B92" s="756" t="e">
        <f t="shared" si="8"/>
        <v>#DIV/0!</v>
      </c>
      <c r="C92" s="756" t="e">
        <f t="shared" si="6"/>
        <v>#DIV/0!</v>
      </c>
      <c r="D92" s="757" t="e">
        <f t="shared" si="9"/>
        <v>#DIV/0!</v>
      </c>
      <c r="E92" s="758" t="e">
        <f t="shared" si="10"/>
        <v>#DIV/0!</v>
      </c>
      <c r="F92" s="756" t="e">
        <f t="shared" si="7"/>
        <v>#DIV/0!</v>
      </c>
      <c r="G92" s="755" t="e">
        <f t="shared" si="11"/>
        <v>#DIV/0!</v>
      </c>
      <c r="H92" s="44"/>
      <c r="I92" s="44"/>
      <c r="J92" s="44"/>
      <c r="K92" s="44"/>
      <c r="L92" s="44"/>
      <c r="M92" s="44"/>
      <c r="N92" s="44"/>
      <c r="O92" s="44"/>
      <c r="P92" s="44"/>
    </row>
    <row r="93" spans="1:16" ht="15.75">
      <c r="A93" s="622" t="s">
        <v>146</v>
      </c>
      <c r="B93" s="759" t="e">
        <f t="shared" si="8"/>
        <v>#DIV/0!</v>
      </c>
      <c r="C93" s="759" t="e">
        <f t="shared" si="6"/>
        <v>#DIV/0!</v>
      </c>
      <c r="D93" s="760" t="e">
        <f t="shared" si="9"/>
        <v>#DIV/0!</v>
      </c>
      <c r="E93" s="761" t="e">
        <f t="shared" si="10"/>
        <v>#DIV/0!</v>
      </c>
      <c r="F93" s="759" t="e">
        <f t="shared" si="7"/>
        <v>#DIV/0!</v>
      </c>
      <c r="G93" s="762" t="e">
        <f t="shared" si="11"/>
        <v>#DIV/0!</v>
      </c>
      <c r="H93" s="44"/>
      <c r="I93" s="44"/>
      <c r="J93" s="44"/>
      <c r="K93" s="44"/>
      <c r="L93" s="44"/>
      <c r="M93" s="44"/>
      <c r="N93" s="44"/>
      <c r="O93" s="44"/>
      <c r="P93" s="44"/>
    </row>
    <row r="94" spans="1:16" ht="15.75">
      <c r="A94" s="620" t="s">
        <v>132</v>
      </c>
      <c r="B94" s="756" t="e">
        <f t="shared" si="8"/>
        <v>#DIV/0!</v>
      </c>
      <c r="C94" s="756" t="e">
        <f t="shared" si="6"/>
        <v>#DIV/0!</v>
      </c>
      <c r="D94" s="757" t="e">
        <f t="shared" si="9"/>
        <v>#DIV/0!</v>
      </c>
      <c r="E94" s="758" t="e">
        <f t="shared" si="10"/>
        <v>#DIV/0!</v>
      </c>
      <c r="F94" s="756" t="e">
        <f t="shared" si="7"/>
        <v>#DIV/0!</v>
      </c>
      <c r="G94" s="755" t="e">
        <f t="shared" si="11"/>
        <v>#DIV/0!</v>
      </c>
      <c r="H94" s="44"/>
      <c r="I94" s="44"/>
      <c r="J94" s="44"/>
      <c r="K94" s="44"/>
      <c r="L94" s="44"/>
      <c r="M94" s="44"/>
      <c r="N94" s="44"/>
      <c r="O94" s="44"/>
      <c r="P94" s="44"/>
    </row>
    <row r="95" spans="1:16" ht="15.75">
      <c r="A95" s="620" t="s">
        <v>133</v>
      </c>
      <c r="B95" s="756" t="e">
        <f t="shared" si="8"/>
        <v>#DIV/0!</v>
      </c>
      <c r="C95" s="756" t="e">
        <f t="shared" si="6"/>
        <v>#DIV/0!</v>
      </c>
      <c r="D95" s="757" t="e">
        <f t="shared" si="9"/>
        <v>#DIV/0!</v>
      </c>
      <c r="E95" s="758" t="e">
        <f t="shared" si="10"/>
        <v>#DIV/0!</v>
      </c>
      <c r="F95" s="756" t="e">
        <f t="shared" si="7"/>
        <v>#DIV/0!</v>
      </c>
      <c r="G95" s="755" t="e">
        <f t="shared" si="11"/>
        <v>#DIV/0!</v>
      </c>
      <c r="H95" s="44"/>
      <c r="I95" s="44"/>
      <c r="J95" s="44"/>
      <c r="K95" s="44"/>
      <c r="L95" s="44"/>
      <c r="M95" s="44"/>
      <c r="N95" s="44"/>
      <c r="O95" s="44"/>
      <c r="P95" s="44"/>
    </row>
    <row r="96" spans="1:16" ht="15.75">
      <c r="A96" s="620" t="s">
        <v>169</v>
      </c>
      <c r="B96" s="756" t="e">
        <f t="shared" si="8"/>
        <v>#DIV/0!</v>
      </c>
      <c r="C96" s="756" t="e">
        <f t="shared" si="6"/>
        <v>#DIV/0!</v>
      </c>
      <c r="D96" s="757" t="e">
        <f t="shared" si="9"/>
        <v>#DIV/0!</v>
      </c>
      <c r="E96" s="758" t="e">
        <f t="shared" si="10"/>
        <v>#DIV/0!</v>
      </c>
      <c r="F96" s="756" t="e">
        <f t="shared" si="7"/>
        <v>#DIV/0!</v>
      </c>
      <c r="G96" s="755" t="e">
        <f t="shared" si="11"/>
        <v>#DIV/0!</v>
      </c>
      <c r="H96" s="44"/>
      <c r="I96" s="44"/>
      <c r="J96" s="44"/>
      <c r="K96" s="44"/>
      <c r="L96" s="44"/>
      <c r="M96" s="44"/>
      <c r="N96" s="44"/>
      <c r="O96" s="44"/>
      <c r="P96" s="44"/>
    </row>
    <row r="97" spans="1:16" ht="15.75">
      <c r="A97" s="620" t="s">
        <v>153</v>
      </c>
      <c r="B97" s="756" t="e">
        <f t="shared" si="8"/>
        <v>#DIV/0!</v>
      </c>
      <c r="C97" s="756" t="e">
        <f t="shared" si="6"/>
        <v>#DIV/0!</v>
      </c>
      <c r="D97" s="757" t="e">
        <f t="shared" si="9"/>
        <v>#DIV/0!</v>
      </c>
      <c r="E97" s="758" t="e">
        <f t="shared" si="10"/>
        <v>#DIV/0!</v>
      </c>
      <c r="F97" s="756" t="e">
        <f t="shared" si="7"/>
        <v>#DIV/0!</v>
      </c>
      <c r="G97" s="755" t="e">
        <f t="shared" si="11"/>
        <v>#DIV/0!</v>
      </c>
      <c r="H97" s="44"/>
      <c r="I97" s="44"/>
      <c r="J97" s="44"/>
      <c r="K97" s="44"/>
      <c r="L97" s="44"/>
      <c r="M97" s="44"/>
      <c r="N97" s="44"/>
      <c r="O97" s="44"/>
      <c r="P97" s="44"/>
    </row>
    <row r="98" spans="1:16" ht="15.75">
      <c r="A98" s="623" t="s">
        <v>134</v>
      </c>
      <c r="B98" s="759" t="e">
        <f t="shared" si="8"/>
        <v>#DIV/0!</v>
      </c>
      <c r="C98" s="759" t="e">
        <f t="shared" si="6"/>
        <v>#DIV/0!</v>
      </c>
      <c r="D98" s="760" t="e">
        <f t="shared" si="9"/>
        <v>#DIV/0!</v>
      </c>
      <c r="E98" s="761" t="e">
        <f t="shared" si="10"/>
        <v>#DIV/0!</v>
      </c>
      <c r="F98" s="759" t="e">
        <f t="shared" si="7"/>
        <v>#DIV/0!</v>
      </c>
      <c r="G98" s="762" t="e">
        <f t="shared" si="11"/>
        <v>#DIV/0!</v>
      </c>
      <c r="H98" s="44"/>
      <c r="I98" s="44"/>
      <c r="J98" s="44"/>
      <c r="K98" s="44"/>
      <c r="L98" s="44"/>
      <c r="M98" s="44"/>
      <c r="N98" s="44"/>
      <c r="O98" s="44"/>
      <c r="P98" s="44"/>
    </row>
    <row r="99" spans="1:16" ht="15.75">
      <c r="A99" s="620" t="s">
        <v>135</v>
      </c>
      <c r="B99" s="756" t="e">
        <f t="shared" si="8"/>
        <v>#DIV/0!</v>
      </c>
      <c r="C99" s="756" t="e">
        <f t="shared" si="6"/>
        <v>#DIV/0!</v>
      </c>
      <c r="D99" s="757" t="e">
        <f t="shared" si="9"/>
        <v>#DIV/0!</v>
      </c>
      <c r="E99" s="758" t="e">
        <f t="shared" si="10"/>
        <v>#DIV/0!</v>
      </c>
      <c r="F99" s="756" t="e">
        <f t="shared" si="7"/>
        <v>#DIV/0!</v>
      </c>
      <c r="G99" s="755" t="e">
        <f t="shared" si="11"/>
        <v>#DIV/0!</v>
      </c>
      <c r="H99" s="44"/>
      <c r="I99" s="44"/>
      <c r="J99" s="44"/>
      <c r="K99" s="44"/>
      <c r="L99" s="44"/>
      <c r="M99" s="44"/>
      <c r="N99" s="44"/>
      <c r="O99" s="44"/>
      <c r="P99" s="44"/>
    </row>
    <row r="100" spans="1:16" ht="15.75">
      <c r="A100" s="621" t="s">
        <v>147</v>
      </c>
      <c r="B100" s="756" t="e">
        <f t="shared" si="8"/>
        <v>#DIV/0!</v>
      </c>
      <c r="C100" s="756" t="e">
        <f t="shared" si="6"/>
        <v>#DIV/0!</v>
      </c>
      <c r="D100" s="757" t="e">
        <f t="shared" si="9"/>
        <v>#DIV/0!</v>
      </c>
      <c r="E100" s="758" t="e">
        <f t="shared" si="10"/>
        <v>#DIV/0!</v>
      </c>
      <c r="F100" s="756" t="e">
        <f t="shared" si="7"/>
        <v>#DIV/0!</v>
      </c>
      <c r="G100" s="755" t="e">
        <f t="shared" si="11"/>
        <v>#DIV/0!</v>
      </c>
      <c r="H100" s="44"/>
      <c r="I100" s="44"/>
      <c r="J100" s="44"/>
      <c r="K100" s="44"/>
      <c r="L100" s="44"/>
      <c r="M100" s="44"/>
      <c r="N100" s="44"/>
      <c r="O100" s="44"/>
      <c r="P100" s="44"/>
    </row>
    <row r="101" spans="1:16" ht="15.75">
      <c r="A101" s="620" t="s">
        <v>136</v>
      </c>
      <c r="B101" s="756" t="e">
        <f t="shared" si="8"/>
        <v>#DIV/0!</v>
      </c>
      <c r="C101" s="756" t="e">
        <f t="shared" si="6"/>
        <v>#DIV/0!</v>
      </c>
      <c r="D101" s="757" t="e">
        <f t="shared" si="9"/>
        <v>#DIV/0!</v>
      </c>
      <c r="E101" s="758" t="e">
        <f t="shared" si="10"/>
        <v>#DIV/0!</v>
      </c>
      <c r="F101" s="756" t="e">
        <f t="shared" si="7"/>
        <v>#DIV/0!</v>
      </c>
      <c r="G101" s="755" t="e">
        <f t="shared" si="11"/>
        <v>#DIV/0!</v>
      </c>
      <c r="H101" s="44"/>
      <c r="I101" s="44"/>
      <c r="J101" s="44"/>
      <c r="K101" s="44"/>
      <c r="L101" s="44"/>
      <c r="M101" s="44"/>
      <c r="N101" s="44"/>
      <c r="O101" s="44"/>
      <c r="P101" s="44"/>
    </row>
    <row r="102" spans="1:16" ht="15.75">
      <c r="A102" s="620" t="s">
        <v>170</v>
      </c>
      <c r="B102" s="756" t="e">
        <f t="shared" si="8"/>
        <v>#DIV/0!</v>
      </c>
      <c r="C102" s="756" t="e">
        <f t="shared" si="6"/>
        <v>#DIV/0!</v>
      </c>
      <c r="D102" s="757" t="e">
        <f t="shared" si="9"/>
        <v>#DIV/0!</v>
      </c>
      <c r="E102" s="758" t="e">
        <f t="shared" si="10"/>
        <v>#DIV/0!</v>
      </c>
      <c r="F102" s="756" t="e">
        <f t="shared" si="7"/>
        <v>#DIV/0!</v>
      </c>
      <c r="G102" s="755" t="e">
        <f t="shared" si="11"/>
        <v>#DIV/0!</v>
      </c>
      <c r="H102" s="44"/>
      <c r="I102" s="44"/>
      <c r="J102" s="44"/>
      <c r="K102" s="44"/>
      <c r="L102" s="44"/>
      <c r="M102" s="44"/>
      <c r="N102" s="44"/>
      <c r="O102" s="44"/>
      <c r="P102" s="44"/>
    </row>
    <row r="103" spans="1:16" ht="16.5" thickBot="1">
      <c r="A103" s="624" t="s">
        <v>137</v>
      </c>
      <c r="B103" s="763" t="e">
        <f t="shared" si="8"/>
        <v>#DIV/0!</v>
      </c>
      <c r="C103" s="763" t="e">
        <f t="shared" si="6"/>
        <v>#DIV/0!</v>
      </c>
      <c r="D103" s="764" t="e">
        <f t="shared" si="9"/>
        <v>#DIV/0!</v>
      </c>
      <c r="E103" s="765" t="e">
        <f t="shared" si="10"/>
        <v>#DIV/0!</v>
      </c>
      <c r="F103" s="763" t="e">
        <f t="shared" si="7"/>
        <v>#DIV/0!</v>
      </c>
      <c r="G103" s="766" t="e">
        <f t="shared" si="11"/>
        <v>#DIV/0!</v>
      </c>
      <c r="H103" s="44"/>
      <c r="I103" s="44"/>
      <c r="J103" s="44"/>
      <c r="K103" s="44"/>
      <c r="L103" s="44"/>
      <c r="M103" s="44"/>
      <c r="N103" s="44"/>
      <c r="O103" s="44"/>
      <c r="P103" s="44"/>
    </row>
    <row r="104" spans="1:16" ht="15">
      <c r="A104" s="350" t="s">
        <v>177</v>
      </c>
      <c r="B104" s="80" t="s">
        <v>164</v>
      </c>
      <c r="C104" s="61" t="s">
        <v>341</v>
      </c>
      <c r="D104" s="72"/>
      <c r="E104" s="72"/>
      <c r="F104" s="44"/>
      <c r="G104" s="44"/>
      <c r="H104" s="44"/>
      <c r="I104" s="44"/>
      <c r="J104" s="44"/>
      <c r="K104" s="44"/>
      <c r="L104" s="44"/>
      <c r="M104" s="44"/>
      <c r="N104" s="44"/>
      <c r="O104" s="44"/>
      <c r="P104" s="44"/>
    </row>
    <row r="105" spans="2:16" ht="15">
      <c r="B105" s="80" t="s">
        <v>163</v>
      </c>
      <c r="C105" s="61" t="s">
        <v>165</v>
      </c>
      <c r="D105" s="72"/>
      <c r="E105" s="72"/>
      <c r="F105" s="44"/>
      <c r="G105" s="44"/>
      <c r="H105" s="44"/>
      <c r="I105" s="44"/>
      <c r="J105" s="44"/>
      <c r="K105" s="44"/>
      <c r="L105" s="44"/>
      <c r="M105" s="44"/>
      <c r="N105" s="44"/>
      <c r="O105" s="44"/>
      <c r="P105" s="44"/>
    </row>
    <row r="106" spans="2:16" ht="15">
      <c r="B106" s="80" t="s">
        <v>162</v>
      </c>
      <c r="C106" s="61" t="s">
        <v>138</v>
      </c>
      <c r="D106" s="72"/>
      <c r="E106" s="72"/>
      <c r="F106" s="44"/>
      <c r="G106" s="44"/>
      <c r="H106" s="44"/>
      <c r="I106" s="44"/>
      <c r="J106" s="44"/>
      <c r="K106" s="44"/>
      <c r="L106" s="44"/>
      <c r="M106" s="44"/>
      <c r="N106" s="44"/>
      <c r="O106" s="44"/>
      <c r="P106" s="44"/>
    </row>
    <row r="107" spans="2:16" ht="12.75">
      <c r="B107" s="66"/>
      <c r="C107" s="66"/>
      <c r="D107" s="44"/>
      <c r="E107" s="44"/>
      <c r="F107" s="44"/>
      <c r="G107" s="44"/>
      <c r="H107" s="44"/>
      <c r="I107" s="44"/>
      <c r="J107" s="44"/>
      <c r="K107" s="44"/>
      <c r="L107" s="44"/>
      <c r="M107" s="44"/>
      <c r="N107" s="44"/>
      <c r="O107" s="44"/>
      <c r="P107" s="44"/>
    </row>
    <row r="108" spans="1:3" s="44" customFormat="1" ht="12.75">
      <c r="A108" s="150"/>
      <c r="B108" s="66"/>
      <c r="C108" s="66"/>
    </row>
    <row r="109" spans="1:3" s="44" customFormat="1" ht="12.75">
      <c r="A109" s="150"/>
      <c r="B109" s="66"/>
      <c r="C109" s="66"/>
    </row>
    <row r="110" spans="1:3" s="44" customFormat="1" ht="12.75">
      <c r="A110" s="150"/>
      <c r="B110" s="66"/>
      <c r="C110" s="66"/>
    </row>
    <row r="111" spans="1:3" s="44" customFormat="1" ht="12.75">
      <c r="A111" s="150"/>
      <c r="B111" s="66"/>
      <c r="C111" s="66"/>
    </row>
    <row r="112" spans="1:3" s="44" customFormat="1" ht="12.75">
      <c r="A112" s="150"/>
      <c r="B112" s="66"/>
      <c r="C112" s="66"/>
    </row>
    <row r="113" spans="1:3" s="44" customFormat="1" ht="12.75">
      <c r="A113" s="150"/>
      <c r="B113" s="66"/>
      <c r="C113" s="66"/>
    </row>
    <row r="114" spans="1:3" s="44" customFormat="1" ht="12.75">
      <c r="A114" s="150"/>
      <c r="B114" s="66"/>
      <c r="C114" s="66"/>
    </row>
    <row r="115" spans="1:3" s="44" customFormat="1" ht="12.75">
      <c r="A115" s="150"/>
      <c r="B115" s="66"/>
      <c r="C115" s="66"/>
    </row>
    <row r="116" spans="1:3" s="44" customFormat="1" ht="12.75">
      <c r="A116" s="150"/>
      <c r="B116" s="66"/>
      <c r="C116" s="66"/>
    </row>
    <row r="117" spans="1:3" s="44" customFormat="1" ht="12.75">
      <c r="A117" s="150"/>
      <c r="B117" s="66"/>
      <c r="C117" s="66"/>
    </row>
    <row r="118" spans="1:3" s="44" customFormat="1" ht="12.75">
      <c r="A118" s="150"/>
      <c r="B118" s="66"/>
      <c r="C118" s="66"/>
    </row>
    <row r="119" spans="1:3" s="44" customFormat="1" ht="12.75">
      <c r="A119" s="150"/>
      <c r="B119" s="66"/>
      <c r="C119" s="66"/>
    </row>
    <row r="120" spans="1:3" s="44" customFormat="1" ht="12.75">
      <c r="A120" s="150"/>
      <c r="B120" s="66"/>
      <c r="C120" s="66"/>
    </row>
    <row r="121" spans="1:3" s="44" customFormat="1" ht="12.75">
      <c r="A121" s="150"/>
      <c r="B121" s="66"/>
      <c r="C121" s="66"/>
    </row>
    <row r="122" spans="1:3" s="44" customFormat="1" ht="12.75">
      <c r="A122" s="150"/>
      <c r="B122" s="66"/>
      <c r="C122" s="66"/>
    </row>
    <row r="123" spans="1:3" s="44" customFormat="1" ht="12.75">
      <c r="A123" s="150"/>
      <c r="B123" s="66"/>
      <c r="C123" s="66"/>
    </row>
    <row r="124" spans="1:3" s="44" customFormat="1" ht="12.75">
      <c r="A124" s="150"/>
      <c r="B124" s="66"/>
      <c r="C124" s="66"/>
    </row>
    <row r="125" spans="1:3" s="44" customFormat="1" ht="12.75">
      <c r="A125" s="150"/>
      <c r="B125" s="66"/>
      <c r="C125" s="66"/>
    </row>
    <row r="126" spans="1:3" s="44" customFormat="1" ht="12.75">
      <c r="A126" s="150"/>
      <c r="B126" s="66"/>
      <c r="C126" s="66"/>
    </row>
    <row r="127" spans="1:3" s="44" customFormat="1" ht="12.75">
      <c r="A127" s="150"/>
      <c r="B127" s="66"/>
      <c r="C127" s="66"/>
    </row>
    <row r="128" spans="1:3" s="44" customFormat="1" ht="12.75">
      <c r="A128" s="150"/>
      <c r="B128" s="66"/>
      <c r="C128" s="66"/>
    </row>
    <row r="129" spans="1:3" s="44" customFormat="1" ht="12.75">
      <c r="A129" s="150"/>
      <c r="B129" s="66"/>
      <c r="C129" s="66"/>
    </row>
    <row r="130" spans="1:3" s="44" customFormat="1" ht="12.75">
      <c r="A130" s="150"/>
      <c r="B130" s="66"/>
      <c r="C130" s="66"/>
    </row>
    <row r="131" spans="1:3" s="44" customFormat="1" ht="12.75">
      <c r="A131" s="150"/>
      <c r="B131" s="66"/>
      <c r="C131" s="66"/>
    </row>
    <row r="132" spans="1:3" s="44" customFormat="1" ht="12.75">
      <c r="A132" s="150"/>
      <c r="B132" s="66"/>
      <c r="C132" s="66"/>
    </row>
    <row r="133" spans="1:3" s="44" customFormat="1" ht="12.75">
      <c r="A133" s="150"/>
      <c r="B133" s="66"/>
      <c r="C133" s="66"/>
    </row>
  </sheetData>
  <sheetProtection password="F155" sheet="1" objects="1" scenarios="1" formatCells="0" formatColumns="0" formatRows="0" deleteRows="0"/>
  <mergeCells count="16">
    <mergeCell ref="K45:L45"/>
    <mergeCell ref="K46:L46"/>
    <mergeCell ref="C2:F2"/>
    <mergeCell ref="C3:F3"/>
    <mergeCell ref="C12:H12"/>
    <mergeCell ref="F4:H4"/>
    <mergeCell ref="G2:J2"/>
    <mergeCell ref="J45:J46"/>
    <mergeCell ref="A5:B6"/>
    <mergeCell ref="E5:E6"/>
    <mergeCell ref="F5:F6"/>
    <mergeCell ref="C5:C6"/>
    <mergeCell ref="A76:A78"/>
    <mergeCell ref="B77:D77"/>
    <mergeCell ref="E77:G77"/>
    <mergeCell ref="B76:G76"/>
  </mergeCells>
  <conditionalFormatting sqref="B79">
    <cfRule type="cellIs" priority="1" dxfId="10" operator="equal" stopIfTrue="1">
      <formula>"#DIV/0!"</formula>
    </cfRule>
  </conditionalFormatting>
  <hyperlinks>
    <hyperlink ref="C14" r:id="rId1" display="http://pestdata.ncsu.edu/cropprofiles/cplist.cfm?org=crop"/>
    <hyperlink ref="C17" r:id="rId2" display="http://pestdata.ncsu.edu/cropprofiles/cplist.cfm?org=crop"/>
    <hyperlink ref="C18" r:id="rId3" display="http://pestdata.ncsu.edu/cropprofiles/cplist.cfm?org=crop"/>
    <hyperlink ref="C15" r:id="rId4" display="http://www.ext.nodak.edu/extpubs/plantsci/rowcrops/a1133-1.htm#Planting"/>
    <hyperlink ref="C19" r:id="rId5" display="http://pestdata.ncsu.edu/cropprofiles/docs/mncanola.html"/>
    <hyperlink ref="C26" r:id="rId6" display="http://www.hort.purdue.edu/newcrop/afcm/lupine.html"/>
    <hyperlink ref="C27" r:id="rId7" display="http://www.hort.purdue.edu/newcrop/afcm/lupine.html"/>
    <hyperlink ref="C34" r:id="rId8" display="http://www.nsrl.uiuc.edu/aboutsoy/production02.html"/>
    <hyperlink ref="C35" r:id="rId9" display="http://www.nsrl.uiuc.edu/aboutsoy/production02.html"/>
    <hyperlink ref="C36" r:id="rId10" display="http://www.agecon.ucdavis.edu/outreach/crop/Archives/SugarBeets.pdf"/>
    <hyperlink ref="C16" r:id="rId11" display="http://www.ext.nodak.edu/extpubs/plantsci/rowcrops/a1133-1.htm#Planting"/>
    <hyperlink ref="C20" r:id="rId12" display="http://pestdata.ncsu.edu/cropprofiles/docs/mncanola.html"/>
    <hyperlink ref="C21" r:id="rId13" display="http://pestdata.ncsu.edu/cropprofiles/docs/mncanola.html"/>
    <hyperlink ref="C22" r:id="rId14" display="http://pestdata.ncsu.edu/cropprofiles/docs/mncanola.html"/>
    <hyperlink ref="C23" r:id="rId15" display="http://pestdata.ncsu.edu/cropprofiles/docs/mncanola.html"/>
    <hyperlink ref="C24" r:id="rId16" display="http://pestdata.ncsu.edu/cropprofiles/docs/mncanola.html"/>
    <hyperlink ref="C25" r:id="rId17" display="http://pestdata.ncsu.edu/cropprofiles/docs/mncanola.html"/>
    <hyperlink ref="C28" r:id="rId18" display="http://pestdata.ncsu.edu/cropprofiles/docs/mncanola.html"/>
    <hyperlink ref="C29" r:id="rId19" display="http://pestdata.ncsu.edu/cropprofiles/docs/mncanola.html"/>
    <hyperlink ref="C30" r:id="rId20" display="http://pestdata.ncsu.edu/cropprofiles/docs/mncanola.html"/>
    <hyperlink ref="C31" r:id="rId21" display="http://pestdata.ncsu.edu/cropprofiles/docs/mncanola.html"/>
    <hyperlink ref="C32" r:id="rId22" display="http://pestdata.ncsu.edu/cropprofiles/docs/mncanola.html"/>
    <hyperlink ref="C33" r:id="rId23" display="http://pestdata.ncsu.edu/cropprofiles/docs/mncanola.html"/>
    <hyperlink ref="C37" r:id="rId24" display="http://pestdata.ncsu.edu/cropprofiles/docs/mncanola.html"/>
    <hyperlink ref="C38" r:id="rId25" display="http://pestdata.ncsu.edu/cropprofiles/docs/mncanola.html"/>
  </hyperlinks>
  <printOptions/>
  <pageMargins left="0.75" right="0.75" top="1" bottom="1" header="0.5" footer="0.5"/>
  <pageSetup fitToHeight="2" fitToWidth="1" horizontalDpi="600" verticalDpi="600" orientation="portrait" scale="53" r:id="rId28"/>
  <headerFooter alignWithMargins="0">
    <oddHeader>&amp;C&amp;A</oddHeader>
    <oddFooter>&amp;CPage &amp;P&amp;RT-REX_v1.1</oddFooter>
  </headerFooter>
  <legacyDrawing r:id="rId27"/>
</worksheet>
</file>

<file path=xl/worksheets/sheet9.xml><?xml version="1.0" encoding="utf-8"?>
<worksheet xmlns="http://schemas.openxmlformats.org/spreadsheetml/2006/main" xmlns:r="http://schemas.openxmlformats.org/officeDocument/2006/relationships">
  <sheetPr codeName="Sheet8">
    <tabColor indexed="61"/>
  </sheetPr>
  <dimension ref="V2:AQ103"/>
  <sheetViews>
    <sheetView zoomScale="75" zoomScaleNormal="75" workbookViewId="0" topLeftCell="A1">
      <selection activeCell="U11" sqref="U11"/>
    </sheetView>
  </sheetViews>
  <sheetFormatPr defaultColWidth="9.140625" defaultRowHeight="12.75"/>
  <cols>
    <col min="21" max="21" width="4.7109375" style="0" customWidth="1"/>
    <col min="22" max="22" width="11.28125" style="0" customWidth="1"/>
    <col min="23" max="23" width="37.421875" style="0" customWidth="1"/>
    <col min="24" max="24" width="6.140625" style="0" customWidth="1"/>
    <col min="25" max="25" width="14.8515625" style="0" customWidth="1"/>
    <col min="29" max="29" width="11.421875" style="0" customWidth="1"/>
    <col min="31" max="31" width="10.8515625" style="0" customWidth="1"/>
    <col min="32" max="32" width="11.421875" style="0" customWidth="1"/>
    <col min="36" max="36" width="10.140625" style="0" customWidth="1"/>
    <col min="43" max="43" width="14.8515625" style="0" customWidth="1"/>
  </cols>
  <sheetData>
    <row r="2" spans="27:43" ht="13.5" thickBot="1">
      <c r="AA2" s="53"/>
      <c r="AB2" s="1066" t="s">
        <v>19</v>
      </c>
      <c r="AC2" s="1067"/>
      <c r="AD2" s="1068"/>
      <c r="AE2" s="1066" t="s">
        <v>326</v>
      </c>
      <c r="AF2" s="1067"/>
      <c r="AG2" s="1068"/>
      <c r="AH2" s="1066" t="s">
        <v>326</v>
      </c>
      <c r="AI2" s="1067"/>
      <c r="AJ2" s="1068"/>
      <c r="AK2" s="1066" t="s">
        <v>330</v>
      </c>
      <c r="AL2" s="1067"/>
      <c r="AM2" s="1068"/>
      <c r="AN2" s="1066" t="s">
        <v>330</v>
      </c>
      <c r="AO2" s="1067"/>
      <c r="AP2" s="1068"/>
      <c r="AQ2" t="s">
        <v>334</v>
      </c>
    </row>
    <row r="3" spans="22:42" ht="12.75">
      <c r="V3" s="1069" t="s">
        <v>97</v>
      </c>
      <c r="W3" s="1070"/>
      <c r="X3" s="1071"/>
      <c r="Y3" s="187" t="s">
        <v>101</v>
      </c>
      <c r="AA3" s="54" t="s">
        <v>25</v>
      </c>
      <c r="AB3" s="55" t="s">
        <v>98</v>
      </c>
      <c r="AC3" s="56" t="s">
        <v>99</v>
      </c>
      <c r="AD3" s="57" t="s">
        <v>100</v>
      </c>
      <c r="AE3" s="55" t="s">
        <v>327</v>
      </c>
      <c r="AF3" s="56" t="s">
        <v>328</v>
      </c>
      <c r="AG3" s="57" t="s">
        <v>329</v>
      </c>
      <c r="AH3" s="55" t="s">
        <v>331</v>
      </c>
      <c r="AI3" s="56" t="s">
        <v>332</v>
      </c>
      <c r="AJ3" s="57" t="s">
        <v>333</v>
      </c>
      <c r="AK3" s="55" t="s">
        <v>327</v>
      </c>
      <c r="AL3" s="56" t="s">
        <v>328</v>
      </c>
      <c r="AM3" s="57" t="s">
        <v>329</v>
      </c>
      <c r="AN3" s="55" t="s">
        <v>331</v>
      </c>
      <c r="AO3" s="56" t="s">
        <v>332</v>
      </c>
      <c r="AP3" s="57" t="s">
        <v>333</v>
      </c>
    </row>
    <row r="4" spans="22:43" ht="12.75">
      <c r="V4" s="1061" t="s">
        <v>19</v>
      </c>
      <c r="W4" s="58" t="s">
        <v>98</v>
      </c>
      <c r="X4" s="191">
        <v>0.5</v>
      </c>
      <c r="Y4" s="188">
        <f>'upper bound Kenaga'!D16*Graphs!X4</f>
        <v>0</v>
      </c>
      <c r="AA4" s="51">
        <v>1</v>
      </c>
      <c r="AB4" s="45">
        <f>Y4</f>
        <v>0</v>
      </c>
      <c r="AC4" s="46">
        <f>Y5</f>
        <v>0</v>
      </c>
      <c r="AD4" s="47">
        <f>Y6</f>
        <v>0</v>
      </c>
      <c r="AE4" s="45">
        <f>Y7</f>
        <v>0</v>
      </c>
      <c r="AF4" s="46">
        <f>Y8</f>
        <v>0</v>
      </c>
      <c r="AG4" s="47">
        <f>Y9</f>
        <v>0</v>
      </c>
      <c r="AH4" s="47">
        <f>+Y10</f>
        <v>0</v>
      </c>
      <c r="AI4" s="47">
        <f>Y11</f>
        <v>0</v>
      </c>
      <c r="AJ4" s="47">
        <f>Y12</f>
        <v>0</v>
      </c>
      <c r="AK4" s="208">
        <f>Y13</f>
        <v>0</v>
      </c>
      <c r="AL4" s="208">
        <f>Y14</f>
        <v>0</v>
      </c>
      <c r="AM4" s="209">
        <f>Y15</f>
        <v>0</v>
      </c>
      <c r="AN4" s="209">
        <f>Y16</f>
        <v>0</v>
      </c>
      <c r="AO4" s="209">
        <f>Y17</f>
        <v>0</v>
      </c>
      <c r="AP4" s="209">
        <f>Y18</f>
        <v>0</v>
      </c>
      <c r="AQ4" s="209">
        <f>Y19</f>
        <v>0</v>
      </c>
    </row>
    <row r="5" spans="22:43" ht="12.75">
      <c r="V5" s="1062"/>
      <c r="W5" s="58" t="s">
        <v>99</v>
      </c>
      <c r="X5" s="191">
        <v>0.1</v>
      </c>
      <c r="Y5" s="188">
        <f>'upper bound Kenaga'!D16*X5</f>
        <v>0</v>
      </c>
      <c r="AA5" s="51">
        <f>AA4+1</f>
        <v>2</v>
      </c>
      <c r="AB5" s="45">
        <f aca="true" t="shared" si="0" ref="AB5:AB36">AB4</f>
        <v>0</v>
      </c>
      <c r="AC5" s="46">
        <f aca="true" t="shared" si="1" ref="AC5:AC36">AC4</f>
        <v>0</v>
      </c>
      <c r="AD5" s="47">
        <f aca="true" t="shared" si="2" ref="AD5:AD36">AD4</f>
        <v>0</v>
      </c>
      <c r="AE5" s="45">
        <f aca="true" t="shared" si="3" ref="AE5:AE36">AE4</f>
        <v>0</v>
      </c>
      <c r="AF5" s="46">
        <f aca="true" t="shared" si="4" ref="AF5:AF36">AF4</f>
        <v>0</v>
      </c>
      <c r="AG5" s="47">
        <f aca="true" t="shared" si="5" ref="AG5:AG36">AG4</f>
        <v>0</v>
      </c>
      <c r="AH5" s="47">
        <f aca="true" t="shared" si="6" ref="AH5:AH36">AH4</f>
        <v>0</v>
      </c>
      <c r="AI5" s="47">
        <f aca="true" t="shared" si="7" ref="AI5:AI68">AI4</f>
        <v>0</v>
      </c>
      <c r="AJ5" s="47">
        <f aca="true" t="shared" si="8" ref="AJ5:AJ68">AJ4</f>
        <v>0</v>
      </c>
      <c r="AK5" s="47">
        <f aca="true" t="shared" si="9" ref="AK5:AK36">AK4</f>
        <v>0</v>
      </c>
      <c r="AL5" s="47">
        <f aca="true" t="shared" si="10" ref="AL5:AL36">AL4</f>
        <v>0</v>
      </c>
      <c r="AM5" s="47">
        <f aca="true" t="shared" si="11" ref="AM5:AM36">AM4</f>
        <v>0</v>
      </c>
      <c r="AN5" s="47">
        <f aca="true" t="shared" si="12" ref="AN5:AN36">AN4</f>
        <v>0</v>
      </c>
      <c r="AO5" s="47">
        <f aca="true" t="shared" si="13" ref="AO5:AO68">AO4</f>
        <v>0</v>
      </c>
      <c r="AP5" s="47">
        <f aca="true" t="shared" si="14" ref="AP5:AQ68">AP4</f>
        <v>0</v>
      </c>
      <c r="AQ5" s="47">
        <f t="shared" si="14"/>
        <v>0</v>
      </c>
    </row>
    <row r="6" spans="22:43" ht="12.75">
      <c r="V6" s="1063"/>
      <c r="W6" s="192" t="s">
        <v>100</v>
      </c>
      <c r="X6" s="193">
        <v>1</v>
      </c>
      <c r="Y6" s="189">
        <f>'upper bound Kenaga'!D18</f>
        <v>0</v>
      </c>
      <c r="AA6" s="51">
        <f aca="true" t="shared" si="15" ref="AA6:AA69">AA5+1</f>
        <v>3</v>
      </c>
      <c r="AB6" s="45">
        <f t="shared" si="0"/>
        <v>0</v>
      </c>
      <c r="AC6" s="46">
        <f t="shared" si="1"/>
        <v>0</v>
      </c>
      <c r="AD6" s="47">
        <f t="shared" si="2"/>
        <v>0</v>
      </c>
      <c r="AE6" s="45">
        <f t="shared" si="3"/>
        <v>0</v>
      </c>
      <c r="AF6" s="46">
        <f t="shared" si="4"/>
        <v>0</v>
      </c>
      <c r="AG6" s="47">
        <f t="shared" si="5"/>
        <v>0</v>
      </c>
      <c r="AH6" s="47">
        <f t="shared" si="6"/>
        <v>0</v>
      </c>
      <c r="AI6" s="47">
        <f t="shared" si="7"/>
        <v>0</v>
      </c>
      <c r="AJ6" s="47">
        <f t="shared" si="8"/>
        <v>0</v>
      </c>
      <c r="AK6" s="47">
        <f t="shared" si="9"/>
        <v>0</v>
      </c>
      <c r="AL6" s="47">
        <f t="shared" si="10"/>
        <v>0</v>
      </c>
      <c r="AM6" s="47">
        <f t="shared" si="11"/>
        <v>0</v>
      </c>
      <c r="AN6" s="47">
        <f t="shared" si="12"/>
        <v>0</v>
      </c>
      <c r="AO6" s="47">
        <f t="shared" si="13"/>
        <v>0</v>
      </c>
      <c r="AP6" s="47">
        <f t="shared" si="14"/>
        <v>0</v>
      </c>
      <c r="AQ6" s="47">
        <f t="shared" si="14"/>
        <v>0</v>
      </c>
    </row>
    <row r="7" spans="22:43" ht="12.75">
      <c r="V7" s="1064" t="s">
        <v>20</v>
      </c>
      <c r="W7" s="58" t="s">
        <v>314</v>
      </c>
      <c r="X7" s="191">
        <v>0.5</v>
      </c>
      <c r="Y7" s="188">
        <f>('upper bound Kenaga'!D105/0.95)*0.5</f>
        <v>0</v>
      </c>
      <c r="AA7" s="51">
        <f t="shared" si="15"/>
        <v>4</v>
      </c>
      <c r="AB7" s="45">
        <f t="shared" si="0"/>
        <v>0</v>
      </c>
      <c r="AC7" s="46">
        <f t="shared" si="1"/>
        <v>0</v>
      </c>
      <c r="AD7" s="47">
        <f t="shared" si="2"/>
        <v>0</v>
      </c>
      <c r="AE7" s="45">
        <f t="shared" si="3"/>
        <v>0</v>
      </c>
      <c r="AF7" s="46">
        <f t="shared" si="4"/>
        <v>0</v>
      </c>
      <c r="AG7" s="47">
        <f t="shared" si="5"/>
        <v>0</v>
      </c>
      <c r="AH7" s="47">
        <f t="shared" si="6"/>
        <v>0</v>
      </c>
      <c r="AI7" s="47">
        <f t="shared" si="7"/>
        <v>0</v>
      </c>
      <c r="AJ7" s="47">
        <f t="shared" si="8"/>
        <v>0</v>
      </c>
      <c r="AK7" s="47">
        <f t="shared" si="9"/>
        <v>0</v>
      </c>
      <c r="AL7" s="47">
        <f t="shared" si="10"/>
        <v>0</v>
      </c>
      <c r="AM7" s="47">
        <f t="shared" si="11"/>
        <v>0</v>
      </c>
      <c r="AN7" s="47">
        <f t="shared" si="12"/>
        <v>0</v>
      </c>
      <c r="AO7" s="47">
        <f t="shared" si="13"/>
        <v>0</v>
      </c>
      <c r="AP7" s="47">
        <f t="shared" si="14"/>
        <v>0</v>
      </c>
      <c r="AQ7" s="47">
        <f t="shared" si="14"/>
        <v>0</v>
      </c>
    </row>
    <row r="8" spans="22:43" ht="12.75">
      <c r="V8" s="1062"/>
      <c r="W8" s="58" t="s">
        <v>315</v>
      </c>
      <c r="X8" s="191">
        <v>0.5</v>
      </c>
      <c r="Y8" s="188">
        <f>('upper bound Kenaga'!D106/0.66)*0.5</f>
        <v>0</v>
      </c>
      <c r="AA8" s="51">
        <f t="shared" si="15"/>
        <v>5</v>
      </c>
      <c r="AB8" s="45">
        <f t="shared" si="0"/>
        <v>0</v>
      </c>
      <c r="AC8" s="46">
        <f t="shared" si="1"/>
        <v>0</v>
      </c>
      <c r="AD8" s="47">
        <f t="shared" si="2"/>
        <v>0</v>
      </c>
      <c r="AE8" s="45">
        <f t="shared" si="3"/>
        <v>0</v>
      </c>
      <c r="AF8" s="46">
        <f t="shared" si="4"/>
        <v>0</v>
      </c>
      <c r="AG8" s="47">
        <f t="shared" si="5"/>
        <v>0</v>
      </c>
      <c r="AH8" s="47">
        <f t="shared" si="6"/>
        <v>0</v>
      </c>
      <c r="AI8" s="47">
        <f t="shared" si="7"/>
        <v>0</v>
      </c>
      <c r="AJ8" s="47">
        <f t="shared" si="8"/>
        <v>0</v>
      </c>
      <c r="AK8" s="47">
        <f t="shared" si="9"/>
        <v>0</v>
      </c>
      <c r="AL8" s="47">
        <f t="shared" si="10"/>
        <v>0</v>
      </c>
      <c r="AM8" s="47">
        <f t="shared" si="11"/>
        <v>0</v>
      </c>
      <c r="AN8" s="47">
        <f t="shared" si="12"/>
        <v>0</v>
      </c>
      <c r="AO8" s="47">
        <f t="shared" si="13"/>
        <v>0</v>
      </c>
      <c r="AP8" s="47">
        <f t="shared" si="14"/>
        <v>0</v>
      </c>
      <c r="AQ8" s="47">
        <f t="shared" si="14"/>
        <v>0</v>
      </c>
    </row>
    <row r="9" spans="22:43" ht="13.5" thickBot="1">
      <c r="V9" s="1065"/>
      <c r="W9" s="58" t="s">
        <v>318</v>
      </c>
      <c r="X9" s="191">
        <v>0.5</v>
      </c>
      <c r="Y9" s="188">
        <f>('upper bound Kenaga'!D107/0.55)*0.5</f>
        <v>0</v>
      </c>
      <c r="AA9" s="51">
        <f t="shared" si="15"/>
        <v>6</v>
      </c>
      <c r="AB9" s="45">
        <f t="shared" si="0"/>
        <v>0</v>
      </c>
      <c r="AC9" s="46">
        <f t="shared" si="1"/>
        <v>0</v>
      </c>
      <c r="AD9" s="47">
        <f t="shared" si="2"/>
        <v>0</v>
      </c>
      <c r="AE9" s="45">
        <f t="shared" si="3"/>
        <v>0</v>
      </c>
      <c r="AF9" s="46">
        <f t="shared" si="4"/>
        <v>0</v>
      </c>
      <c r="AG9" s="47">
        <f t="shared" si="5"/>
        <v>0</v>
      </c>
      <c r="AH9" s="47">
        <f t="shared" si="6"/>
        <v>0</v>
      </c>
      <c r="AI9" s="47">
        <f t="shared" si="7"/>
        <v>0</v>
      </c>
      <c r="AJ9" s="47">
        <f t="shared" si="8"/>
        <v>0</v>
      </c>
      <c r="AK9" s="47">
        <f t="shared" si="9"/>
        <v>0</v>
      </c>
      <c r="AL9" s="47">
        <f t="shared" si="10"/>
        <v>0</v>
      </c>
      <c r="AM9" s="47">
        <f t="shared" si="11"/>
        <v>0</v>
      </c>
      <c r="AN9" s="47">
        <f t="shared" si="12"/>
        <v>0</v>
      </c>
      <c r="AO9" s="47">
        <f t="shared" si="13"/>
        <v>0</v>
      </c>
      <c r="AP9" s="47">
        <f t="shared" si="14"/>
        <v>0</v>
      </c>
      <c r="AQ9" s="47">
        <f t="shared" si="14"/>
        <v>0</v>
      </c>
    </row>
    <row r="10" spans="23:43" ht="12.75">
      <c r="W10" s="58" t="s">
        <v>316</v>
      </c>
      <c r="X10" s="191">
        <v>0.5</v>
      </c>
      <c r="Y10" s="188">
        <f>('upper bound Kenaga'!D105/0.21)*0.5</f>
        <v>0</v>
      </c>
      <c r="AA10" s="51">
        <f t="shared" si="15"/>
        <v>7</v>
      </c>
      <c r="AB10" s="45">
        <f t="shared" si="0"/>
        <v>0</v>
      </c>
      <c r="AC10" s="46">
        <f t="shared" si="1"/>
        <v>0</v>
      </c>
      <c r="AD10" s="47">
        <f t="shared" si="2"/>
        <v>0</v>
      </c>
      <c r="AE10" s="45">
        <f t="shared" si="3"/>
        <v>0</v>
      </c>
      <c r="AF10" s="46">
        <f t="shared" si="4"/>
        <v>0</v>
      </c>
      <c r="AG10" s="47">
        <f t="shared" si="5"/>
        <v>0</v>
      </c>
      <c r="AH10" s="47">
        <f t="shared" si="6"/>
        <v>0</v>
      </c>
      <c r="AI10" s="47">
        <f t="shared" si="7"/>
        <v>0</v>
      </c>
      <c r="AJ10" s="47">
        <f t="shared" si="8"/>
        <v>0</v>
      </c>
      <c r="AK10" s="47">
        <f t="shared" si="9"/>
        <v>0</v>
      </c>
      <c r="AL10" s="47">
        <f t="shared" si="10"/>
        <v>0</v>
      </c>
      <c r="AM10" s="47">
        <f t="shared" si="11"/>
        <v>0</v>
      </c>
      <c r="AN10" s="47">
        <f t="shared" si="12"/>
        <v>0</v>
      </c>
      <c r="AO10" s="47">
        <f t="shared" si="13"/>
        <v>0</v>
      </c>
      <c r="AP10" s="47">
        <f t="shared" si="14"/>
        <v>0</v>
      </c>
      <c r="AQ10" s="47">
        <f t="shared" si="14"/>
        <v>0</v>
      </c>
    </row>
    <row r="11" spans="23:43" ht="12.75">
      <c r="W11" s="58" t="s">
        <v>317</v>
      </c>
      <c r="X11" s="191">
        <v>0.5</v>
      </c>
      <c r="Y11" s="188">
        <f>('upper bound Kenaga'!D106/0.15)*0.5</f>
        <v>0</v>
      </c>
      <c r="AA11" s="51">
        <f t="shared" si="15"/>
        <v>8</v>
      </c>
      <c r="AB11" s="45">
        <f t="shared" si="0"/>
        <v>0</v>
      </c>
      <c r="AC11" s="46">
        <f t="shared" si="1"/>
        <v>0</v>
      </c>
      <c r="AD11" s="47">
        <f t="shared" si="2"/>
        <v>0</v>
      </c>
      <c r="AE11" s="45">
        <f t="shared" si="3"/>
        <v>0</v>
      </c>
      <c r="AF11" s="46">
        <f t="shared" si="4"/>
        <v>0</v>
      </c>
      <c r="AG11" s="47">
        <f t="shared" si="5"/>
        <v>0</v>
      </c>
      <c r="AH11" s="47">
        <f t="shared" si="6"/>
        <v>0</v>
      </c>
      <c r="AI11" s="47">
        <f t="shared" si="7"/>
        <v>0</v>
      </c>
      <c r="AJ11" s="47">
        <f t="shared" si="8"/>
        <v>0</v>
      </c>
      <c r="AK11" s="47">
        <f t="shared" si="9"/>
        <v>0</v>
      </c>
      <c r="AL11" s="47">
        <f t="shared" si="10"/>
        <v>0</v>
      </c>
      <c r="AM11" s="47">
        <f t="shared" si="11"/>
        <v>0</v>
      </c>
      <c r="AN11" s="47">
        <f t="shared" si="12"/>
        <v>0</v>
      </c>
      <c r="AO11" s="47">
        <f t="shared" si="13"/>
        <v>0</v>
      </c>
      <c r="AP11" s="47">
        <f t="shared" si="14"/>
        <v>0</v>
      </c>
      <c r="AQ11" s="47">
        <f t="shared" si="14"/>
        <v>0</v>
      </c>
    </row>
    <row r="12" spans="23:43" ht="12.75">
      <c r="W12" s="58" t="s">
        <v>319</v>
      </c>
      <c r="X12" s="191">
        <v>0.5</v>
      </c>
      <c r="Y12" s="188">
        <f>('upper bound Kenaga'!D107/0.03)*0.5</f>
        <v>0</v>
      </c>
      <c r="AA12" s="51">
        <f t="shared" si="15"/>
        <v>9</v>
      </c>
      <c r="AB12" s="45">
        <f t="shared" si="0"/>
        <v>0</v>
      </c>
      <c r="AC12" s="46">
        <f t="shared" si="1"/>
        <v>0</v>
      </c>
      <c r="AD12" s="47">
        <f t="shared" si="2"/>
        <v>0</v>
      </c>
      <c r="AE12" s="45">
        <f t="shared" si="3"/>
        <v>0</v>
      </c>
      <c r="AF12" s="46">
        <f t="shared" si="4"/>
        <v>0</v>
      </c>
      <c r="AG12" s="47">
        <f t="shared" si="5"/>
        <v>0</v>
      </c>
      <c r="AH12" s="47">
        <f t="shared" si="6"/>
        <v>0</v>
      </c>
      <c r="AI12" s="47">
        <f t="shared" si="7"/>
        <v>0</v>
      </c>
      <c r="AJ12" s="47">
        <f t="shared" si="8"/>
        <v>0</v>
      </c>
      <c r="AK12" s="47">
        <f t="shared" si="9"/>
        <v>0</v>
      </c>
      <c r="AL12" s="47">
        <f t="shared" si="10"/>
        <v>0</v>
      </c>
      <c r="AM12" s="47">
        <f t="shared" si="11"/>
        <v>0</v>
      </c>
      <c r="AN12" s="47">
        <f t="shared" si="12"/>
        <v>0</v>
      </c>
      <c r="AO12" s="47">
        <f t="shared" si="13"/>
        <v>0</v>
      </c>
      <c r="AP12" s="47">
        <f t="shared" si="14"/>
        <v>0</v>
      </c>
      <c r="AQ12" s="47">
        <f t="shared" si="14"/>
        <v>0</v>
      </c>
    </row>
    <row r="13" spans="23:43" ht="12.75">
      <c r="W13" s="58" t="s">
        <v>320</v>
      </c>
      <c r="X13" s="191">
        <v>0.1</v>
      </c>
      <c r="Y13" s="188">
        <f>('upper bound Kenaga'!D105/0.95)*0.1</f>
        <v>0</v>
      </c>
      <c r="AA13" s="51">
        <f t="shared" si="15"/>
        <v>10</v>
      </c>
      <c r="AB13" s="45">
        <f t="shared" si="0"/>
        <v>0</v>
      </c>
      <c r="AC13" s="46">
        <f t="shared" si="1"/>
        <v>0</v>
      </c>
      <c r="AD13" s="47">
        <f t="shared" si="2"/>
        <v>0</v>
      </c>
      <c r="AE13" s="45">
        <f t="shared" si="3"/>
        <v>0</v>
      </c>
      <c r="AF13" s="46">
        <f t="shared" si="4"/>
        <v>0</v>
      </c>
      <c r="AG13" s="47">
        <f t="shared" si="5"/>
        <v>0</v>
      </c>
      <c r="AH13" s="47">
        <f t="shared" si="6"/>
        <v>0</v>
      </c>
      <c r="AI13" s="47">
        <f t="shared" si="7"/>
        <v>0</v>
      </c>
      <c r="AJ13" s="47">
        <f t="shared" si="8"/>
        <v>0</v>
      </c>
      <c r="AK13" s="47">
        <f t="shared" si="9"/>
        <v>0</v>
      </c>
      <c r="AL13" s="47">
        <f t="shared" si="10"/>
        <v>0</v>
      </c>
      <c r="AM13" s="47">
        <f t="shared" si="11"/>
        <v>0</v>
      </c>
      <c r="AN13" s="47">
        <f t="shared" si="12"/>
        <v>0</v>
      </c>
      <c r="AO13" s="47">
        <f t="shared" si="13"/>
        <v>0</v>
      </c>
      <c r="AP13" s="47">
        <f t="shared" si="14"/>
        <v>0</v>
      </c>
      <c r="AQ13" s="47">
        <f t="shared" si="14"/>
        <v>0</v>
      </c>
    </row>
    <row r="14" spans="23:43" ht="12.75">
      <c r="W14" s="58" t="s">
        <v>321</v>
      </c>
      <c r="X14" s="191">
        <v>0.1</v>
      </c>
      <c r="Y14" s="188">
        <f>('upper bound Kenaga'!D106/0.66)*0.1</f>
        <v>0</v>
      </c>
      <c r="AA14" s="51">
        <f t="shared" si="15"/>
        <v>11</v>
      </c>
      <c r="AB14" s="45">
        <f t="shared" si="0"/>
        <v>0</v>
      </c>
      <c r="AC14" s="46">
        <f t="shared" si="1"/>
        <v>0</v>
      </c>
      <c r="AD14" s="47">
        <f t="shared" si="2"/>
        <v>0</v>
      </c>
      <c r="AE14" s="45">
        <f t="shared" si="3"/>
        <v>0</v>
      </c>
      <c r="AF14" s="46">
        <f t="shared" si="4"/>
        <v>0</v>
      </c>
      <c r="AG14" s="47">
        <f t="shared" si="5"/>
        <v>0</v>
      </c>
      <c r="AH14" s="47">
        <f t="shared" si="6"/>
        <v>0</v>
      </c>
      <c r="AI14" s="47">
        <f t="shared" si="7"/>
        <v>0</v>
      </c>
      <c r="AJ14" s="47">
        <f t="shared" si="8"/>
        <v>0</v>
      </c>
      <c r="AK14" s="47">
        <f t="shared" si="9"/>
        <v>0</v>
      </c>
      <c r="AL14" s="47">
        <f t="shared" si="10"/>
        <v>0</v>
      </c>
      <c r="AM14" s="47">
        <f t="shared" si="11"/>
        <v>0</v>
      </c>
      <c r="AN14" s="47">
        <f t="shared" si="12"/>
        <v>0</v>
      </c>
      <c r="AO14" s="47">
        <f t="shared" si="13"/>
        <v>0</v>
      </c>
      <c r="AP14" s="47">
        <f t="shared" si="14"/>
        <v>0</v>
      </c>
      <c r="AQ14" s="47">
        <f t="shared" si="14"/>
        <v>0</v>
      </c>
    </row>
    <row r="15" spans="23:43" ht="12.75">
      <c r="W15" s="58" t="s">
        <v>322</v>
      </c>
      <c r="X15" s="191">
        <v>0.1</v>
      </c>
      <c r="Y15" s="188">
        <f>('upper bound Kenaga'!D107/0.55)*0.1</f>
        <v>0</v>
      </c>
      <c r="AA15" s="51">
        <f t="shared" si="15"/>
        <v>12</v>
      </c>
      <c r="AB15" s="45">
        <f t="shared" si="0"/>
        <v>0</v>
      </c>
      <c r="AC15" s="46">
        <f t="shared" si="1"/>
        <v>0</v>
      </c>
      <c r="AD15" s="47">
        <f t="shared" si="2"/>
        <v>0</v>
      </c>
      <c r="AE15" s="45">
        <f t="shared" si="3"/>
        <v>0</v>
      </c>
      <c r="AF15" s="46">
        <f t="shared" si="4"/>
        <v>0</v>
      </c>
      <c r="AG15" s="47">
        <f t="shared" si="5"/>
        <v>0</v>
      </c>
      <c r="AH15" s="47">
        <f t="shared" si="6"/>
        <v>0</v>
      </c>
      <c r="AI15" s="47">
        <f t="shared" si="7"/>
        <v>0</v>
      </c>
      <c r="AJ15" s="47">
        <f t="shared" si="8"/>
        <v>0</v>
      </c>
      <c r="AK15" s="47">
        <f t="shared" si="9"/>
        <v>0</v>
      </c>
      <c r="AL15" s="47">
        <f t="shared" si="10"/>
        <v>0</v>
      </c>
      <c r="AM15" s="47">
        <f t="shared" si="11"/>
        <v>0</v>
      </c>
      <c r="AN15" s="47">
        <f t="shared" si="12"/>
        <v>0</v>
      </c>
      <c r="AO15" s="47">
        <f t="shared" si="13"/>
        <v>0</v>
      </c>
      <c r="AP15" s="47">
        <f t="shared" si="14"/>
        <v>0</v>
      </c>
      <c r="AQ15" s="47">
        <f t="shared" si="14"/>
        <v>0</v>
      </c>
    </row>
    <row r="16" spans="23:43" ht="12.75">
      <c r="W16" s="58" t="s">
        <v>323</v>
      </c>
      <c r="X16" s="191">
        <v>0.1</v>
      </c>
      <c r="Y16" s="188">
        <f>('upper bound Kenaga'!D105/0.21)*0.1</f>
        <v>0</v>
      </c>
      <c r="AA16" s="51">
        <f t="shared" si="15"/>
        <v>13</v>
      </c>
      <c r="AB16" s="45">
        <f t="shared" si="0"/>
        <v>0</v>
      </c>
      <c r="AC16" s="46">
        <f t="shared" si="1"/>
        <v>0</v>
      </c>
      <c r="AD16" s="47">
        <f t="shared" si="2"/>
        <v>0</v>
      </c>
      <c r="AE16" s="45">
        <f t="shared" si="3"/>
        <v>0</v>
      </c>
      <c r="AF16" s="46">
        <f t="shared" si="4"/>
        <v>0</v>
      </c>
      <c r="AG16" s="47">
        <f t="shared" si="5"/>
        <v>0</v>
      </c>
      <c r="AH16" s="47">
        <f t="shared" si="6"/>
        <v>0</v>
      </c>
      <c r="AI16" s="47">
        <f t="shared" si="7"/>
        <v>0</v>
      </c>
      <c r="AJ16" s="47">
        <f t="shared" si="8"/>
        <v>0</v>
      </c>
      <c r="AK16" s="47">
        <f t="shared" si="9"/>
        <v>0</v>
      </c>
      <c r="AL16" s="47">
        <f t="shared" si="10"/>
        <v>0</v>
      </c>
      <c r="AM16" s="47">
        <f t="shared" si="11"/>
        <v>0</v>
      </c>
      <c r="AN16" s="47">
        <f t="shared" si="12"/>
        <v>0</v>
      </c>
      <c r="AO16" s="47">
        <f t="shared" si="13"/>
        <v>0</v>
      </c>
      <c r="AP16" s="47">
        <f t="shared" si="14"/>
        <v>0</v>
      </c>
      <c r="AQ16" s="47">
        <f t="shared" si="14"/>
        <v>0</v>
      </c>
    </row>
    <row r="17" spans="23:43" ht="12.75">
      <c r="W17" s="58" t="s">
        <v>324</v>
      </c>
      <c r="X17" s="191">
        <v>0.1</v>
      </c>
      <c r="Y17" s="188">
        <f>('upper bound Kenaga'!D106/0.15)*0.1</f>
        <v>0</v>
      </c>
      <c r="AA17" s="51">
        <f t="shared" si="15"/>
        <v>14</v>
      </c>
      <c r="AB17" s="45">
        <f t="shared" si="0"/>
        <v>0</v>
      </c>
      <c r="AC17" s="46">
        <f t="shared" si="1"/>
        <v>0</v>
      </c>
      <c r="AD17" s="47">
        <f t="shared" si="2"/>
        <v>0</v>
      </c>
      <c r="AE17" s="45">
        <f t="shared" si="3"/>
        <v>0</v>
      </c>
      <c r="AF17" s="46">
        <f t="shared" si="4"/>
        <v>0</v>
      </c>
      <c r="AG17" s="47">
        <f t="shared" si="5"/>
        <v>0</v>
      </c>
      <c r="AH17" s="47">
        <f t="shared" si="6"/>
        <v>0</v>
      </c>
      <c r="AI17" s="47">
        <f t="shared" si="7"/>
        <v>0</v>
      </c>
      <c r="AJ17" s="47">
        <f t="shared" si="8"/>
        <v>0</v>
      </c>
      <c r="AK17" s="47">
        <f t="shared" si="9"/>
        <v>0</v>
      </c>
      <c r="AL17" s="47">
        <f t="shared" si="10"/>
        <v>0</v>
      </c>
      <c r="AM17" s="47">
        <f t="shared" si="11"/>
        <v>0</v>
      </c>
      <c r="AN17" s="47">
        <f t="shared" si="12"/>
        <v>0</v>
      </c>
      <c r="AO17" s="47">
        <f t="shared" si="13"/>
        <v>0</v>
      </c>
      <c r="AP17" s="47">
        <f t="shared" si="14"/>
        <v>0</v>
      </c>
      <c r="AQ17" s="47">
        <f t="shared" si="14"/>
        <v>0</v>
      </c>
    </row>
    <row r="18" spans="23:43" ht="12.75">
      <c r="W18" s="58" t="s">
        <v>325</v>
      </c>
      <c r="X18" s="191">
        <v>0.1</v>
      </c>
      <c r="Y18" s="188">
        <f>('upper bound Kenaga'!D107/0.03)*0.1</f>
        <v>0</v>
      </c>
      <c r="AA18" s="51">
        <f t="shared" si="15"/>
        <v>15</v>
      </c>
      <c r="AB18" s="45">
        <f t="shared" si="0"/>
        <v>0</v>
      </c>
      <c r="AC18" s="46">
        <f t="shared" si="1"/>
        <v>0</v>
      </c>
      <c r="AD18" s="47">
        <f t="shared" si="2"/>
        <v>0</v>
      </c>
      <c r="AE18" s="45">
        <f t="shared" si="3"/>
        <v>0</v>
      </c>
      <c r="AF18" s="46">
        <f t="shared" si="4"/>
        <v>0</v>
      </c>
      <c r="AG18" s="47">
        <f t="shared" si="5"/>
        <v>0</v>
      </c>
      <c r="AH18" s="47">
        <f t="shared" si="6"/>
        <v>0</v>
      </c>
      <c r="AI18" s="47">
        <f t="shared" si="7"/>
        <v>0</v>
      </c>
      <c r="AJ18" s="47">
        <f t="shared" si="8"/>
        <v>0</v>
      </c>
      <c r="AK18" s="47">
        <f t="shared" si="9"/>
        <v>0</v>
      </c>
      <c r="AL18" s="47">
        <f t="shared" si="10"/>
        <v>0</v>
      </c>
      <c r="AM18" s="47">
        <f t="shared" si="11"/>
        <v>0</v>
      </c>
      <c r="AN18" s="47">
        <f t="shared" si="12"/>
        <v>0</v>
      </c>
      <c r="AO18" s="47">
        <f t="shared" si="13"/>
        <v>0</v>
      </c>
      <c r="AP18" s="47">
        <f t="shared" si="14"/>
        <v>0</v>
      </c>
      <c r="AQ18" s="47">
        <f t="shared" si="14"/>
        <v>0</v>
      </c>
    </row>
    <row r="19" spans="23:43" ht="13.5" thickBot="1">
      <c r="W19" s="101" t="s">
        <v>100</v>
      </c>
      <c r="X19" s="194">
        <v>1</v>
      </c>
      <c r="Y19" s="190">
        <f>'upper bound Kenaga'!D23</f>
        <v>0</v>
      </c>
      <c r="AA19" s="51">
        <f t="shared" si="15"/>
        <v>16</v>
      </c>
      <c r="AB19" s="45">
        <f t="shared" si="0"/>
        <v>0</v>
      </c>
      <c r="AC19" s="46">
        <f t="shared" si="1"/>
        <v>0</v>
      </c>
      <c r="AD19" s="47">
        <f t="shared" si="2"/>
        <v>0</v>
      </c>
      <c r="AE19" s="45">
        <f t="shared" si="3"/>
        <v>0</v>
      </c>
      <c r="AF19" s="46">
        <f t="shared" si="4"/>
        <v>0</v>
      </c>
      <c r="AG19" s="47">
        <f t="shared" si="5"/>
        <v>0</v>
      </c>
      <c r="AH19" s="47">
        <f t="shared" si="6"/>
        <v>0</v>
      </c>
      <c r="AI19" s="47">
        <f t="shared" si="7"/>
        <v>0</v>
      </c>
      <c r="AJ19" s="47">
        <f t="shared" si="8"/>
        <v>0</v>
      </c>
      <c r="AK19" s="47">
        <f t="shared" si="9"/>
        <v>0</v>
      </c>
      <c r="AL19" s="47">
        <f t="shared" si="10"/>
        <v>0</v>
      </c>
      <c r="AM19" s="47">
        <f t="shared" si="11"/>
        <v>0</v>
      </c>
      <c r="AN19" s="47">
        <f t="shared" si="12"/>
        <v>0</v>
      </c>
      <c r="AO19" s="47">
        <f t="shared" si="13"/>
        <v>0</v>
      </c>
      <c r="AP19" s="47">
        <f t="shared" si="14"/>
        <v>0</v>
      </c>
      <c r="AQ19" s="47">
        <f t="shared" si="14"/>
        <v>0</v>
      </c>
    </row>
    <row r="20" spans="27:43" ht="12.75">
      <c r="AA20" s="51">
        <f t="shared" si="15"/>
        <v>17</v>
      </c>
      <c r="AB20" s="45">
        <f t="shared" si="0"/>
        <v>0</v>
      </c>
      <c r="AC20" s="46">
        <f t="shared" si="1"/>
        <v>0</v>
      </c>
      <c r="AD20" s="47">
        <f t="shared" si="2"/>
        <v>0</v>
      </c>
      <c r="AE20" s="45">
        <f t="shared" si="3"/>
        <v>0</v>
      </c>
      <c r="AF20" s="46">
        <f t="shared" si="4"/>
        <v>0</v>
      </c>
      <c r="AG20" s="47">
        <f t="shared" si="5"/>
        <v>0</v>
      </c>
      <c r="AH20" s="47">
        <f t="shared" si="6"/>
        <v>0</v>
      </c>
      <c r="AI20" s="47">
        <f t="shared" si="7"/>
        <v>0</v>
      </c>
      <c r="AJ20" s="47">
        <f t="shared" si="8"/>
        <v>0</v>
      </c>
      <c r="AK20" s="47">
        <f t="shared" si="9"/>
        <v>0</v>
      </c>
      <c r="AL20" s="47">
        <f t="shared" si="10"/>
        <v>0</v>
      </c>
      <c r="AM20" s="47">
        <f t="shared" si="11"/>
        <v>0</v>
      </c>
      <c r="AN20" s="47">
        <f t="shared" si="12"/>
        <v>0</v>
      </c>
      <c r="AO20" s="47">
        <f t="shared" si="13"/>
        <v>0</v>
      </c>
      <c r="AP20" s="47">
        <f t="shared" si="14"/>
        <v>0</v>
      </c>
      <c r="AQ20" s="47">
        <f t="shared" si="14"/>
        <v>0</v>
      </c>
    </row>
    <row r="21" spans="27:43" ht="12.75">
      <c r="AA21" s="51">
        <f t="shared" si="15"/>
        <v>18</v>
      </c>
      <c r="AB21" s="45">
        <f t="shared" si="0"/>
        <v>0</v>
      </c>
      <c r="AC21" s="46">
        <f t="shared" si="1"/>
        <v>0</v>
      </c>
      <c r="AD21" s="47">
        <f t="shared" si="2"/>
        <v>0</v>
      </c>
      <c r="AE21" s="45">
        <f t="shared" si="3"/>
        <v>0</v>
      </c>
      <c r="AF21" s="46">
        <f t="shared" si="4"/>
        <v>0</v>
      </c>
      <c r="AG21" s="47">
        <f t="shared" si="5"/>
        <v>0</v>
      </c>
      <c r="AH21" s="47">
        <f t="shared" si="6"/>
        <v>0</v>
      </c>
      <c r="AI21" s="47">
        <f t="shared" si="7"/>
        <v>0</v>
      </c>
      <c r="AJ21" s="47">
        <f t="shared" si="8"/>
        <v>0</v>
      </c>
      <c r="AK21" s="47">
        <f t="shared" si="9"/>
        <v>0</v>
      </c>
      <c r="AL21" s="47">
        <f t="shared" si="10"/>
        <v>0</v>
      </c>
      <c r="AM21" s="47">
        <f t="shared" si="11"/>
        <v>0</v>
      </c>
      <c r="AN21" s="47">
        <f t="shared" si="12"/>
        <v>0</v>
      </c>
      <c r="AO21" s="47">
        <f t="shared" si="13"/>
        <v>0</v>
      </c>
      <c r="AP21" s="47">
        <f t="shared" si="14"/>
        <v>0</v>
      </c>
      <c r="AQ21" s="47">
        <f t="shared" si="14"/>
        <v>0</v>
      </c>
    </row>
    <row r="22" spans="27:43" ht="12.75">
      <c r="AA22" s="51">
        <f t="shared" si="15"/>
        <v>19</v>
      </c>
      <c r="AB22" s="45">
        <f t="shared" si="0"/>
        <v>0</v>
      </c>
      <c r="AC22" s="46">
        <f t="shared" si="1"/>
        <v>0</v>
      </c>
      <c r="AD22" s="47">
        <f t="shared" si="2"/>
        <v>0</v>
      </c>
      <c r="AE22" s="45">
        <f t="shared" si="3"/>
        <v>0</v>
      </c>
      <c r="AF22" s="46">
        <f t="shared" si="4"/>
        <v>0</v>
      </c>
      <c r="AG22" s="47">
        <f t="shared" si="5"/>
        <v>0</v>
      </c>
      <c r="AH22" s="47">
        <f t="shared" si="6"/>
        <v>0</v>
      </c>
      <c r="AI22" s="47">
        <f t="shared" si="7"/>
        <v>0</v>
      </c>
      <c r="AJ22" s="47">
        <f t="shared" si="8"/>
        <v>0</v>
      </c>
      <c r="AK22" s="47">
        <f t="shared" si="9"/>
        <v>0</v>
      </c>
      <c r="AL22" s="47">
        <f t="shared" si="10"/>
        <v>0</v>
      </c>
      <c r="AM22" s="47">
        <f t="shared" si="11"/>
        <v>0</v>
      </c>
      <c r="AN22" s="47">
        <f t="shared" si="12"/>
        <v>0</v>
      </c>
      <c r="AO22" s="47">
        <f t="shared" si="13"/>
        <v>0</v>
      </c>
      <c r="AP22" s="47">
        <f t="shared" si="14"/>
        <v>0</v>
      </c>
      <c r="AQ22" s="47">
        <f t="shared" si="14"/>
        <v>0</v>
      </c>
    </row>
    <row r="23" spans="27:43" ht="12.75">
      <c r="AA23" s="51">
        <f t="shared" si="15"/>
        <v>20</v>
      </c>
      <c r="AB23" s="45">
        <f t="shared" si="0"/>
        <v>0</v>
      </c>
      <c r="AC23" s="46">
        <f t="shared" si="1"/>
        <v>0</v>
      </c>
      <c r="AD23" s="47">
        <f t="shared" si="2"/>
        <v>0</v>
      </c>
      <c r="AE23" s="45">
        <f t="shared" si="3"/>
        <v>0</v>
      </c>
      <c r="AF23" s="46">
        <f t="shared" si="4"/>
        <v>0</v>
      </c>
      <c r="AG23" s="47">
        <f t="shared" si="5"/>
        <v>0</v>
      </c>
      <c r="AH23" s="47">
        <f t="shared" si="6"/>
        <v>0</v>
      </c>
      <c r="AI23" s="47">
        <f t="shared" si="7"/>
        <v>0</v>
      </c>
      <c r="AJ23" s="47">
        <f t="shared" si="8"/>
        <v>0</v>
      </c>
      <c r="AK23" s="47">
        <f t="shared" si="9"/>
        <v>0</v>
      </c>
      <c r="AL23" s="47">
        <f t="shared" si="10"/>
        <v>0</v>
      </c>
      <c r="AM23" s="47">
        <f t="shared" si="11"/>
        <v>0</v>
      </c>
      <c r="AN23" s="47">
        <f t="shared" si="12"/>
        <v>0</v>
      </c>
      <c r="AO23" s="47">
        <f t="shared" si="13"/>
        <v>0</v>
      </c>
      <c r="AP23" s="47">
        <f t="shared" si="14"/>
        <v>0</v>
      </c>
      <c r="AQ23" s="47">
        <f t="shared" si="14"/>
        <v>0</v>
      </c>
    </row>
    <row r="24" spans="27:43" ht="12.75">
      <c r="AA24" s="51">
        <f t="shared" si="15"/>
        <v>21</v>
      </c>
      <c r="AB24" s="45">
        <f t="shared" si="0"/>
        <v>0</v>
      </c>
      <c r="AC24" s="46">
        <f t="shared" si="1"/>
        <v>0</v>
      </c>
      <c r="AD24" s="47">
        <f t="shared" si="2"/>
        <v>0</v>
      </c>
      <c r="AE24" s="45">
        <f t="shared" si="3"/>
        <v>0</v>
      </c>
      <c r="AF24" s="46">
        <f t="shared" si="4"/>
        <v>0</v>
      </c>
      <c r="AG24" s="47">
        <f t="shared" si="5"/>
        <v>0</v>
      </c>
      <c r="AH24" s="47">
        <f t="shared" si="6"/>
        <v>0</v>
      </c>
      <c r="AI24" s="47">
        <f t="shared" si="7"/>
        <v>0</v>
      </c>
      <c r="AJ24" s="47">
        <f t="shared" si="8"/>
        <v>0</v>
      </c>
      <c r="AK24" s="47">
        <f t="shared" si="9"/>
        <v>0</v>
      </c>
      <c r="AL24" s="47">
        <f t="shared" si="10"/>
        <v>0</v>
      </c>
      <c r="AM24" s="47">
        <f t="shared" si="11"/>
        <v>0</v>
      </c>
      <c r="AN24" s="47">
        <f t="shared" si="12"/>
        <v>0</v>
      </c>
      <c r="AO24" s="47">
        <f t="shared" si="13"/>
        <v>0</v>
      </c>
      <c r="AP24" s="47">
        <f t="shared" si="14"/>
        <v>0</v>
      </c>
      <c r="AQ24" s="47">
        <f t="shared" si="14"/>
        <v>0</v>
      </c>
    </row>
    <row r="25" spans="27:43" ht="12.75">
      <c r="AA25" s="51">
        <f t="shared" si="15"/>
        <v>22</v>
      </c>
      <c r="AB25" s="45">
        <f t="shared" si="0"/>
        <v>0</v>
      </c>
      <c r="AC25" s="46">
        <f t="shared" si="1"/>
        <v>0</v>
      </c>
      <c r="AD25" s="47">
        <f t="shared" si="2"/>
        <v>0</v>
      </c>
      <c r="AE25" s="45">
        <f t="shared" si="3"/>
        <v>0</v>
      </c>
      <c r="AF25" s="46">
        <f t="shared" si="4"/>
        <v>0</v>
      </c>
      <c r="AG25" s="47">
        <f t="shared" si="5"/>
        <v>0</v>
      </c>
      <c r="AH25" s="47">
        <f t="shared" si="6"/>
        <v>0</v>
      </c>
      <c r="AI25" s="47">
        <f t="shared" si="7"/>
        <v>0</v>
      </c>
      <c r="AJ25" s="47">
        <f t="shared" si="8"/>
        <v>0</v>
      </c>
      <c r="AK25" s="47">
        <f t="shared" si="9"/>
        <v>0</v>
      </c>
      <c r="AL25" s="47">
        <f t="shared" si="10"/>
        <v>0</v>
      </c>
      <c r="AM25" s="47">
        <f t="shared" si="11"/>
        <v>0</v>
      </c>
      <c r="AN25" s="47">
        <f t="shared" si="12"/>
        <v>0</v>
      </c>
      <c r="AO25" s="47">
        <f t="shared" si="13"/>
        <v>0</v>
      </c>
      <c r="AP25" s="47">
        <f t="shared" si="14"/>
        <v>0</v>
      </c>
      <c r="AQ25" s="47">
        <f t="shared" si="14"/>
        <v>0</v>
      </c>
    </row>
    <row r="26" spans="27:43" ht="12.75">
      <c r="AA26" s="51">
        <f t="shared" si="15"/>
        <v>23</v>
      </c>
      <c r="AB26" s="45">
        <f t="shared" si="0"/>
        <v>0</v>
      </c>
      <c r="AC26" s="46">
        <f t="shared" si="1"/>
        <v>0</v>
      </c>
      <c r="AD26" s="47">
        <f t="shared" si="2"/>
        <v>0</v>
      </c>
      <c r="AE26" s="45">
        <f t="shared" si="3"/>
        <v>0</v>
      </c>
      <c r="AF26" s="46">
        <f t="shared" si="4"/>
        <v>0</v>
      </c>
      <c r="AG26" s="47">
        <f t="shared" si="5"/>
        <v>0</v>
      </c>
      <c r="AH26" s="47">
        <f t="shared" si="6"/>
        <v>0</v>
      </c>
      <c r="AI26" s="47">
        <f t="shared" si="7"/>
        <v>0</v>
      </c>
      <c r="AJ26" s="47">
        <f t="shared" si="8"/>
        <v>0</v>
      </c>
      <c r="AK26" s="47">
        <f t="shared" si="9"/>
        <v>0</v>
      </c>
      <c r="AL26" s="47">
        <f t="shared" si="10"/>
        <v>0</v>
      </c>
      <c r="AM26" s="47">
        <f t="shared" si="11"/>
        <v>0</v>
      </c>
      <c r="AN26" s="47">
        <f t="shared" si="12"/>
        <v>0</v>
      </c>
      <c r="AO26" s="47">
        <f t="shared" si="13"/>
        <v>0</v>
      </c>
      <c r="AP26" s="47">
        <f t="shared" si="14"/>
        <v>0</v>
      </c>
      <c r="AQ26" s="47">
        <f t="shared" si="14"/>
        <v>0</v>
      </c>
    </row>
    <row r="27" spans="27:43" ht="12.75">
      <c r="AA27" s="51">
        <f t="shared" si="15"/>
        <v>24</v>
      </c>
      <c r="AB27" s="45">
        <f t="shared" si="0"/>
        <v>0</v>
      </c>
      <c r="AC27" s="46">
        <f t="shared" si="1"/>
        <v>0</v>
      </c>
      <c r="AD27" s="47">
        <f t="shared" si="2"/>
        <v>0</v>
      </c>
      <c r="AE27" s="45">
        <f t="shared" si="3"/>
        <v>0</v>
      </c>
      <c r="AF27" s="46">
        <f t="shared" si="4"/>
        <v>0</v>
      </c>
      <c r="AG27" s="47">
        <f t="shared" si="5"/>
        <v>0</v>
      </c>
      <c r="AH27" s="47">
        <f t="shared" si="6"/>
        <v>0</v>
      </c>
      <c r="AI27" s="47">
        <f t="shared" si="7"/>
        <v>0</v>
      </c>
      <c r="AJ27" s="47">
        <f t="shared" si="8"/>
        <v>0</v>
      </c>
      <c r="AK27" s="47">
        <f t="shared" si="9"/>
        <v>0</v>
      </c>
      <c r="AL27" s="47">
        <f t="shared" si="10"/>
        <v>0</v>
      </c>
      <c r="AM27" s="47">
        <f t="shared" si="11"/>
        <v>0</v>
      </c>
      <c r="AN27" s="47">
        <f t="shared" si="12"/>
        <v>0</v>
      </c>
      <c r="AO27" s="47">
        <f t="shared" si="13"/>
        <v>0</v>
      </c>
      <c r="AP27" s="47">
        <f t="shared" si="14"/>
        <v>0</v>
      </c>
      <c r="AQ27" s="47">
        <f t="shared" si="14"/>
        <v>0</v>
      </c>
    </row>
    <row r="28" spans="27:43" ht="12.75">
      <c r="AA28" s="51">
        <f t="shared" si="15"/>
        <v>25</v>
      </c>
      <c r="AB28" s="45">
        <f t="shared" si="0"/>
        <v>0</v>
      </c>
      <c r="AC28" s="46">
        <f t="shared" si="1"/>
        <v>0</v>
      </c>
      <c r="AD28" s="47">
        <f t="shared" si="2"/>
        <v>0</v>
      </c>
      <c r="AE28" s="45">
        <f t="shared" si="3"/>
        <v>0</v>
      </c>
      <c r="AF28" s="46">
        <f t="shared" si="4"/>
        <v>0</v>
      </c>
      <c r="AG28" s="47">
        <f t="shared" si="5"/>
        <v>0</v>
      </c>
      <c r="AH28" s="47">
        <f t="shared" si="6"/>
        <v>0</v>
      </c>
      <c r="AI28" s="47">
        <f t="shared" si="7"/>
        <v>0</v>
      </c>
      <c r="AJ28" s="47">
        <f t="shared" si="8"/>
        <v>0</v>
      </c>
      <c r="AK28" s="47">
        <f t="shared" si="9"/>
        <v>0</v>
      </c>
      <c r="AL28" s="47">
        <f t="shared" si="10"/>
        <v>0</v>
      </c>
      <c r="AM28" s="47">
        <f t="shared" si="11"/>
        <v>0</v>
      </c>
      <c r="AN28" s="47">
        <f t="shared" si="12"/>
        <v>0</v>
      </c>
      <c r="AO28" s="47">
        <f t="shared" si="13"/>
        <v>0</v>
      </c>
      <c r="AP28" s="47">
        <f t="shared" si="14"/>
        <v>0</v>
      </c>
      <c r="AQ28" s="47">
        <f t="shared" si="14"/>
        <v>0</v>
      </c>
    </row>
    <row r="29" spans="27:43" ht="12.75">
      <c r="AA29" s="51">
        <f t="shared" si="15"/>
        <v>26</v>
      </c>
      <c r="AB29" s="45">
        <f t="shared" si="0"/>
        <v>0</v>
      </c>
      <c r="AC29" s="46">
        <f t="shared" si="1"/>
        <v>0</v>
      </c>
      <c r="AD29" s="47">
        <f t="shared" si="2"/>
        <v>0</v>
      </c>
      <c r="AE29" s="45">
        <f t="shared" si="3"/>
        <v>0</v>
      </c>
      <c r="AF29" s="46">
        <f t="shared" si="4"/>
        <v>0</v>
      </c>
      <c r="AG29" s="47">
        <f t="shared" si="5"/>
        <v>0</v>
      </c>
      <c r="AH29" s="47">
        <f t="shared" si="6"/>
        <v>0</v>
      </c>
      <c r="AI29" s="47">
        <f t="shared" si="7"/>
        <v>0</v>
      </c>
      <c r="AJ29" s="47">
        <f t="shared" si="8"/>
        <v>0</v>
      </c>
      <c r="AK29" s="47">
        <f t="shared" si="9"/>
        <v>0</v>
      </c>
      <c r="AL29" s="47">
        <f t="shared" si="10"/>
        <v>0</v>
      </c>
      <c r="AM29" s="47">
        <f t="shared" si="11"/>
        <v>0</v>
      </c>
      <c r="AN29" s="47">
        <f t="shared" si="12"/>
        <v>0</v>
      </c>
      <c r="AO29" s="47">
        <f t="shared" si="13"/>
        <v>0</v>
      </c>
      <c r="AP29" s="47">
        <f t="shared" si="14"/>
        <v>0</v>
      </c>
      <c r="AQ29" s="47">
        <f t="shared" si="14"/>
        <v>0</v>
      </c>
    </row>
    <row r="30" spans="27:43" ht="12.75">
      <c r="AA30" s="51">
        <f t="shared" si="15"/>
        <v>27</v>
      </c>
      <c r="AB30" s="45">
        <f t="shared" si="0"/>
        <v>0</v>
      </c>
      <c r="AC30" s="46">
        <f t="shared" si="1"/>
        <v>0</v>
      </c>
      <c r="AD30" s="47">
        <f t="shared" si="2"/>
        <v>0</v>
      </c>
      <c r="AE30" s="45">
        <f t="shared" si="3"/>
        <v>0</v>
      </c>
      <c r="AF30" s="46">
        <f t="shared" si="4"/>
        <v>0</v>
      </c>
      <c r="AG30" s="47">
        <f t="shared" si="5"/>
        <v>0</v>
      </c>
      <c r="AH30" s="47">
        <f t="shared" si="6"/>
        <v>0</v>
      </c>
      <c r="AI30" s="47">
        <f t="shared" si="7"/>
        <v>0</v>
      </c>
      <c r="AJ30" s="47">
        <f t="shared" si="8"/>
        <v>0</v>
      </c>
      <c r="AK30" s="47">
        <f t="shared" si="9"/>
        <v>0</v>
      </c>
      <c r="AL30" s="47">
        <f t="shared" si="10"/>
        <v>0</v>
      </c>
      <c r="AM30" s="47">
        <f t="shared" si="11"/>
        <v>0</v>
      </c>
      <c r="AN30" s="47">
        <f t="shared" si="12"/>
        <v>0</v>
      </c>
      <c r="AO30" s="47">
        <f t="shared" si="13"/>
        <v>0</v>
      </c>
      <c r="AP30" s="47">
        <f t="shared" si="14"/>
        <v>0</v>
      </c>
      <c r="AQ30" s="47">
        <f t="shared" si="14"/>
        <v>0</v>
      </c>
    </row>
    <row r="31" spans="27:43" ht="12.75">
      <c r="AA31" s="51">
        <f t="shared" si="15"/>
        <v>28</v>
      </c>
      <c r="AB31" s="45">
        <f t="shared" si="0"/>
        <v>0</v>
      </c>
      <c r="AC31" s="46">
        <f t="shared" si="1"/>
        <v>0</v>
      </c>
      <c r="AD31" s="47">
        <f t="shared" si="2"/>
        <v>0</v>
      </c>
      <c r="AE31" s="45">
        <f t="shared" si="3"/>
        <v>0</v>
      </c>
      <c r="AF31" s="46">
        <f t="shared" si="4"/>
        <v>0</v>
      </c>
      <c r="AG31" s="47">
        <f t="shared" si="5"/>
        <v>0</v>
      </c>
      <c r="AH31" s="47">
        <f t="shared" si="6"/>
        <v>0</v>
      </c>
      <c r="AI31" s="47">
        <f t="shared" si="7"/>
        <v>0</v>
      </c>
      <c r="AJ31" s="47">
        <f t="shared" si="8"/>
        <v>0</v>
      </c>
      <c r="AK31" s="47">
        <f t="shared" si="9"/>
        <v>0</v>
      </c>
      <c r="AL31" s="47">
        <f t="shared" si="10"/>
        <v>0</v>
      </c>
      <c r="AM31" s="47">
        <f t="shared" si="11"/>
        <v>0</v>
      </c>
      <c r="AN31" s="47">
        <f t="shared" si="12"/>
        <v>0</v>
      </c>
      <c r="AO31" s="47">
        <f t="shared" si="13"/>
        <v>0</v>
      </c>
      <c r="AP31" s="47">
        <f t="shared" si="14"/>
        <v>0</v>
      </c>
      <c r="AQ31" s="47">
        <f t="shared" si="14"/>
        <v>0</v>
      </c>
    </row>
    <row r="32" spans="27:43" ht="12.75">
      <c r="AA32" s="51">
        <f t="shared" si="15"/>
        <v>29</v>
      </c>
      <c r="AB32" s="45">
        <f t="shared" si="0"/>
        <v>0</v>
      </c>
      <c r="AC32" s="46">
        <f t="shared" si="1"/>
        <v>0</v>
      </c>
      <c r="AD32" s="47">
        <f t="shared" si="2"/>
        <v>0</v>
      </c>
      <c r="AE32" s="45">
        <f t="shared" si="3"/>
        <v>0</v>
      </c>
      <c r="AF32" s="46">
        <f t="shared" si="4"/>
        <v>0</v>
      </c>
      <c r="AG32" s="47">
        <f t="shared" si="5"/>
        <v>0</v>
      </c>
      <c r="AH32" s="47">
        <f t="shared" si="6"/>
        <v>0</v>
      </c>
      <c r="AI32" s="47">
        <f t="shared" si="7"/>
        <v>0</v>
      </c>
      <c r="AJ32" s="47">
        <f t="shared" si="8"/>
        <v>0</v>
      </c>
      <c r="AK32" s="47">
        <f t="shared" si="9"/>
        <v>0</v>
      </c>
      <c r="AL32" s="47">
        <f t="shared" si="10"/>
        <v>0</v>
      </c>
      <c r="AM32" s="47">
        <f t="shared" si="11"/>
        <v>0</v>
      </c>
      <c r="AN32" s="47">
        <f t="shared" si="12"/>
        <v>0</v>
      </c>
      <c r="AO32" s="47">
        <f t="shared" si="13"/>
        <v>0</v>
      </c>
      <c r="AP32" s="47">
        <f t="shared" si="14"/>
        <v>0</v>
      </c>
      <c r="AQ32" s="47">
        <f t="shared" si="14"/>
        <v>0</v>
      </c>
    </row>
    <row r="33" spans="27:43" ht="12.75">
      <c r="AA33" s="51">
        <f t="shared" si="15"/>
        <v>30</v>
      </c>
      <c r="AB33" s="45">
        <f t="shared" si="0"/>
        <v>0</v>
      </c>
      <c r="AC33" s="46">
        <f t="shared" si="1"/>
        <v>0</v>
      </c>
      <c r="AD33" s="47">
        <f t="shared" si="2"/>
        <v>0</v>
      </c>
      <c r="AE33" s="45">
        <f t="shared" si="3"/>
        <v>0</v>
      </c>
      <c r="AF33" s="46">
        <f t="shared" si="4"/>
        <v>0</v>
      </c>
      <c r="AG33" s="47">
        <f t="shared" si="5"/>
        <v>0</v>
      </c>
      <c r="AH33" s="47">
        <f t="shared" si="6"/>
        <v>0</v>
      </c>
      <c r="AI33" s="47">
        <f t="shared" si="7"/>
        <v>0</v>
      </c>
      <c r="AJ33" s="47">
        <f t="shared" si="8"/>
        <v>0</v>
      </c>
      <c r="AK33" s="47">
        <f t="shared" si="9"/>
        <v>0</v>
      </c>
      <c r="AL33" s="47">
        <f t="shared" si="10"/>
        <v>0</v>
      </c>
      <c r="AM33" s="47">
        <f t="shared" si="11"/>
        <v>0</v>
      </c>
      <c r="AN33" s="47">
        <f t="shared" si="12"/>
        <v>0</v>
      </c>
      <c r="AO33" s="47">
        <f t="shared" si="13"/>
        <v>0</v>
      </c>
      <c r="AP33" s="47">
        <f t="shared" si="14"/>
        <v>0</v>
      </c>
      <c r="AQ33" s="47">
        <f t="shared" si="14"/>
        <v>0</v>
      </c>
    </row>
    <row r="34" spans="27:43" ht="12.75">
      <c r="AA34" s="51">
        <f t="shared" si="15"/>
        <v>31</v>
      </c>
      <c r="AB34" s="45">
        <f t="shared" si="0"/>
        <v>0</v>
      </c>
      <c r="AC34" s="46">
        <f t="shared" si="1"/>
        <v>0</v>
      </c>
      <c r="AD34" s="47">
        <f t="shared" si="2"/>
        <v>0</v>
      </c>
      <c r="AE34" s="45">
        <f t="shared" si="3"/>
        <v>0</v>
      </c>
      <c r="AF34" s="46">
        <f t="shared" si="4"/>
        <v>0</v>
      </c>
      <c r="AG34" s="47">
        <f t="shared" si="5"/>
        <v>0</v>
      </c>
      <c r="AH34" s="47">
        <f t="shared" si="6"/>
        <v>0</v>
      </c>
      <c r="AI34" s="47">
        <f t="shared" si="7"/>
        <v>0</v>
      </c>
      <c r="AJ34" s="47">
        <f t="shared" si="8"/>
        <v>0</v>
      </c>
      <c r="AK34" s="47">
        <f t="shared" si="9"/>
        <v>0</v>
      </c>
      <c r="AL34" s="47">
        <f t="shared" si="10"/>
        <v>0</v>
      </c>
      <c r="AM34" s="47">
        <f t="shared" si="11"/>
        <v>0</v>
      </c>
      <c r="AN34" s="47">
        <f t="shared" si="12"/>
        <v>0</v>
      </c>
      <c r="AO34" s="47">
        <f t="shared" si="13"/>
        <v>0</v>
      </c>
      <c r="AP34" s="47">
        <f t="shared" si="14"/>
        <v>0</v>
      </c>
      <c r="AQ34" s="47">
        <f t="shared" si="14"/>
        <v>0</v>
      </c>
    </row>
    <row r="35" spans="27:43" ht="12.75">
      <c r="AA35" s="51">
        <f t="shared" si="15"/>
        <v>32</v>
      </c>
      <c r="AB35" s="45">
        <f t="shared" si="0"/>
        <v>0</v>
      </c>
      <c r="AC35" s="46">
        <f t="shared" si="1"/>
        <v>0</v>
      </c>
      <c r="AD35" s="47">
        <f t="shared" si="2"/>
        <v>0</v>
      </c>
      <c r="AE35" s="45">
        <f t="shared" si="3"/>
        <v>0</v>
      </c>
      <c r="AF35" s="46">
        <f t="shared" si="4"/>
        <v>0</v>
      </c>
      <c r="AG35" s="47">
        <f t="shared" si="5"/>
        <v>0</v>
      </c>
      <c r="AH35" s="47">
        <f t="shared" si="6"/>
        <v>0</v>
      </c>
      <c r="AI35" s="47">
        <f t="shared" si="7"/>
        <v>0</v>
      </c>
      <c r="AJ35" s="47">
        <f t="shared" si="8"/>
        <v>0</v>
      </c>
      <c r="AK35" s="47">
        <f t="shared" si="9"/>
        <v>0</v>
      </c>
      <c r="AL35" s="47">
        <f t="shared" si="10"/>
        <v>0</v>
      </c>
      <c r="AM35" s="47">
        <f t="shared" si="11"/>
        <v>0</v>
      </c>
      <c r="AN35" s="47">
        <f t="shared" si="12"/>
        <v>0</v>
      </c>
      <c r="AO35" s="47">
        <f t="shared" si="13"/>
        <v>0</v>
      </c>
      <c r="AP35" s="47">
        <f t="shared" si="14"/>
        <v>0</v>
      </c>
      <c r="AQ35" s="47">
        <f t="shared" si="14"/>
        <v>0</v>
      </c>
    </row>
    <row r="36" spans="27:43" ht="12.75">
      <c r="AA36" s="51">
        <f t="shared" si="15"/>
        <v>33</v>
      </c>
      <c r="AB36" s="45">
        <f t="shared" si="0"/>
        <v>0</v>
      </c>
      <c r="AC36" s="46">
        <f t="shared" si="1"/>
        <v>0</v>
      </c>
      <c r="AD36" s="47">
        <f t="shared" si="2"/>
        <v>0</v>
      </c>
      <c r="AE36" s="45">
        <f t="shared" si="3"/>
        <v>0</v>
      </c>
      <c r="AF36" s="46">
        <f t="shared" si="4"/>
        <v>0</v>
      </c>
      <c r="AG36" s="47">
        <f t="shared" si="5"/>
        <v>0</v>
      </c>
      <c r="AH36" s="47">
        <f t="shared" si="6"/>
        <v>0</v>
      </c>
      <c r="AI36" s="47">
        <f t="shared" si="7"/>
        <v>0</v>
      </c>
      <c r="AJ36" s="47">
        <f t="shared" si="8"/>
        <v>0</v>
      </c>
      <c r="AK36" s="47">
        <f t="shared" si="9"/>
        <v>0</v>
      </c>
      <c r="AL36" s="47">
        <f t="shared" si="10"/>
        <v>0</v>
      </c>
      <c r="AM36" s="47">
        <f t="shared" si="11"/>
        <v>0</v>
      </c>
      <c r="AN36" s="47">
        <f t="shared" si="12"/>
        <v>0</v>
      </c>
      <c r="AO36" s="47">
        <f t="shared" si="13"/>
        <v>0</v>
      </c>
      <c r="AP36" s="47">
        <f t="shared" si="14"/>
        <v>0</v>
      </c>
      <c r="AQ36" s="47">
        <f t="shared" si="14"/>
        <v>0</v>
      </c>
    </row>
    <row r="37" spans="27:43" ht="12.75">
      <c r="AA37" s="51">
        <f t="shared" si="15"/>
        <v>34</v>
      </c>
      <c r="AB37" s="45">
        <f aca="true" t="shared" si="16" ref="AB37:AB68">AB36</f>
        <v>0</v>
      </c>
      <c r="AC37" s="46">
        <f aca="true" t="shared" si="17" ref="AC37:AC68">AC36</f>
        <v>0</v>
      </c>
      <c r="AD37" s="47">
        <f aca="true" t="shared" si="18" ref="AD37:AD68">AD36</f>
        <v>0</v>
      </c>
      <c r="AE37" s="45">
        <f aca="true" t="shared" si="19" ref="AE37:AE68">AE36</f>
        <v>0</v>
      </c>
      <c r="AF37" s="46">
        <f aca="true" t="shared" si="20" ref="AF37:AF68">AF36</f>
        <v>0</v>
      </c>
      <c r="AG37" s="47">
        <f aca="true" t="shared" si="21" ref="AG37:AG68">AG36</f>
        <v>0</v>
      </c>
      <c r="AH37" s="47">
        <f aca="true" t="shared" si="22" ref="AH37:AH68">AH36</f>
        <v>0</v>
      </c>
      <c r="AI37" s="47">
        <f t="shared" si="7"/>
        <v>0</v>
      </c>
      <c r="AJ37" s="47">
        <f t="shared" si="8"/>
        <v>0</v>
      </c>
      <c r="AK37" s="47">
        <f aca="true" t="shared" si="23" ref="AK37:AK68">AK36</f>
        <v>0</v>
      </c>
      <c r="AL37" s="47">
        <f aca="true" t="shared" si="24" ref="AL37:AL68">AL36</f>
        <v>0</v>
      </c>
      <c r="AM37" s="47">
        <f aca="true" t="shared" si="25" ref="AM37:AM68">AM36</f>
        <v>0</v>
      </c>
      <c r="AN37" s="47">
        <f aca="true" t="shared" si="26" ref="AN37:AN68">AN36</f>
        <v>0</v>
      </c>
      <c r="AO37" s="47">
        <f t="shared" si="13"/>
        <v>0</v>
      </c>
      <c r="AP37" s="47">
        <f t="shared" si="14"/>
        <v>0</v>
      </c>
      <c r="AQ37" s="47">
        <f t="shared" si="14"/>
        <v>0</v>
      </c>
    </row>
    <row r="38" spans="27:43" ht="12.75">
      <c r="AA38" s="51">
        <f t="shared" si="15"/>
        <v>35</v>
      </c>
      <c r="AB38" s="45">
        <f t="shared" si="16"/>
        <v>0</v>
      </c>
      <c r="AC38" s="46">
        <f t="shared" si="17"/>
        <v>0</v>
      </c>
      <c r="AD38" s="47">
        <f t="shared" si="18"/>
        <v>0</v>
      </c>
      <c r="AE38" s="45">
        <f t="shared" si="19"/>
        <v>0</v>
      </c>
      <c r="AF38" s="46">
        <f t="shared" si="20"/>
        <v>0</v>
      </c>
      <c r="AG38" s="47">
        <f t="shared" si="21"/>
        <v>0</v>
      </c>
      <c r="AH38" s="47">
        <f t="shared" si="22"/>
        <v>0</v>
      </c>
      <c r="AI38" s="47">
        <f t="shared" si="7"/>
        <v>0</v>
      </c>
      <c r="AJ38" s="47">
        <f t="shared" si="8"/>
        <v>0</v>
      </c>
      <c r="AK38" s="47">
        <f t="shared" si="23"/>
        <v>0</v>
      </c>
      <c r="AL38" s="47">
        <f t="shared" si="24"/>
        <v>0</v>
      </c>
      <c r="AM38" s="47">
        <f t="shared" si="25"/>
        <v>0</v>
      </c>
      <c r="AN38" s="47">
        <f t="shared" si="26"/>
        <v>0</v>
      </c>
      <c r="AO38" s="47">
        <f t="shared" si="13"/>
        <v>0</v>
      </c>
      <c r="AP38" s="47">
        <f t="shared" si="14"/>
        <v>0</v>
      </c>
      <c r="AQ38" s="47">
        <f t="shared" si="14"/>
        <v>0</v>
      </c>
    </row>
    <row r="39" spans="27:43" ht="12.75">
      <c r="AA39" s="51">
        <f t="shared" si="15"/>
        <v>36</v>
      </c>
      <c r="AB39" s="45">
        <f t="shared" si="16"/>
        <v>0</v>
      </c>
      <c r="AC39" s="46">
        <f t="shared" si="17"/>
        <v>0</v>
      </c>
      <c r="AD39" s="47">
        <f t="shared" si="18"/>
        <v>0</v>
      </c>
      <c r="AE39" s="45">
        <f t="shared" si="19"/>
        <v>0</v>
      </c>
      <c r="AF39" s="46">
        <f t="shared" si="20"/>
        <v>0</v>
      </c>
      <c r="AG39" s="47">
        <f t="shared" si="21"/>
        <v>0</v>
      </c>
      <c r="AH39" s="47">
        <f t="shared" si="22"/>
        <v>0</v>
      </c>
      <c r="AI39" s="47">
        <f t="shared" si="7"/>
        <v>0</v>
      </c>
      <c r="AJ39" s="47">
        <f t="shared" si="8"/>
        <v>0</v>
      </c>
      <c r="AK39" s="47">
        <f t="shared" si="23"/>
        <v>0</v>
      </c>
      <c r="AL39" s="47">
        <f t="shared" si="24"/>
        <v>0</v>
      </c>
      <c r="AM39" s="47">
        <f t="shared" si="25"/>
        <v>0</v>
      </c>
      <c r="AN39" s="47">
        <f t="shared" si="26"/>
        <v>0</v>
      </c>
      <c r="AO39" s="47">
        <f t="shared" si="13"/>
        <v>0</v>
      </c>
      <c r="AP39" s="47">
        <f t="shared" si="14"/>
        <v>0</v>
      </c>
      <c r="AQ39" s="47">
        <f t="shared" si="14"/>
        <v>0</v>
      </c>
    </row>
    <row r="40" spans="27:43" ht="12.75">
      <c r="AA40" s="51">
        <f t="shared" si="15"/>
        <v>37</v>
      </c>
      <c r="AB40" s="45">
        <f t="shared" si="16"/>
        <v>0</v>
      </c>
      <c r="AC40" s="46">
        <f t="shared" si="17"/>
        <v>0</v>
      </c>
      <c r="AD40" s="47">
        <f t="shared" si="18"/>
        <v>0</v>
      </c>
      <c r="AE40" s="45">
        <f t="shared" si="19"/>
        <v>0</v>
      </c>
      <c r="AF40" s="46">
        <f t="shared" si="20"/>
        <v>0</v>
      </c>
      <c r="AG40" s="47">
        <f t="shared" si="21"/>
        <v>0</v>
      </c>
      <c r="AH40" s="47">
        <f t="shared" si="22"/>
        <v>0</v>
      </c>
      <c r="AI40" s="47">
        <f t="shared" si="7"/>
        <v>0</v>
      </c>
      <c r="AJ40" s="47">
        <f t="shared" si="8"/>
        <v>0</v>
      </c>
      <c r="AK40" s="47">
        <f t="shared" si="23"/>
        <v>0</v>
      </c>
      <c r="AL40" s="47">
        <f t="shared" si="24"/>
        <v>0</v>
      </c>
      <c r="AM40" s="47">
        <f t="shared" si="25"/>
        <v>0</v>
      </c>
      <c r="AN40" s="47">
        <f t="shared" si="26"/>
        <v>0</v>
      </c>
      <c r="AO40" s="47">
        <f t="shared" si="13"/>
        <v>0</v>
      </c>
      <c r="AP40" s="47">
        <f t="shared" si="14"/>
        <v>0</v>
      </c>
      <c r="AQ40" s="47">
        <f t="shared" si="14"/>
        <v>0</v>
      </c>
    </row>
    <row r="41" spans="27:43" ht="12.75">
      <c r="AA41" s="51">
        <f t="shared" si="15"/>
        <v>38</v>
      </c>
      <c r="AB41" s="45">
        <f t="shared" si="16"/>
        <v>0</v>
      </c>
      <c r="AC41" s="46">
        <f t="shared" si="17"/>
        <v>0</v>
      </c>
      <c r="AD41" s="47">
        <f t="shared" si="18"/>
        <v>0</v>
      </c>
      <c r="AE41" s="45">
        <f t="shared" si="19"/>
        <v>0</v>
      </c>
      <c r="AF41" s="46">
        <f t="shared" si="20"/>
        <v>0</v>
      </c>
      <c r="AG41" s="47">
        <f t="shared" si="21"/>
        <v>0</v>
      </c>
      <c r="AH41" s="47">
        <f t="shared" si="22"/>
        <v>0</v>
      </c>
      <c r="AI41" s="47">
        <f t="shared" si="7"/>
        <v>0</v>
      </c>
      <c r="AJ41" s="47">
        <f t="shared" si="8"/>
        <v>0</v>
      </c>
      <c r="AK41" s="47">
        <f t="shared" si="23"/>
        <v>0</v>
      </c>
      <c r="AL41" s="47">
        <f t="shared" si="24"/>
        <v>0</v>
      </c>
      <c r="AM41" s="47">
        <f t="shared" si="25"/>
        <v>0</v>
      </c>
      <c r="AN41" s="47">
        <f t="shared" si="26"/>
        <v>0</v>
      </c>
      <c r="AO41" s="47">
        <f t="shared" si="13"/>
        <v>0</v>
      </c>
      <c r="AP41" s="47">
        <f t="shared" si="14"/>
        <v>0</v>
      </c>
      <c r="AQ41" s="47">
        <f t="shared" si="14"/>
        <v>0</v>
      </c>
    </row>
    <row r="42" spans="27:43" ht="12.75">
      <c r="AA42" s="51">
        <f t="shared" si="15"/>
        <v>39</v>
      </c>
      <c r="AB42" s="45">
        <f t="shared" si="16"/>
        <v>0</v>
      </c>
      <c r="AC42" s="46">
        <f t="shared" si="17"/>
        <v>0</v>
      </c>
      <c r="AD42" s="47">
        <f t="shared" si="18"/>
        <v>0</v>
      </c>
      <c r="AE42" s="45">
        <f t="shared" si="19"/>
        <v>0</v>
      </c>
      <c r="AF42" s="46">
        <f t="shared" si="20"/>
        <v>0</v>
      </c>
      <c r="AG42" s="47">
        <f t="shared" si="21"/>
        <v>0</v>
      </c>
      <c r="AH42" s="47">
        <f t="shared" si="22"/>
        <v>0</v>
      </c>
      <c r="AI42" s="47">
        <f t="shared" si="7"/>
        <v>0</v>
      </c>
      <c r="AJ42" s="47">
        <f t="shared" si="8"/>
        <v>0</v>
      </c>
      <c r="AK42" s="47">
        <f t="shared" si="23"/>
        <v>0</v>
      </c>
      <c r="AL42" s="47">
        <f t="shared" si="24"/>
        <v>0</v>
      </c>
      <c r="AM42" s="47">
        <f t="shared" si="25"/>
        <v>0</v>
      </c>
      <c r="AN42" s="47">
        <f t="shared" si="26"/>
        <v>0</v>
      </c>
      <c r="AO42" s="47">
        <f t="shared" si="13"/>
        <v>0</v>
      </c>
      <c r="AP42" s="47">
        <f t="shared" si="14"/>
        <v>0</v>
      </c>
      <c r="AQ42" s="47">
        <f t="shared" si="14"/>
        <v>0</v>
      </c>
    </row>
    <row r="43" spans="27:43" ht="12.75">
      <c r="AA43" s="51">
        <f t="shared" si="15"/>
        <v>40</v>
      </c>
      <c r="AB43" s="45">
        <f t="shared" si="16"/>
        <v>0</v>
      </c>
      <c r="AC43" s="46">
        <f t="shared" si="17"/>
        <v>0</v>
      </c>
      <c r="AD43" s="47">
        <f t="shared" si="18"/>
        <v>0</v>
      </c>
      <c r="AE43" s="45">
        <f t="shared" si="19"/>
        <v>0</v>
      </c>
      <c r="AF43" s="46">
        <f t="shared" si="20"/>
        <v>0</v>
      </c>
      <c r="AG43" s="47">
        <f t="shared" si="21"/>
        <v>0</v>
      </c>
      <c r="AH43" s="47">
        <f t="shared" si="22"/>
        <v>0</v>
      </c>
      <c r="AI43" s="47">
        <f t="shared" si="7"/>
        <v>0</v>
      </c>
      <c r="AJ43" s="47">
        <f t="shared" si="8"/>
        <v>0</v>
      </c>
      <c r="AK43" s="47">
        <f t="shared" si="23"/>
        <v>0</v>
      </c>
      <c r="AL43" s="47">
        <f t="shared" si="24"/>
        <v>0</v>
      </c>
      <c r="AM43" s="47">
        <f t="shared" si="25"/>
        <v>0</v>
      </c>
      <c r="AN43" s="47">
        <f t="shared" si="26"/>
        <v>0</v>
      </c>
      <c r="AO43" s="47">
        <f t="shared" si="13"/>
        <v>0</v>
      </c>
      <c r="AP43" s="47">
        <f t="shared" si="14"/>
        <v>0</v>
      </c>
      <c r="AQ43" s="47">
        <f t="shared" si="14"/>
        <v>0</v>
      </c>
    </row>
    <row r="44" spans="27:43" ht="12.75">
      <c r="AA44" s="51">
        <f t="shared" si="15"/>
        <v>41</v>
      </c>
      <c r="AB44" s="45">
        <f t="shared" si="16"/>
        <v>0</v>
      </c>
      <c r="AC44" s="46">
        <f t="shared" si="17"/>
        <v>0</v>
      </c>
      <c r="AD44" s="47">
        <f t="shared" si="18"/>
        <v>0</v>
      </c>
      <c r="AE44" s="45">
        <f t="shared" si="19"/>
        <v>0</v>
      </c>
      <c r="AF44" s="46">
        <f t="shared" si="20"/>
        <v>0</v>
      </c>
      <c r="AG44" s="47">
        <f t="shared" si="21"/>
        <v>0</v>
      </c>
      <c r="AH44" s="47">
        <f t="shared" si="22"/>
        <v>0</v>
      </c>
      <c r="AI44" s="47">
        <f t="shared" si="7"/>
        <v>0</v>
      </c>
      <c r="AJ44" s="47">
        <f t="shared" si="8"/>
        <v>0</v>
      </c>
      <c r="AK44" s="47">
        <f t="shared" si="23"/>
        <v>0</v>
      </c>
      <c r="AL44" s="47">
        <f t="shared" si="24"/>
        <v>0</v>
      </c>
      <c r="AM44" s="47">
        <f t="shared" si="25"/>
        <v>0</v>
      </c>
      <c r="AN44" s="47">
        <f t="shared" si="26"/>
        <v>0</v>
      </c>
      <c r="AO44" s="47">
        <f t="shared" si="13"/>
        <v>0</v>
      </c>
      <c r="AP44" s="47">
        <f t="shared" si="14"/>
        <v>0</v>
      </c>
      <c r="AQ44" s="47">
        <f t="shared" si="14"/>
        <v>0</v>
      </c>
    </row>
    <row r="45" spans="27:43" ht="12.75">
      <c r="AA45" s="51">
        <f t="shared" si="15"/>
        <v>42</v>
      </c>
      <c r="AB45" s="45">
        <f t="shared" si="16"/>
        <v>0</v>
      </c>
      <c r="AC45" s="46">
        <f t="shared" si="17"/>
        <v>0</v>
      </c>
      <c r="AD45" s="47">
        <f t="shared" si="18"/>
        <v>0</v>
      </c>
      <c r="AE45" s="45">
        <f t="shared" si="19"/>
        <v>0</v>
      </c>
      <c r="AF45" s="46">
        <f t="shared" si="20"/>
        <v>0</v>
      </c>
      <c r="AG45" s="47">
        <f t="shared" si="21"/>
        <v>0</v>
      </c>
      <c r="AH45" s="47">
        <f t="shared" si="22"/>
        <v>0</v>
      </c>
      <c r="AI45" s="47">
        <f t="shared" si="7"/>
        <v>0</v>
      </c>
      <c r="AJ45" s="47">
        <f t="shared" si="8"/>
        <v>0</v>
      </c>
      <c r="AK45" s="47">
        <f t="shared" si="23"/>
        <v>0</v>
      </c>
      <c r="AL45" s="47">
        <f t="shared" si="24"/>
        <v>0</v>
      </c>
      <c r="AM45" s="47">
        <f t="shared" si="25"/>
        <v>0</v>
      </c>
      <c r="AN45" s="47">
        <f t="shared" si="26"/>
        <v>0</v>
      </c>
      <c r="AO45" s="47">
        <f t="shared" si="13"/>
        <v>0</v>
      </c>
      <c r="AP45" s="47">
        <f t="shared" si="14"/>
        <v>0</v>
      </c>
      <c r="AQ45" s="47">
        <f t="shared" si="14"/>
        <v>0</v>
      </c>
    </row>
    <row r="46" spans="27:43" ht="12.75">
      <c r="AA46" s="51">
        <f t="shared" si="15"/>
        <v>43</v>
      </c>
      <c r="AB46" s="45">
        <f t="shared" si="16"/>
        <v>0</v>
      </c>
      <c r="AC46" s="46">
        <f t="shared" si="17"/>
        <v>0</v>
      </c>
      <c r="AD46" s="47">
        <f t="shared" si="18"/>
        <v>0</v>
      </c>
      <c r="AE46" s="45">
        <f t="shared" si="19"/>
        <v>0</v>
      </c>
      <c r="AF46" s="46">
        <f t="shared" si="20"/>
        <v>0</v>
      </c>
      <c r="AG46" s="47">
        <f t="shared" si="21"/>
        <v>0</v>
      </c>
      <c r="AH46" s="47">
        <f t="shared" si="22"/>
        <v>0</v>
      </c>
      <c r="AI46" s="47">
        <f t="shared" si="7"/>
        <v>0</v>
      </c>
      <c r="AJ46" s="47">
        <f t="shared" si="8"/>
        <v>0</v>
      </c>
      <c r="AK46" s="47">
        <f t="shared" si="23"/>
        <v>0</v>
      </c>
      <c r="AL46" s="47">
        <f t="shared" si="24"/>
        <v>0</v>
      </c>
      <c r="AM46" s="47">
        <f t="shared" si="25"/>
        <v>0</v>
      </c>
      <c r="AN46" s="47">
        <f t="shared" si="26"/>
        <v>0</v>
      </c>
      <c r="AO46" s="47">
        <f t="shared" si="13"/>
        <v>0</v>
      </c>
      <c r="AP46" s="47">
        <f t="shared" si="14"/>
        <v>0</v>
      </c>
      <c r="AQ46" s="47">
        <f t="shared" si="14"/>
        <v>0</v>
      </c>
    </row>
    <row r="47" spans="27:43" ht="12.75">
      <c r="AA47" s="51">
        <f t="shared" si="15"/>
        <v>44</v>
      </c>
      <c r="AB47" s="45">
        <f t="shared" si="16"/>
        <v>0</v>
      </c>
      <c r="AC47" s="46">
        <f t="shared" si="17"/>
        <v>0</v>
      </c>
      <c r="AD47" s="47">
        <f t="shared" si="18"/>
        <v>0</v>
      </c>
      <c r="AE47" s="45">
        <f t="shared" si="19"/>
        <v>0</v>
      </c>
      <c r="AF47" s="46">
        <f t="shared" si="20"/>
        <v>0</v>
      </c>
      <c r="AG47" s="47">
        <f t="shared" si="21"/>
        <v>0</v>
      </c>
      <c r="AH47" s="47">
        <f t="shared" si="22"/>
        <v>0</v>
      </c>
      <c r="AI47" s="47">
        <f t="shared" si="7"/>
        <v>0</v>
      </c>
      <c r="AJ47" s="47">
        <f t="shared" si="8"/>
        <v>0</v>
      </c>
      <c r="AK47" s="47">
        <f t="shared" si="23"/>
        <v>0</v>
      </c>
      <c r="AL47" s="47">
        <f t="shared" si="24"/>
        <v>0</v>
      </c>
      <c r="AM47" s="47">
        <f t="shared" si="25"/>
        <v>0</v>
      </c>
      <c r="AN47" s="47">
        <f t="shared" si="26"/>
        <v>0</v>
      </c>
      <c r="AO47" s="47">
        <f t="shared" si="13"/>
        <v>0</v>
      </c>
      <c r="AP47" s="47">
        <f t="shared" si="14"/>
        <v>0</v>
      </c>
      <c r="AQ47" s="47">
        <f t="shared" si="14"/>
        <v>0</v>
      </c>
    </row>
    <row r="48" spans="27:43" ht="12.75">
      <c r="AA48" s="51">
        <f t="shared" si="15"/>
        <v>45</v>
      </c>
      <c r="AB48" s="45">
        <f t="shared" si="16"/>
        <v>0</v>
      </c>
      <c r="AC48" s="46">
        <f t="shared" si="17"/>
        <v>0</v>
      </c>
      <c r="AD48" s="47">
        <f t="shared" si="18"/>
        <v>0</v>
      </c>
      <c r="AE48" s="45">
        <f t="shared" si="19"/>
        <v>0</v>
      </c>
      <c r="AF48" s="46">
        <f t="shared" si="20"/>
        <v>0</v>
      </c>
      <c r="AG48" s="47">
        <f t="shared" si="21"/>
        <v>0</v>
      </c>
      <c r="AH48" s="47">
        <f t="shared" si="22"/>
        <v>0</v>
      </c>
      <c r="AI48" s="47">
        <f t="shared" si="7"/>
        <v>0</v>
      </c>
      <c r="AJ48" s="47">
        <f t="shared" si="8"/>
        <v>0</v>
      </c>
      <c r="AK48" s="47">
        <f t="shared" si="23"/>
        <v>0</v>
      </c>
      <c r="AL48" s="47">
        <f t="shared" si="24"/>
        <v>0</v>
      </c>
      <c r="AM48" s="47">
        <f t="shared" si="25"/>
        <v>0</v>
      </c>
      <c r="AN48" s="47">
        <f t="shared" si="26"/>
        <v>0</v>
      </c>
      <c r="AO48" s="47">
        <f t="shared" si="13"/>
        <v>0</v>
      </c>
      <c r="AP48" s="47">
        <f t="shared" si="14"/>
        <v>0</v>
      </c>
      <c r="AQ48" s="47">
        <f t="shared" si="14"/>
        <v>0</v>
      </c>
    </row>
    <row r="49" spans="27:43" ht="12.75">
      <c r="AA49" s="51">
        <f t="shared" si="15"/>
        <v>46</v>
      </c>
      <c r="AB49" s="45">
        <f t="shared" si="16"/>
        <v>0</v>
      </c>
      <c r="AC49" s="46">
        <f t="shared" si="17"/>
        <v>0</v>
      </c>
      <c r="AD49" s="47">
        <f t="shared" si="18"/>
        <v>0</v>
      </c>
      <c r="AE49" s="45">
        <f t="shared" si="19"/>
        <v>0</v>
      </c>
      <c r="AF49" s="46">
        <f t="shared" si="20"/>
        <v>0</v>
      </c>
      <c r="AG49" s="47">
        <f t="shared" si="21"/>
        <v>0</v>
      </c>
      <c r="AH49" s="47">
        <f t="shared" si="22"/>
        <v>0</v>
      </c>
      <c r="AI49" s="47">
        <f t="shared" si="7"/>
        <v>0</v>
      </c>
      <c r="AJ49" s="47">
        <f t="shared" si="8"/>
        <v>0</v>
      </c>
      <c r="AK49" s="47">
        <f t="shared" si="23"/>
        <v>0</v>
      </c>
      <c r="AL49" s="47">
        <f t="shared" si="24"/>
        <v>0</v>
      </c>
      <c r="AM49" s="47">
        <f t="shared" si="25"/>
        <v>0</v>
      </c>
      <c r="AN49" s="47">
        <f t="shared" si="26"/>
        <v>0</v>
      </c>
      <c r="AO49" s="47">
        <f t="shared" si="13"/>
        <v>0</v>
      </c>
      <c r="AP49" s="47">
        <f t="shared" si="14"/>
        <v>0</v>
      </c>
      <c r="AQ49" s="47">
        <f t="shared" si="14"/>
        <v>0</v>
      </c>
    </row>
    <row r="50" spans="27:43" ht="12.75">
      <c r="AA50" s="51">
        <f t="shared" si="15"/>
        <v>47</v>
      </c>
      <c r="AB50" s="45">
        <f t="shared" si="16"/>
        <v>0</v>
      </c>
      <c r="AC50" s="46">
        <f t="shared" si="17"/>
        <v>0</v>
      </c>
      <c r="AD50" s="47">
        <f t="shared" si="18"/>
        <v>0</v>
      </c>
      <c r="AE50" s="45">
        <f t="shared" si="19"/>
        <v>0</v>
      </c>
      <c r="AF50" s="46">
        <f t="shared" si="20"/>
        <v>0</v>
      </c>
      <c r="AG50" s="47">
        <f t="shared" si="21"/>
        <v>0</v>
      </c>
      <c r="AH50" s="47">
        <f t="shared" si="22"/>
        <v>0</v>
      </c>
      <c r="AI50" s="47">
        <f t="shared" si="7"/>
        <v>0</v>
      </c>
      <c r="AJ50" s="47">
        <f t="shared" si="8"/>
        <v>0</v>
      </c>
      <c r="AK50" s="47">
        <f t="shared" si="23"/>
        <v>0</v>
      </c>
      <c r="AL50" s="47">
        <f t="shared" si="24"/>
        <v>0</v>
      </c>
      <c r="AM50" s="47">
        <f t="shared" si="25"/>
        <v>0</v>
      </c>
      <c r="AN50" s="47">
        <f t="shared" si="26"/>
        <v>0</v>
      </c>
      <c r="AO50" s="47">
        <f t="shared" si="13"/>
        <v>0</v>
      </c>
      <c r="AP50" s="47">
        <f t="shared" si="14"/>
        <v>0</v>
      </c>
      <c r="AQ50" s="47">
        <f t="shared" si="14"/>
        <v>0</v>
      </c>
    </row>
    <row r="51" spans="27:43" ht="12.75">
      <c r="AA51" s="51">
        <f t="shared" si="15"/>
        <v>48</v>
      </c>
      <c r="AB51" s="45">
        <f t="shared" si="16"/>
        <v>0</v>
      </c>
      <c r="AC51" s="46">
        <f t="shared" si="17"/>
        <v>0</v>
      </c>
      <c r="AD51" s="47">
        <f t="shared" si="18"/>
        <v>0</v>
      </c>
      <c r="AE51" s="45">
        <f t="shared" si="19"/>
        <v>0</v>
      </c>
      <c r="AF51" s="46">
        <f t="shared" si="20"/>
        <v>0</v>
      </c>
      <c r="AG51" s="47">
        <f t="shared" si="21"/>
        <v>0</v>
      </c>
      <c r="AH51" s="47">
        <f t="shared" si="22"/>
        <v>0</v>
      </c>
      <c r="AI51" s="47">
        <f t="shared" si="7"/>
        <v>0</v>
      </c>
      <c r="AJ51" s="47">
        <f t="shared" si="8"/>
        <v>0</v>
      </c>
      <c r="AK51" s="47">
        <f t="shared" si="23"/>
        <v>0</v>
      </c>
      <c r="AL51" s="47">
        <f t="shared" si="24"/>
        <v>0</v>
      </c>
      <c r="AM51" s="47">
        <f t="shared" si="25"/>
        <v>0</v>
      </c>
      <c r="AN51" s="47">
        <f t="shared" si="26"/>
        <v>0</v>
      </c>
      <c r="AO51" s="47">
        <f t="shared" si="13"/>
        <v>0</v>
      </c>
      <c r="AP51" s="47">
        <f t="shared" si="14"/>
        <v>0</v>
      </c>
      <c r="AQ51" s="47">
        <f t="shared" si="14"/>
        <v>0</v>
      </c>
    </row>
    <row r="52" spans="27:43" ht="12.75">
      <c r="AA52" s="51">
        <f t="shared" si="15"/>
        <v>49</v>
      </c>
      <c r="AB52" s="45">
        <f t="shared" si="16"/>
        <v>0</v>
      </c>
      <c r="AC52" s="46">
        <f t="shared" si="17"/>
        <v>0</v>
      </c>
      <c r="AD52" s="47">
        <f t="shared" si="18"/>
        <v>0</v>
      </c>
      <c r="AE52" s="45">
        <f t="shared" si="19"/>
        <v>0</v>
      </c>
      <c r="AF52" s="46">
        <f t="shared" si="20"/>
        <v>0</v>
      </c>
      <c r="AG52" s="47">
        <f t="shared" si="21"/>
        <v>0</v>
      </c>
      <c r="AH52" s="47">
        <f t="shared" si="22"/>
        <v>0</v>
      </c>
      <c r="AI52" s="47">
        <f t="shared" si="7"/>
        <v>0</v>
      </c>
      <c r="AJ52" s="47">
        <f t="shared" si="8"/>
        <v>0</v>
      </c>
      <c r="AK52" s="47">
        <f t="shared" si="23"/>
        <v>0</v>
      </c>
      <c r="AL52" s="47">
        <f t="shared" si="24"/>
        <v>0</v>
      </c>
      <c r="AM52" s="47">
        <f t="shared" si="25"/>
        <v>0</v>
      </c>
      <c r="AN52" s="47">
        <f t="shared" si="26"/>
        <v>0</v>
      </c>
      <c r="AO52" s="47">
        <f t="shared" si="13"/>
        <v>0</v>
      </c>
      <c r="AP52" s="47">
        <f t="shared" si="14"/>
        <v>0</v>
      </c>
      <c r="AQ52" s="47">
        <f t="shared" si="14"/>
        <v>0</v>
      </c>
    </row>
    <row r="53" spans="27:43" ht="12.75">
      <c r="AA53" s="51">
        <f t="shared" si="15"/>
        <v>50</v>
      </c>
      <c r="AB53" s="45">
        <f t="shared" si="16"/>
        <v>0</v>
      </c>
      <c r="AC53" s="46">
        <f t="shared" si="17"/>
        <v>0</v>
      </c>
      <c r="AD53" s="47">
        <f t="shared" si="18"/>
        <v>0</v>
      </c>
      <c r="AE53" s="45">
        <f t="shared" si="19"/>
        <v>0</v>
      </c>
      <c r="AF53" s="46">
        <f t="shared" si="20"/>
        <v>0</v>
      </c>
      <c r="AG53" s="47">
        <f t="shared" si="21"/>
        <v>0</v>
      </c>
      <c r="AH53" s="47">
        <f t="shared" si="22"/>
        <v>0</v>
      </c>
      <c r="AI53" s="47">
        <f t="shared" si="7"/>
        <v>0</v>
      </c>
      <c r="AJ53" s="47">
        <f t="shared" si="8"/>
        <v>0</v>
      </c>
      <c r="AK53" s="47">
        <f t="shared" si="23"/>
        <v>0</v>
      </c>
      <c r="AL53" s="47">
        <f t="shared" si="24"/>
        <v>0</v>
      </c>
      <c r="AM53" s="47">
        <f t="shared" si="25"/>
        <v>0</v>
      </c>
      <c r="AN53" s="47">
        <f t="shared" si="26"/>
        <v>0</v>
      </c>
      <c r="AO53" s="47">
        <f t="shared" si="13"/>
        <v>0</v>
      </c>
      <c r="AP53" s="47">
        <f t="shared" si="14"/>
        <v>0</v>
      </c>
      <c r="AQ53" s="47">
        <f t="shared" si="14"/>
        <v>0</v>
      </c>
    </row>
    <row r="54" spans="27:43" ht="12.75">
      <c r="AA54" s="51">
        <f t="shared" si="15"/>
        <v>51</v>
      </c>
      <c r="AB54" s="45">
        <f t="shared" si="16"/>
        <v>0</v>
      </c>
      <c r="AC54" s="46">
        <f t="shared" si="17"/>
        <v>0</v>
      </c>
      <c r="AD54" s="47">
        <f t="shared" si="18"/>
        <v>0</v>
      </c>
      <c r="AE54" s="45">
        <f t="shared" si="19"/>
        <v>0</v>
      </c>
      <c r="AF54" s="46">
        <f t="shared" si="20"/>
        <v>0</v>
      </c>
      <c r="AG54" s="47">
        <f t="shared" si="21"/>
        <v>0</v>
      </c>
      <c r="AH54" s="47">
        <f t="shared" si="22"/>
        <v>0</v>
      </c>
      <c r="AI54" s="47">
        <f t="shared" si="7"/>
        <v>0</v>
      </c>
      <c r="AJ54" s="47">
        <f t="shared" si="8"/>
        <v>0</v>
      </c>
      <c r="AK54" s="47">
        <f t="shared" si="23"/>
        <v>0</v>
      </c>
      <c r="AL54" s="47">
        <f t="shared" si="24"/>
        <v>0</v>
      </c>
      <c r="AM54" s="47">
        <f t="shared" si="25"/>
        <v>0</v>
      </c>
      <c r="AN54" s="47">
        <f t="shared" si="26"/>
        <v>0</v>
      </c>
      <c r="AO54" s="47">
        <f t="shared" si="13"/>
        <v>0</v>
      </c>
      <c r="AP54" s="47">
        <f t="shared" si="14"/>
        <v>0</v>
      </c>
      <c r="AQ54" s="47">
        <f t="shared" si="14"/>
        <v>0</v>
      </c>
    </row>
    <row r="55" spans="27:43" ht="12.75">
      <c r="AA55" s="51">
        <f t="shared" si="15"/>
        <v>52</v>
      </c>
      <c r="AB55" s="45">
        <f t="shared" si="16"/>
        <v>0</v>
      </c>
      <c r="AC55" s="46">
        <f t="shared" si="17"/>
        <v>0</v>
      </c>
      <c r="AD55" s="47">
        <f t="shared" si="18"/>
        <v>0</v>
      </c>
      <c r="AE55" s="45">
        <f t="shared" si="19"/>
        <v>0</v>
      </c>
      <c r="AF55" s="46">
        <f t="shared" si="20"/>
        <v>0</v>
      </c>
      <c r="AG55" s="47">
        <f t="shared" si="21"/>
        <v>0</v>
      </c>
      <c r="AH55" s="47">
        <f t="shared" si="22"/>
        <v>0</v>
      </c>
      <c r="AI55" s="47">
        <f t="shared" si="7"/>
        <v>0</v>
      </c>
      <c r="AJ55" s="47">
        <f t="shared" si="8"/>
        <v>0</v>
      </c>
      <c r="AK55" s="47">
        <f t="shared" si="23"/>
        <v>0</v>
      </c>
      <c r="AL55" s="47">
        <f t="shared" si="24"/>
        <v>0</v>
      </c>
      <c r="AM55" s="47">
        <f t="shared" si="25"/>
        <v>0</v>
      </c>
      <c r="AN55" s="47">
        <f t="shared" si="26"/>
        <v>0</v>
      </c>
      <c r="AO55" s="47">
        <f t="shared" si="13"/>
        <v>0</v>
      </c>
      <c r="AP55" s="47">
        <f t="shared" si="14"/>
        <v>0</v>
      </c>
      <c r="AQ55" s="47">
        <f t="shared" si="14"/>
        <v>0</v>
      </c>
    </row>
    <row r="56" spans="27:43" ht="12.75">
      <c r="AA56" s="51">
        <f t="shared" si="15"/>
        <v>53</v>
      </c>
      <c r="AB56" s="45">
        <f t="shared" si="16"/>
        <v>0</v>
      </c>
      <c r="AC56" s="46">
        <f t="shared" si="17"/>
        <v>0</v>
      </c>
      <c r="AD56" s="47">
        <f t="shared" si="18"/>
        <v>0</v>
      </c>
      <c r="AE56" s="45">
        <f t="shared" si="19"/>
        <v>0</v>
      </c>
      <c r="AF56" s="46">
        <f t="shared" si="20"/>
        <v>0</v>
      </c>
      <c r="AG56" s="47">
        <f t="shared" si="21"/>
        <v>0</v>
      </c>
      <c r="AH56" s="47">
        <f t="shared" si="22"/>
        <v>0</v>
      </c>
      <c r="AI56" s="47">
        <f t="shared" si="7"/>
        <v>0</v>
      </c>
      <c r="AJ56" s="47">
        <f t="shared" si="8"/>
        <v>0</v>
      </c>
      <c r="AK56" s="47">
        <f t="shared" si="23"/>
        <v>0</v>
      </c>
      <c r="AL56" s="47">
        <f t="shared" si="24"/>
        <v>0</v>
      </c>
      <c r="AM56" s="47">
        <f t="shared" si="25"/>
        <v>0</v>
      </c>
      <c r="AN56" s="47">
        <f t="shared" si="26"/>
        <v>0</v>
      </c>
      <c r="AO56" s="47">
        <f t="shared" si="13"/>
        <v>0</v>
      </c>
      <c r="AP56" s="47">
        <f t="shared" si="14"/>
        <v>0</v>
      </c>
      <c r="AQ56" s="47">
        <f t="shared" si="14"/>
        <v>0</v>
      </c>
    </row>
    <row r="57" spans="27:43" ht="12.75">
      <c r="AA57" s="51">
        <f t="shared" si="15"/>
        <v>54</v>
      </c>
      <c r="AB57" s="45">
        <f t="shared" si="16"/>
        <v>0</v>
      </c>
      <c r="AC57" s="46">
        <f t="shared" si="17"/>
        <v>0</v>
      </c>
      <c r="AD57" s="47">
        <f t="shared" si="18"/>
        <v>0</v>
      </c>
      <c r="AE57" s="45">
        <f t="shared" si="19"/>
        <v>0</v>
      </c>
      <c r="AF57" s="46">
        <f t="shared" si="20"/>
        <v>0</v>
      </c>
      <c r="AG57" s="47">
        <f t="shared" si="21"/>
        <v>0</v>
      </c>
      <c r="AH57" s="47">
        <f t="shared" si="22"/>
        <v>0</v>
      </c>
      <c r="AI57" s="47">
        <f t="shared" si="7"/>
        <v>0</v>
      </c>
      <c r="AJ57" s="47">
        <f t="shared" si="8"/>
        <v>0</v>
      </c>
      <c r="AK57" s="47">
        <f t="shared" si="23"/>
        <v>0</v>
      </c>
      <c r="AL57" s="47">
        <f t="shared" si="24"/>
        <v>0</v>
      </c>
      <c r="AM57" s="47">
        <f t="shared" si="25"/>
        <v>0</v>
      </c>
      <c r="AN57" s="47">
        <f t="shared" si="26"/>
        <v>0</v>
      </c>
      <c r="AO57" s="47">
        <f t="shared" si="13"/>
        <v>0</v>
      </c>
      <c r="AP57" s="47">
        <f t="shared" si="14"/>
        <v>0</v>
      </c>
      <c r="AQ57" s="47">
        <f t="shared" si="14"/>
        <v>0</v>
      </c>
    </row>
    <row r="58" spans="27:43" ht="12.75">
      <c r="AA58" s="51">
        <f t="shared" si="15"/>
        <v>55</v>
      </c>
      <c r="AB58" s="45">
        <f t="shared" si="16"/>
        <v>0</v>
      </c>
      <c r="AC58" s="46">
        <f t="shared" si="17"/>
        <v>0</v>
      </c>
      <c r="AD58" s="47">
        <f t="shared" si="18"/>
        <v>0</v>
      </c>
      <c r="AE58" s="45">
        <f t="shared" si="19"/>
        <v>0</v>
      </c>
      <c r="AF58" s="46">
        <f t="shared" si="20"/>
        <v>0</v>
      </c>
      <c r="AG58" s="47">
        <f t="shared" si="21"/>
        <v>0</v>
      </c>
      <c r="AH58" s="47">
        <f t="shared" si="22"/>
        <v>0</v>
      </c>
      <c r="AI58" s="47">
        <f t="shared" si="7"/>
        <v>0</v>
      </c>
      <c r="AJ58" s="47">
        <f t="shared" si="8"/>
        <v>0</v>
      </c>
      <c r="AK58" s="47">
        <f t="shared" si="23"/>
        <v>0</v>
      </c>
      <c r="AL58" s="47">
        <f t="shared" si="24"/>
        <v>0</v>
      </c>
      <c r="AM58" s="47">
        <f t="shared" si="25"/>
        <v>0</v>
      </c>
      <c r="AN58" s="47">
        <f t="shared" si="26"/>
        <v>0</v>
      </c>
      <c r="AO58" s="47">
        <f t="shared" si="13"/>
        <v>0</v>
      </c>
      <c r="AP58" s="47">
        <f t="shared" si="14"/>
        <v>0</v>
      </c>
      <c r="AQ58" s="47">
        <f t="shared" si="14"/>
        <v>0</v>
      </c>
    </row>
    <row r="59" spans="27:43" ht="12.75">
      <c r="AA59" s="51">
        <f t="shared" si="15"/>
        <v>56</v>
      </c>
      <c r="AB59" s="45">
        <f t="shared" si="16"/>
        <v>0</v>
      </c>
      <c r="AC59" s="46">
        <f t="shared" si="17"/>
        <v>0</v>
      </c>
      <c r="AD59" s="47">
        <f t="shared" si="18"/>
        <v>0</v>
      </c>
      <c r="AE59" s="45">
        <f t="shared" si="19"/>
        <v>0</v>
      </c>
      <c r="AF59" s="46">
        <f t="shared" si="20"/>
        <v>0</v>
      </c>
      <c r="AG59" s="47">
        <f t="shared" si="21"/>
        <v>0</v>
      </c>
      <c r="AH59" s="47">
        <f t="shared" si="22"/>
        <v>0</v>
      </c>
      <c r="AI59" s="47">
        <f t="shared" si="7"/>
        <v>0</v>
      </c>
      <c r="AJ59" s="47">
        <f t="shared" si="8"/>
        <v>0</v>
      </c>
      <c r="AK59" s="47">
        <f t="shared" si="23"/>
        <v>0</v>
      </c>
      <c r="AL59" s="47">
        <f t="shared" si="24"/>
        <v>0</v>
      </c>
      <c r="AM59" s="47">
        <f t="shared" si="25"/>
        <v>0</v>
      </c>
      <c r="AN59" s="47">
        <f t="shared" si="26"/>
        <v>0</v>
      </c>
      <c r="AO59" s="47">
        <f t="shared" si="13"/>
        <v>0</v>
      </c>
      <c r="AP59" s="47">
        <f t="shared" si="14"/>
        <v>0</v>
      </c>
      <c r="AQ59" s="47">
        <f t="shared" si="14"/>
        <v>0</v>
      </c>
    </row>
    <row r="60" spans="27:43" ht="12.75">
      <c r="AA60" s="51">
        <f t="shared" si="15"/>
        <v>57</v>
      </c>
      <c r="AB60" s="45">
        <f t="shared" si="16"/>
        <v>0</v>
      </c>
      <c r="AC60" s="46">
        <f t="shared" si="17"/>
        <v>0</v>
      </c>
      <c r="AD60" s="47">
        <f t="shared" si="18"/>
        <v>0</v>
      </c>
      <c r="AE60" s="45">
        <f t="shared" si="19"/>
        <v>0</v>
      </c>
      <c r="AF60" s="46">
        <f t="shared" si="20"/>
        <v>0</v>
      </c>
      <c r="AG60" s="47">
        <f t="shared" si="21"/>
        <v>0</v>
      </c>
      <c r="AH60" s="47">
        <f t="shared" si="22"/>
        <v>0</v>
      </c>
      <c r="AI60" s="47">
        <f t="shared" si="7"/>
        <v>0</v>
      </c>
      <c r="AJ60" s="47">
        <f t="shared" si="8"/>
        <v>0</v>
      </c>
      <c r="AK60" s="47">
        <f t="shared" si="23"/>
        <v>0</v>
      </c>
      <c r="AL60" s="47">
        <f t="shared" si="24"/>
        <v>0</v>
      </c>
      <c r="AM60" s="47">
        <f t="shared" si="25"/>
        <v>0</v>
      </c>
      <c r="AN60" s="47">
        <f t="shared" si="26"/>
        <v>0</v>
      </c>
      <c r="AO60" s="47">
        <f t="shared" si="13"/>
        <v>0</v>
      </c>
      <c r="AP60" s="47">
        <f t="shared" si="14"/>
        <v>0</v>
      </c>
      <c r="AQ60" s="47">
        <f t="shared" si="14"/>
        <v>0</v>
      </c>
    </row>
    <row r="61" spans="27:43" ht="12.75">
      <c r="AA61" s="51">
        <f t="shared" si="15"/>
        <v>58</v>
      </c>
      <c r="AB61" s="45">
        <f t="shared" si="16"/>
        <v>0</v>
      </c>
      <c r="AC61" s="46">
        <f t="shared" si="17"/>
        <v>0</v>
      </c>
      <c r="AD61" s="47">
        <f t="shared" si="18"/>
        <v>0</v>
      </c>
      <c r="AE61" s="45">
        <f t="shared" si="19"/>
        <v>0</v>
      </c>
      <c r="AF61" s="46">
        <f t="shared" si="20"/>
        <v>0</v>
      </c>
      <c r="AG61" s="47">
        <f t="shared" si="21"/>
        <v>0</v>
      </c>
      <c r="AH61" s="47">
        <f t="shared" si="22"/>
        <v>0</v>
      </c>
      <c r="AI61" s="47">
        <f t="shared" si="7"/>
        <v>0</v>
      </c>
      <c r="AJ61" s="47">
        <f t="shared" si="8"/>
        <v>0</v>
      </c>
      <c r="AK61" s="47">
        <f t="shared" si="23"/>
        <v>0</v>
      </c>
      <c r="AL61" s="47">
        <f t="shared" si="24"/>
        <v>0</v>
      </c>
      <c r="AM61" s="47">
        <f t="shared" si="25"/>
        <v>0</v>
      </c>
      <c r="AN61" s="47">
        <f t="shared" si="26"/>
        <v>0</v>
      </c>
      <c r="AO61" s="47">
        <f t="shared" si="13"/>
        <v>0</v>
      </c>
      <c r="AP61" s="47">
        <f t="shared" si="14"/>
        <v>0</v>
      </c>
      <c r="AQ61" s="47">
        <f t="shared" si="14"/>
        <v>0</v>
      </c>
    </row>
    <row r="62" spans="27:43" ht="12.75">
      <c r="AA62" s="51">
        <f t="shared" si="15"/>
        <v>59</v>
      </c>
      <c r="AB62" s="45">
        <f t="shared" si="16"/>
        <v>0</v>
      </c>
      <c r="AC62" s="46">
        <f t="shared" si="17"/>
        <v>0</v>
      </c>
      <c r="AD62" s="47">
        <f t="shared" si="18"/>
        <v>0</v>
      </c>
      <c r="AE62" s="45">
        <f t="shared" si="19"/>
        <v>0</v>
      </c>
      <c r="AF62" s="46">
        <f t="shared" si="20"/>
        <v>0</v>
      </c>
      <c r="AG62" s="47">
        <f t="shared" si="21"/>
        <v>0</v>
      </c>
      <c r="AH62" s="47">
        <f t="shared" si="22"/>
        <v>0</v>
      </c>
      <c r="AI62" s="47">
        <f t="shared" si="7"/>
        <v>0</v>
      </c>
      <c r="AJ62" s="47">
        <f t="shared" si="8"/>
        <v>0</v>
      </c>
      <c r="AK62" s="47">
        <f t="shared" si="23"/>
        <v>0</v>
      </c>
      <c r="AL62" s="47">
        <f t="shared" si="24"/>
        <v>0</v>
      </c>
      <c r="AM62" s="47">
        <f t="shared" si="25"/>
        <v>0</v>
      </c>
      <c r="AN62" s="47">
        <f t="shared" si="26"/>
        <v>0</v>
      </c>
      <c r="AO62" s="47">
        <f t="shared" si="13"/>
        <v>0</v>
      </c>
      <c r="AP62" s="47">
        <f t="shared" si="14"/>
        <v>0</v>
      </c>
      <c r="AQ62" s="47">
        <f t="shared" si="14"/>
        <v>0</v>
      </c>
    </row>
    <row r="63" spans="27:43" ht="12.75">
      <c r="AA63" s="51">
        <f t="shared" si="15"/>
        <v>60</v>
      </c>
      <c r="AB63" s="45">
        <f t="shared" si="16"/>
        <v>0</v>
      </c>
      <c r="AC63" s="46">
        <f t="shared" si="17"/>
        <v>0</v>
      </c>
      <c r="AD63" s="47">
        <f t="shared" si="18"/>
        <v>0</v>
      </c>
      <c r="AE63" s="45">
        <f t="shared" si="19"/>
        <v>0</v>
      </c>
      <c r="AF63" s="46">
        <f t="shared" si="20"/>
        <v>0</v>
      </c>
      <c r="AG63" s="47">
        <f t="shared" si="21"/>
        <v>0</v>
      </c>
      <c r="AH63" s="47">
        <f t="shared" si="22"/>
        <v>0</v>
      </c>
      <c r="AI63" s="47">
        <f t="shared" si="7"/>
        <v>0</v>
      </c>
      <c r="AJ63" s="47">
        <f t="shared" si="8"/>
        <v>0</v>
      </c>
      <c r="AK63" s="47">
        <f t="shared" si="23"/>
        <v>0</v>
      </c>
      <c r="AL63" s="47">
        <f t="shared" si="24"/>
        <v>0</v>
      </c>
      <c r="AM63" s="47">
        <f t="shared" si="25"/>
        <v>0</v>
      </c>
      <c r="AN63" s="47">
        <f t="shared" si="26"/>
        <v>0</v>
      </c>
      <c r="AO63" s="47">
        <f t="shared" si="13"/>
        <v>0</v>
      </c>
      <c r="AP63" s="47">
        <f t="shared" si="14"/>
        <v>0</v>
      </c>
      <c r="AQ63" s="47">
        <f t="shared" si="14"/>
        <v>0</v>
      </c>
    </row>
    <row r="64" spans="27:43" ht="12.75">
      <c r="AA64" s="51">
        <f t="shared" si="15"/>
        <v>61</v>
      </c>
      <c r="AB64" s="45">
        <f t="shared" si="16"/>
        <v>0</v>
      </c>
      <c r="AC64" s="46">
        <f t="shared" si="17"/>
        <v>0</v>
      </c>
      <c r="AD64" s="47">
        <f t="shared" si="18"/>
        <v>0</v>
      </c>
      <c r="AE64" s="45">
        <f t="shared" si="19"/>
        <v>0</v>
      </c>
      <c r="AF64" s="46">
        <f t="shared" si="20"/>
        <v>0</v>
      </c>
      <c r="AG64" s="47">
        <f t="shared" si="21"/>
        <v>0</v>
      </c>
      <c r="AH64" s="47">
        <f t="shared" si="22"/>
        <v>0</v>
      </c>
      <c r="AI64" s="47">
        <f t="shared" si="7"/>
        <v>0</v>
      </c>
      <c r="AJ64" s="47">
        <f t="shared" si="8"/>
        <v>0</v>
      </c>
      <c r="AK64" s="47">
        <f t="shared" si="23"/>
        <v>0</v>
      </c>
      <c r="AL64" s="47">
        <f t="shared" si="24"/>
        <v>0</v>
      </c>
      <c r="AM64" s="47">
        <f t="shared" si="25"/>
        <v>0</v>
      </c>
      <c r="AN64" s="47">
        <f t="shared" si="26"/>
        <v>0</v>
      </c>
      <c r="AO64" s="47">
        <f t="shared" si="13"/>
        <v>0</v>
      </c>
      <c r="AP64" s="47">
        <f t="shared" si="14"/>
        <v>0</v>
      </c>
      <c r="AQ64" s="47">
        <f t="shared" si="14"/>
        <v>0</v>
      </c>
    </row>
    <row r="65" spans="27:43" ht="12.75">
      <c r="AA65" s="51">
        <f t="shared" si="15"/>
        <v>62</v>
      </c>
      <c r="AB65" s="45">
        <f t="shared" si="16"/>
        <v>0</v>
      </c>
      <c r="AC65" s="46">
        <f t="shared" si="17"/>
        <v>0</v>
      </c>
      <c r="AD65" s="47">
        <f t="shared" si="18"/>
        <v>0</v>
      </c>
      <c r="AE65" s="45">
        <f t="shared" si="19"/>
        <v>0</v>
      </c>
      <c r="AF65" s="46">
        <f t="shared" si="20"/>
        <v>0</v>
      </c>
      <c r="AG65" s="47">
        <f t="shared" si="21"/>
        <v>0</v>
      </c>
      <c r="AH65" s="47">
        <f t="shared" si="22"/>
        <v>0</v>
      </c>
      <c r="AI65" s="47">
        <f t="shared" si="7"/>
        <v>0</v>
      </c>
      <c r="AJ65" s="47">
        <f t="shared" si="8"/>
        <v>0</v>
      </c>
      <c r="AK65" s="47">
        <f t="shared" si="23"/>
        <v>0</v>
      </c>
      <c r="AL65" s="47">
        <f t="shared" si="24"/>
        <v>0</v>
      </c>
      <c r="AM65" s="47">
        <f t="shared" si="25"/>
        <v>0</v>
      </c>
      <c r="AN65" s="47">
        <f t="shared" si="26"/>
        <v>0</v>
      </c>
      <c r="AO65" s="47">
        <f t="shared" si="13"/>
        <v>0</v>
      </c>
      <c r="AP65" s="47">
        <f t="shared" si="14"/>
        <v>0</v>
      </c>
      <c r="AQ65" s="47">
        <f t="shared" si="14"/>
        <v>0</v>
      </c>
    </row>
    <row r="66" spans="27:43" ht="12.75">
      <c r="AA66" s="51">
        <f t="shared" si="15"/>
        <v>63</v>
      </c>
      <c r="AB66" s="45">
        <f t="shared" si="16"/>
        <v>0</v>
      </c>
      <c r="AC66" s="46">
        <f t="shared" si="17"/>
        <v>0</v>
      </c>
      <c r="AD66" s="47">
        <f t="shared" si="18"/>
        <v>0</v>
      </c>
      <c r="AE66" s="45">
        <f t="shared" si="19"/>
        <v>0</v>
      </c>
      <c r="AF66" s="46">
        <f t="shared" si="20"/>
        <v>0</v>
      </c>
      <c r="AG66" s="47">
        <f t="shared" si="21"/>
        <v>0</v>
      </c>
      <c r="AH66" s="47">
        <f t="shared" si="22"/>
        <v>0</v>
      </c>
      <c r="AI66" s="47">
        <f t="shared" si="7"/>
        <v>0</v>
      </c>
      <c r="AJ66" s="47">
        <f t="shared" si="8"/>
        <v>0</v>
      </c>
      <c r="AK66" s="47">
        <f t="shared" si="23"/>
        <v>0</v>
      </c>
      <c r="AL66" s="47">
        <f t="shared" si="24"/>
        <v>0</v>
      </c>
      <c r="AM66" s="47">
        <f t="shared" si="25"/>
        <v>0</v>
      </c>
      <c r="AN66" s="47">
        <f t="shared" si="26"/>
        <v>0</v>
      </c>
      <c r="AO66" s="47">
        <f t="shared" si="13"/>
        <v>0</v>
      </c>
      <c r="AP66" s="47">
        <f t="shared" si="14"/>
        <v>0</v>
      </c>
      <c r="AQ66" s="47">
        <f t="shared" si="14"/>
        <v>0</v>
      </c>
    </row>
    <row r="67" spans="27:43" ht="12.75">
      <c r="AA67" s="51">
        <f t="shared" si="15"/>
        <v>64</v>
      </c>
      <c r="AB67" s="45">
        <f t="shared" si="16"/>
        <v>0</v>
      </c>
      <c r="AC67" s="46">
        <f t="shared" si="17"/>
        <v>0</v>
      </c>
      <c r="AD67" s="47">
        <f t="shared" si="18"/>
        <v>0</v>
      </c>
      <c r="AE67" s="45">
        <f t="shared" si="19"/>
        <v>0</v>
      </c>
      <c r="AF67" s="46">
        <f t="shared" si="20"/>
        <v>0</v>
      </c>
      <c r="AG67" s="47">
        <f t="shared" si="21"/>
        <v>0</v>
      </c>
      <c r="AH67" s="47">
        <f t="shared" si="22"/>
        <v>0</v>
      </c>
      <c r="AI67" s="47">
        <f t="shared" si="7"/>
        <v>0</v>
      </c>
      <c r="AJ67" s="47">
        <f t="shared" si="8"/>
        <v>0</v>
      </c>
      <c r="AK67" s="47">
        <f t="shared" si="23"/>
        <v>0</v>
      </c>
      <c r="AL67" s="47">
        <f t="shared" si="24"/>
        <v>0</v>
      </c>
      <c r="AM67" s="47">
        <f t="shared" si="25"/>
        <v>0</v>
      </c>
      <c r="AN67" s="47">
        <f t="shared" si="26"/>
        <v>0</v>
      </c>
      <c r="AO67" s="47">
        <f t="shared" si="13"/>
        <v>0</v>
      </c>
      <c r="AP67" s="47">
        <f t="shared" si="14"/>
        <v>0</v>
      </c>
      <c r="AQ67" s="47">
        <f t="shared" si="14"/>
        <v>0</v>
      </c>
    </row>
    <row r="68" spans="27:43" ht="12.75">
      <c r="AA68" s="51">
        <f t="shared" si="15"/>
        <v>65</v>
      </c>
      <c r="AB68" s="45">
        <f t="shared" si="16"/>
        <v>0</v>
      </c>
      <c r="AC68" s="46">
        <f t="shared" si="17"/>
        <v>0</v>
      </c>
      <c r="AD68" s="47">
        <f t="shared" si="18"/>
        <v>0</v>
      </c>
      <c r="AE68" s="45">
        <f t="shared" si="19"/>
        <v>0</v>
      </c>
      <c r="AF68" s="46">
        <f t="shared" si="20"/>
        <v>0</v>
      </c>
      <c r="AG68" s="47">
        <f t="shared" si="21"/>
        <v>0</v>
      </c>
      <c r="AH68" s="47">
        <f t="shared" si="22"/>
        <v>0</v>
      </c>
      <c r="AI68" s="47">
        <f t="shared" si="7"/>
        <v>0</v>
      </c>
      <c r="AJ68" s="47">
        <f t="shared" si="8"/>
        <v>0</v>
      </c>
      <c r="AK68" s="47">
        <f t="shared" si="23"/>
        <v>0</v>
      </c>
      <c r="AL68" s="47">
        <f t="shared" si="24"/>
        <v>0</v>
      </c>
      <c r="AM68" s="47">
        <f t="shared" si="25"/>
        <v>0</v>
      </c>
      <c r="AN68" s="47">
        <f t="shared" si="26"/>
        <v>0</v>
      </c>
      <c r="AO68" s="47">
        <f t="shared" si="13"/>
        <v>0</v>
      </c>
      <c r="AP68" s="47">
        <f t="shared" si="14"/>
        <v>0</v>
      </c>
      <c r="AQ68" s="47">
        <f t="shared" si="14"/>
        <v>0</v>
      </c>
    </row>
    <row r="69" spans="27:43" ht="12.75">
      <c r="AA69" s="51">
        <f t="shared" si="15"/>
        <v>66</v>
      </c>
      <c r="AB69" s="45">
        <f aca="true" t="shared" si="27" ref="AB69:AB103">AB68</f>
        <v>0</v>
      </c>
      <c r="AC69" s="46">
        <f aca="true" t="shared" si="28" ref="AC69:AC103">AC68</f>
        <v>0</v>
      </c>
      <c r="AD69" s="47">
        <f aca="true" t="shared" si="29" ref="AD69:AD103">AD68</f>
        <v>0</v>
      </c>
      <c r="AE69" s="45">
        <f aca="true" t="shared" si="30" ref="AE69:AE103">AE68</f>
        <v>0</v>
      </c>
      <c r="AF69" s="46">
        <f aca="true" t="shared" si="31" ref="AF69:AF103">AF68</f>
        <v>0</v>
      </c>
      <c r="AG69" s="47">
        <f aca="true" t="shared" si="32" ref="AG69:AG103">AG68</f>
        <v>0</v>
      </c>
      <c r="AH69" s="47">
        <f aca="true" t="shared" si="33" ref="AH69:AH103">AH68</f>
        <v>0</v>
      </c>
      <c r="AI69" s="47">
        <f aca="true" t="shared" si="34" ref="AI69:AI103">AI68</f>
        <v>0</v>
      </c>
      <c r="AJ69" s="47">
        <f aca="true" t="shared" si="35" ref="AJ69:AJ103">AJ68</f>
        <v>0</v>
      </c>
      <c r="AK69" s="47">
        <f aca="true" t="shared" si="36" ref="AK69:AK103">AK68</f>
        <v>0</v>
      </c>
      <c r="AL69" s="47">
        <f aca="true" t="shared" si="37" ref="AL69:AL103">AL68</f>
        <v>0</v>
      </c>
      <c r="AM69" s="47">
        <f aca="true" t="shared" si="38" ref="AM69:AM103">AM68</f>
        <v>0</v>
      </c>
      <c r="AN69" s="47">
        <f aca="true" t="shared" si="39" ref="AN69:AN103">AN68</f>
        <v>0</v>
      </c>
      <c r="AO69" s="47">
        <f aca="true" t="shared" si="40" ref="AO69:AO103">AO68</f>
        <v>0</v>
      </c>
      <c r="AP69" s="47">
        <f aca="true" t="shared" si="41" ref="AP69:AQ103">AP68</f>
        <v>0</v>
      </c>
      <c r="AQ69" s="47">
        <f t="shared" si="41"/>
        <v>0</v>
      </c>
    </row>
    <row r="70" spans="27:43" ht="12.75">
      <c r="AA70" s="51">
        <f aca="true" t="shared" si="42" ref="AA70:AA103">AA69+1</f>
        <v>67</v>
      </c>
      <c r="AB70" s="45">
        <f t="shared" si="27"/>
        <v>0</v>
      </c>
      <c r="AC70" s="46">
        <f t="shared" si="28"/>
        <v>0</v>
      </c>
      <c r="AD70" s="47">
        <f t="shared" si="29"/>
        <v>0</v>
      </c>
      <c r="AE70" s="45">
        <f t="shared" si="30"/>
        <v>0</v>
      </c>
      <c r="AF70" s="46">
        <f t="shared" si="31"/>
        <v>0</v>
      </c>
      <c r="AG70" s="47">
        <f t="shared" si="32"/>
        <v>0</v>
      </c>
      <c r="AH70" s="47">
        <f t="shared" si="33"/>
        <v>0</v>
      </c>
      <c r="AI70" s="47">
        <f t="shared" si="34"/>
        <v>0</v>
      </c>
      <c r="AJ70" s="47">
        <f t="shared" si="35"/>
        <v>0</v>
      </c>
      <c r="AK70" s="47">
        <f t="shared" si="36"/>
        <v>0</v>
      </c>
      <c r="AL70" s="47">
        <f t="shared" si="37"/>
        <v>0</v>
      </c>
      <c r="AM70" s="47">
        <f t="shared" si="38"/>
        <v>0</v>
      </c>
      <c r="AN70" s="47">
        <f t="shared" si="39"/>
        <v>0</v>
      </c>
      <c r="AO70" s="47">
        <f t="shared" si="40"/>
        <v>0</v>
      </c>
      <c r="AP70" s="47">
        <f t="shared" si="41"/>
        <v>0</v>
      </c>
      <c r="AQ70" s="47">
        <f t="shared" si="41"/>
        <v>0</v>
      </c>
    </row>
    <row r="71" spans="27:43" ht="12.75">
      <c r="AA71" s="51">
        <f t="shared" si="42"/>
        <v>68</v>
      </c>
      <c r="AB71" s="45">
        <f t="shared" si="27"/>
        <v>0</v>
      </c>
      <c r="AC71" s="46">
        <f t="shared" si="28"/>
        <v>0</v>
      </c>
      <c r="AD71" s="47">
        <f t="shared" si="29"/>
        <v>0</v>
      </c>
      <c r="AE71" s="45">
        <f t="shared" si="30"/>
        <v>0</v>
      </c>
      <c r="AF71" s="46">
        <f t="shared" si="31"/>
        <v>0</v>
      </c>
      <c r="AG71" s="47">
        <f t="shared" si="32"/>
        <v>0</v>
      </c>
      <c r="AH71" s="47">
        <f t="shared" si="33"/>
        <v>0</v>
      </c>
      <c r="AI71" s="47">
        <f t="shared" si="34"/>
        <v>0</v>
      </c>
      <c r="AJ71" s="47">
        <f t="shared" si="35"/>
        <v>0</v>
      </c>
      <c r="AK71" s="47">
        <f t="shared" si="36"/>
        <v>0</v>
      </c>
      <c r="AL71" s="47">
        <f t="shared" si="37"/>
        <v>0</v>
      </c>
      <c r="AM71" s="47">
        <f t="shared" si="38"/>
        <v>0</v>
      </c>
      <c r="AN71" s="47">
        <f t="shared" si="39"/>
        <v>0</v>
      </c>
      <c r="AO71" s="47">
        <f t="shared" si="40"/>
        <v>0</v>
      </c>
      <c r="AP71" s="47">
        <f t="shared" si="41"/>
        <v>0</v>
      </c>
      <c r="AQ71" s="47">
        <f t="shared" si="41"/>
        <v>0</v>
      </c>
    </row>
    <row r="72" spans="27:43" ht="12.75">
      <c r="AA72" s="51">
        <f t="shared" si="42"/>
        <v>69</v>
      </c>
      <c r="AB72" s="45">
        <f t="shared" si="27"/>
        <v>0</v>
      </c>
      <c r="AC72" s="46">
        <f t="shared" si="28"/>
        <v>0</v>
      </c>
      <c r="AD72" s="47">
        <f t="shared" si="29"/>
        <v>0</v>
      </c>
      <c r="AE72" s="45">
        <f t="shared" si="30"/>
        <v>0</v>
      </c>
      <c r="AF72" s="46">
        <f t="shared" si="31"/>
        <v>0</v>
      </c>
      <c r="AG72" s="47">
        <f t="shared" si="32"/>
        <v>0</v>
      </c>
      <c r="AH72" s="47">
        <f t="shared" si="33"/>
        <v>0</v>
      </c>
      <c r="AI72" s="47">
        <f t="shared" si="34"/>
        <v>0</v>
      </c>
      <c r="AJ72" s="47">
        <f t="shared" si="35"/>
        <v>0</v>
      </c>
      <c r="AK72" s="47">
        <f t="shared" si="36"/>
        <v>0</v>
      </c>
      <c r="AL72" s="47">
        <f t="shared" si="37"/>
        <v>0</v>
      </c>
      <c r="AM72" s="47">
        <f t="shared" si="38"/>
        <v>0</v>
      </c>
      <c r="AN72" s="47">
        <f t="shared" si="39"/>
        <v>0</v>
      </c>
      <c r="AO72" s="47">
        <f t="shared" si="40"/>
        <v>0</v>
      </c>
      <c r="AP72" s="47">
        <f t="shared" si="41"/>
        <v>0</v>
      </c>
      <c r="AQ72" s="47">
        <f t="shared" si="41"/>
        <v>0</v>
      </c>
    </row>
    <row r="73" spans="27:43" ht="12.75">
      <c r="AA73" s="51">
        <f t="shared" si="42"/>
        <v>70</v>
      </c>
      <c r="AB73" s="45">
        <f t="shared" si="27"/>
        <v>0</v>
      </c>
      <c r="AC73" s="46">
        <f t="shared" si="28"/>
        <v>0</v>
      </c>
      <c r="AD73" s="47">
        <f t="shared" si="29"/>
        <v>0</v>
      </c>
      <c r="AE73" s="45">
        <f t="shared" si="30"/>
        <v>0</v>
      </c>
      <c r="AF73" s="46">
        <f t="shared" si="31"/>
        <v>0</v>
      </c>
      <c r="AG73" s="47">
        <f t="shared" si="32"/>
        <v>0</v>
      </c>
      <c r="AH73" s="47">
        <f t="shared" si="33"/>
        <v>0</v>
      </c>
      <c r="AI73" s="47">
        <f t="shared" si="34"/>
        <v>0</v>
      </c>
      <c r="AJ73" s="47">
        <f t="shared" si="35"/>
        <v>0</v>
      </c>
      <c r="AK73" s="47">
        <f t="shared" si="36"/>
        <v>0</v>
      </c>
      <c r="AL73" s="47">
        <f t="shared" si="37"/>
        <v>0</v>
      </c>
      <c r="AM73" s="47">
        <f t="shared" si="38"/>
        <v>0</v>
      </c>
      <c r="AN73" s="47">
        <f t="shared" si="39"/>
        <v>0</v>
      </c>
      <c r="AO73" s="47">
        <f t="shared" si="40"/>
        <v>0</v>
      </c>
      <c r="AP73" s="47">
        <f t="shared" si="41"/>
        <v>0</v>
      </c>
      <c r="AQ73" s="47">
        <f t="shared" si="41"/>
        <v>0</v>
      </c>
    </row>
    <row r="74" spans="27:43" ht="12.75">
      <c r="AA74" s="51">
        <f t="shared" si="42"/>
        <v>71</v>
      </c>
      <c r="AB74" s="45">
        <f t="shared" si="27"/>
        <v>0</v>
      </c>
      <c r="AC74" s="46">
        <f t="shared" si="28"/>
        <v>0</v>
      </c>
      <c r="AD74" s="47">
        <f t="shared" si="29"/>
        <v>0</v>
      </c>
      <c r="AE74" s="45">
        <f t="shared" si="30"/>
        <v>0</v>
      </c>
      <c r="AF74" s="46">
        <f t="shared" si="31"/>
        <v>0</v>
      </c>
      <c r="AG74" s="47">
        <f t="shared" si="32"/>
        <v>0</v>
      </c>
      <c r="AH74" s="47">
        <f t="shared" si="33"/>
        <v>0</v>
      </c>
      <c r="AI74" s="47">
        <f t="shared" si="34"/>
        <v>0</v>
      </c>
      <c r="AJ74" s="47">
        <f t="shared" si="35"/>
        <v>0</v>
      </c>
      <c r="AK74" s="47">
        <f t="shared" si="36"/>
        <v>0</v>
      </c>
      <c r="AL74" s="47">
        <f t="shared" si="37"/>
        <v>0</v>
      </c>
      <c r="AM74" s="47">
        <f t="shared" si="38"/>
        <v>0</v>
      </c>
      <c r="AN74" s="47">
        <f t="shared" si="39"/>
        <v>0</v>
      </c>
      <c r="AO74" s="47">
        <f t="shared" si="40"/>
        <v>0</v>
      </c>
      <c r="AP74" s="47">
        <f t="shared" si="41"/>
        <v>0</v>
      </c>
      <c r="AQ74" s="47">
        <f t="shared" si="41"/>
        <v>0</v>
      </c>
    </row>
    <row r="75" spans="27:43" ht="12.75">
      <c r="AA75" s="51">
        <f t="shared" si="42"/>
        <v>72</v>
      </c>
      <c r="AB75" s="45">
        <f t="shared" si="27"/>
        <v>0</v>
      </c>
      <c r="AC75" s="46">
        <f t="shared" si="28"/>
        <v>0</v>
      </c>
      <c r="AD75" s="47">
        <f t="shared" si="29"/>
        <v>0</v>
      </c>
      <c r="AE75" s="45">
        <f t="shared" si="30"/>
        <v>0</v>
      </c>
      <c r="AF75" s="46">
        <f t="shared" si="31"/>
        <v>0</v>
      </c>
      <c r="AG75" s="47">
        <f t="shared" si="32"/>
        <v>0</v>
      </c>
      <c r="AH75" s="47">
        <f t="shared" si="33"/>
        <v>0</v>
      </c>
      <c r="AI75" s="47">
        <f t="shared" si="34"/>
        <v>0</v>
      </c>
      <c r="AJ75" s="47">
        <f t="shared" si="35"/>
        <v>0</v>
      </c>
      <c r="AK75" s="47">
        <f t="shared" si="36"/>
        <v>0</v>
      </c>
      <c r="AL75" s="47">
        <f t="shared" si="37"/>
        <v>0</v>
      </c>
      <c r="AM75" s="47">
        <f t="shared" si="38"/>
        <v>0</v>
      </c>
      <c r="AN75" s="47">
        <f t="shared" si="39"/>
        <v>0</v>
      </c>
      <c r="AO75" s="47">
        <f t="shared" si="40"/>
        <v>0</v>
      </c>
      <c r="AP75" s="47">
        <f t="shared" si="41"/>
        <v>0</v>
      </c>
      <c r="AQ75" s="47">
        <f t="shared" si="41"/>
        <v>0</v>
      </c>
    </row>
    <row r="76" spans="27:43" ht="12.75">
      <c r="AA76" s="51">
        <f t="shared" si="42"/>
        <v>73</v>
      </c>
      <c r="AB76" s="45">
        <f t="shared" si="27"/>
        <v>0</v>
      </c>
      <c r="AC76" s="46">
        <f t="shared" si="28"/>
        <v>0</v>
      </c>
      <c r="AD76" s="47">
        <f t="shared" si="29"/>
        <v>0</v>
      </c>
      <c r="AE76" s="45">
        <f t="shared" si="30"/>
        <v>0</v>
      </c>
      <c r="AF76" s="46">
        <f t="shared" si="31"/>
        <v>0</v>
      </c>
      <c r="AG76" s="47">
        <f t="shared" si="32"/>
        <v>0</v>
      </c>
      <c r="AH76" s="47">
        <f t="shared" si="33"/>
        <v>0</v>
      </c>
      <c r="AI76" s="47">
        <f t="shared" si="34"/>
        <v>0</v>
      </c>
      <c r="AJ76" s="47">
        <f t="shared" si="35"/>
        <v>0</v>
      </c>
      <c r="AK76" s="47">
        <f t="shared" si="36"/>
        <v>0</v>
      </c>
      <c r="AL76" s="47">
        <f t="shared" si="37"/>
        <v>0</v>
      </c>
      <c r="AM76" s="47">
        <f t="shared" si="38"/>
        <v>0</v>
      </c>
      <c r="AN76" s="47">
        <f t="shared" si="39"/>
        <v>0</v>
      </c>
      <c r="AO76" s="47">
        <f t="shared" si="40"/>
        <v>0</v>
      </c>
      <c r="AP76" s="47">
        <f t="shared" si="41"/>
        <v>0</v>
      </c>
      <c r="AQ76" s="47">
        <f t="shared" si="41"/>
        <v>0</v>
      </c>
    </row>
    <row r="77" spans="27:43" ht="12.75">
      <c r="AA77" s="51">
        <f t="shared" si="42"/>
        <v>74</v>
      </c>
      <c r="AB77" s="45">
        <f t="shared" si="27"/>
        <v>0</v>
      </c>
      <c r="AC77" s="46">
        <f t="shared" si="28"/>
        <v>0</v>
      </c>
      <c r="AD77" s="47">
        <f t="shared" si="29"/>
        <v>0</v>
      </c>
      <c r="AE77" s="45">
        <f t="shared" si="30"/>
        <v>0</v>
      </c>
      <c r="AF77" s="46">
        <f t="shared" si="31"/>
        <v>0</v>
      </c>
      <c r="AG77" s="47">
        <f t="shared" si="32"/>
        <v>0</v>
      </c>
      <c r="AH77" s="47">
        <f t="shared" si="33"/>
        <v>0</v>
      </c>
      <c r="AI77" s="47">
        <f t="shared" si="34"/>
        <v>0</v>
      </c>
      <c r="AJ77" s="47">
        <f t="shared" si="35"/>
        <v>0</v>
      </c>
      <c r="AK77" s="47">
        <f t="shared" si="36"/>
        <v>0</v>
      </c>
      <c r="AL77" s="47">
        <f t="shared" si="37"/>
        <v>0</v>
      </c>
      <c r="AM77" s="47">
        <f t="shared" si="38"/>
        <v>0</v>
      </c>
      <c r="AN77" s="47">
        <f t="shared" si="39"/>
        <v>0</v>
      </c>
      <c r="AO77" s="47">
        <f t="shared" si="40"/>
        <v>0</v>
      </c>
      <c r="AP77" s="47">
        <f t="shared" si="41"/>
        <v>0</v>
      </c>
      <c r="AQ77" s="47">
        <f t="shared" si="41"/>
        <v>0</v>
      </c>
    </row>
    <row r="78" spans="27:43" ht="12.75">
      <c r="AA78" s="51">
        <f t="shared" si="42"/>
        <v>75</v>
      </c>
      <c r="AB78" s="45">
        <f t="shared" si="27"/>
        <v>0</v>
      </c>
      <c r="AC78" s="46">
        <f t="shared" si="28"/>
        <v>0</v>
      </c>
      <c r="AD78" s="47">
        <f t="shared" si="29"/>
        <v>0</v>
      </c>
      <c r="AE78" s="45">
        <f t="shared" si="30"/>
        <v>0</v>
      </c>
      <c r="AF78" s="46">
        <f t="shared" si="31"/>
        <v>0</v>
      </c>
      <c r="AG78" s="47">
        <f t="shared" si="32"/>
        <v>0</v>
      </c>
      <c r="AH78" s="47">
        <f t="shared" si="33"/>
        <v>0</v>
      </c>
      <c r="AI78" s="47">
        <f t="shared" si="34"/>
        <v>0</v>
      </c>
      <c r="AJ78" s="47">
        <f t="shared" si="35"/>
        <v>0</v>
      </c>
      <c r="AK78" s="47">
        <f t="shared" si="36"/>
        <v>0</v>
      </c>
      <c r="AL78" s="47">
        <f t="shared" si="37"/>
        <v>0</v>
      </c>
      <c r="AM78" s="47">
        <f t="shared" si="38"/>
        <v>0</v>
      </c>
      <c r="AN78" s="47">
        <f t="shared" si="39"/>
        <v>0</v>
      </c>
      <c r="AO78" s="47">
        <f t="shared" si="40"/>
        <v>0</v>
      </c>
      <c r="AP78" s="47">
        <f t="shared" si="41"/>
        <v>0</v>
      </c>
      <c r="AQ78" s="47">
        <f t="shared" si="41"/>
        <v>0</v>
      </c>
    </row>
    <row r="79" spans="27:43" ht="12.75">
      <c r="AA79" s="51">
        <f t="shared" si="42"/>
        <v>76</v>
      </c>
      <c r="AB79" s="45">
        <f t="shared" si="27"/>
        <v>0</v>
      </c>
      <c r="AC79" s="46">
        <f t="shared" si="28"/>
        <v>0</v>
      </c>
      <c r="AD79" s="47">
        <f t="shared" si="29"/>
        <v>0</v>
      </c>
      <c r="AE79" s="45">
        <f t="shared" si="30"/>
        <v>0</v>
      </c>
      <c r="AF79" s="46">
        <f t="shared" si="31"/>
        <v>0</v>
      </c>
      <c r="AG79" s="47">
        <f t="shared" si="32"/>
        <v>0</v>
      </c>
      <c r="AH79" s="47">
        <f t="shared" si="33"/>
        <v>0</v>
      </c>
      <c r="AI79" s="47">
        <f t="shared" si="34"/>
        <v>0</v>
      </c>
      <c r="AJ79" s="47">
        <f t="shared" si="35"/>
        <v>0</v>
      </c>
      <c r="AK79" s="47">
        <f t="shared" si="36"/>
        <v>0</v>
      </c>
      <c r="AL79" s="47">
        <f t="shared" si="37"/>
        <v>0</v>
      </c>
      <c r="AM79" s="47">
        <f t="shared" si="38"/>
        <v>0</v>
      </c>
      <c r="AN79" s="47">
        <f t="shared" si="39"/>
        <v>0</v>
      </c>
      <c r="AO79" s="47">
        <f t="shared" si="40"/>
        <v>0</v>
      </c>
      <c r="AP79" s="47">
        <f t="shared" si="41"/>
        <v>0</v>
      </c>
      <c r="AQ79" s="47">
        <f t="shared" si="41"/>
        <v>0</v>
      </c>
    </row>
    <row r="80" spans="27:43" ht="12.75">
      <c r="AA80" s="51">
        <f t="shared" si="42"/>
        <v>77</v>
      </c>
      <c r="AB80" s="45">
        <f t="shared" si="27"/>
        <v>0</v>
      </c>
      <c r="AC80" s="46">
        <f t="shared" si="28"/>
        <v>0</v>
      </c>
      <c r="AD80" s="47">
        <f t="shared" si="29"/>
        <v>0</v>
      </c>
      <c r="AE80" s="45">
        <f t="shared" si="30"/>
        <v>0</v>
      </c>
      <c r="AF80" s="46">
        <f t="shared" si="31"/>
        <v>0</v>
      </c>
      <c r="AG80" s="47">
        <f t="shared" si="32"/>
        <v>0</v>
      </c>
      <c r="AH80" s="47">
        <f t="shared" si="33"/>
        <v>0</v>
      </c>
      <c r="AI80" s="47">
        <f t="shared" si="34"/>
        <v>0</v>
      </c>
      <c r="AJ80" s="47">
        <f t="shared" si="35"/>
        <v>0</v>
      </c>
      <c r="AK80" s="47">
        <f t="shared" si="36"/>
        <v>0</v>
      </c>
      <c r="AL80" s="47">
        <f t="shared" si="37"/>
        <v>0</v>
      </c>
      <c r="AM80" s="47">
        <f t="shared" si="38"/>
        <v>0</v>
      </c>
      <c r="AN80" s="47">
        <f t="shared" si="39"/>
        <v>0</v>
      </c>
      <c r="AO80" s="47">
        <f t="shared" si="40"/>
        <v>0</v>
      </c>
      <c r="AP80" s="47">
        <f t="shared" si="41"/>
        <v>0</v>
      </c>
      <c r="AQ80" s="47">
        <f t="shared" si="41"/>
        <v>0</v>
      </c>
    </row>
    <row r="81" spans="27:43" ht="12.75">
      <c r="AA81" s="51">
        <f t="shared" si="42"/>
        <v>78</v>
      </c>
      <c r="AB81" s="45">
        <f t="shared" si="27"/>
        <v>0</v>
      </c>
      <c r="AC81" s="46">
        <f t="shared" si="28"/>
        <v>0</v>
      </c>
      <c r="AD81" s="47">
        <f t="shared" si="29"/>
        <v>0</v>
      </c>
      <c r="AE81" s="45">
        <f t="shared" si="30"/>
        <v>0</v>
      </c>
      <c r="AF81" s="46">
        <f t="shared" si="31"/>
        <v>0</v>
      </c>
      <c r="AG81" s="47">
        <f t="shared" si="32"/>
        <v>0</v>
      </c>
      <c r="AH81" s="47">
        <f t="shared" si="33"/>
        <v>0</v>
      </c>
      <c r="AI81" s="47">
        <f t="shared" si="34"/>
        <v>0</v>
      </c>
      <c r="AJ81" s="47">
        <f t="shared" si="35"/>
        <v>0</v>
      </c>
      <c r="AK81" s="47">
        <f t="shared" si="36"/>
        <v>0</v>
      </c>
      <c r="AL81" s="47">
        <f t="shared" si="37"/>
        <v>0</v>
      </c>
      <c r="AM81" s="47">
        <f t="shared" si="38"/>
        <v>0</v>
      </c>
      <c r="AN81" s="47">
        <f t="shared" si="39"/>
        <v>0</v>
      </c>
      <c r="AO81" s="47">
        <f t="shared" si="40"/>
        <v>0</v>
      </c>
      <c r="AP81" s="47">
        <f t="shared" si="41"/>
        <v>0</v>
      </c>
      <c r="AQ81" s="47">
        <f t="shared" si="41"/>
        <v>0</v>
      </c>
    </row>
    <row r="82" spans="27:43" ht="12.75">
      <c r="AA82" s="51">
        <f t="shared" si="42"/>
        <v>79</v>
      </c>
      <c r="AB82" s="45">
        <f t="shared" si="27"/>
        <v>0</v>
      </c>
      <c r="AC82" s="46">
        <f t="shared" si="28"/>
        <v>0</v>
      </c>
      <c r="AD82" s="47">
        <f t="shared" si="29"/>
        <v>0</v>
      </c>
      <c r="AE82" s="45">
        <f t="shared" si="30"/>
        <v>0</v>
      </c>
      <c r="AF82" s="46">
        <f t="shared" si="31"/>
        <v>0</v>
      </c>
      <c r="AG82" s="47">
        <f t="shared" si="32"/>
        <v>0</v>
      </c>
      <c r="AH82" s="47">
        <f t="shared" si="33"/>
        <v>0</v>
      </c>
      <c r="AI82" s="47">
        <f t="shared" si="34"/>
        <v>0</v>
      </c>
      <c r="AJ82" s="47">
        <f t="shared" si="35"/>
        <v>0</v>
      </c>
      <c r="AK82" s="47">
        <f t="shared" si="36"/>
        <v>0</v>
      </c>
      <c r="AL82" s="47">
        <f t="shared" si="37"/>
        <v>0</v>
      </c>
      <c r="AM82" s="47">
        <f t="shared" si="38"/>
        <v>0</v>
      </c>
      <c r="AN82" s="47">
        <f t="shared" si="39"/>
        <v>0</v>
      </c>
      <c r="AO82" s="47">
        <f t="shared" si="40"/>
        <v>0</v>
      </c>
      <c r="AP82" s="47">
        <f t="shared" si="41"/>
        <v>0</v>
      </c>
      <c r="AQ82" s="47">
        <f t="shared" si="41"/>
        <v>0</v>
      </c>
    </row>
    <row r="83" spans="27:43" ht="12.75">
      <c r="AA83" s="51">
        <f t="shared" si="42"/>
        <v>80</v>
      </c>
      <c r="AB83" s="45">
        <f t="shared" si="27"/>
        <v>0</v>
      </c>
      <c r="AC83" s="46">
        <f t="shared" si="28"/>
        <v>0</v>
      </c>
      <c r="AD83" s="47">
        <f t="shared" si="29"/>
        <v>0</v>
      </c>
      <c r="AE83" s="45">
        <f t="shared" si="30"/>
        <v>0</v>
      </c>
      <c r="AF83" s="46">
        <f t="shared" si="31"/>
        <v>0</v>
      </c>
      <c r="AG83" s="47">
        <f t="shared" si="32"/>
        <v>0</v>
      </c>
      <c r="AH83" s="47">
        <f t="shared" si="33"/>
        <v>0</v>
      </c>
      <c r="AI83" s="47">
        <f t="shared" si="34"/>
        <v>0</v>
      </c>
      <c r="AJ83" s="47">
        <f t="shared" si="35"/>
        <v>0</v>
      </c>
      <c r="AK83" s="47">
        <f t="shared" si="36"/>
        <v>0</v>
      </c>
      <c r="AL83" s="47">
        <f t="shared" si="37"/>
        <v>0</v>
      </c>
      <c r="AM83" s="47">
        <f t="shared" si="38"/>
        <v>0</v>
      </c>
      <c r="AN83" s="47">
        <f t="shared" si="39"/>
        <v>0</v>
      </c>
      <c r="AO83" s="47">
        <f t="shared" si="40"/>
        <v>0</v>
      </c>
      <c r="AP83" s="47">
        <f t="shared" si="41"/>
        <v>0</v>
      </c>
      <c r="AQ83" s="47">
        <f t="shared" si="41"/>
        <v>0</v>
      </c>
    </row>
    <row r="84" spans="27:43" ht="12.75">
      <c r="AA84" s="51">
        <f t="shared" si="42"/>
        <v>81</v>
      </c>
      <c r="AB84" s="45">
        <f t="shared" si="27"/>
        <v>0</v>
      </c>
      <c r="AC84" s="46">
        <f t="shared" si="28"/>
        <v>0</v>
      </c>
      <c r="AD84" s="47">
        <f t="shared" si="29"/>
        <v>0</v>
      </c>
      <c r="AE84" s="45">
        <f t="shared" si="30"/>
        <v>0</v>
      </c>
      <c r="AF84" s="46">
        <f t="shared" si="31"/>
        <v>0</v>
      </c>
      <c r="AG84" s="47">
        <f t="shared" si="32"/>
        <v>0</v>
      </c>
      <c r="AH84" s="47">
        <f t="shared" si="33"/>
        <v>0</v>
      </c>
      <c r="AI84" s="47">
        <f t="shared" si="34"/>
        <v>0</v>
      </c>
      <c r="AJ84" s="47">
        <f t="shared" si="35"/>
        <v>0</v>
      </c>
      <c r="AK84" s="47">
        <f t="shared" si="36"/>
        <v>0</v>
      </c>
      <c r="AL84" s="47">
        <f t="shared" si="37"/>
        <v>0</v>
      </c>
      <c r="AM84" s="47">
        <f t="shared" si="38"/>
        <v>0</v>
      </c>
      <c r="AN84" s="47">
        <f t="shared" si="39"/>
        <v>0</v>
      </c>
      <c r="AO84" s="47">
        <f t="shared" si="40"/>
        <v>0</v>
      </c>
      <c r="AP84" s="47">
        <f t="shared" si="41"/>
        <v>0</v>
      </c>
      <c r="AQ84" s="47">
        <f t="shared" si="41"/>
        <v>0</v>
      </c>
    </row>
    <row r="85" spans="27:43" ht="12.75">
      <c r="AA85" s="51">
        <f t="shared" si="42"/>
        <v>82</v>
      </c>
      <c r="AB85" s="45">
        <f t="shared" si="27"/>
        <v>0</v>
      </c>
      <c r="AC85" s="46">
        <f t="shared" si="28"/>
        <v>0</v>
      </c>
      <c r="AD85" s="47">
        <f t="shared" si="29"/>
        <v>0</v>
      </c>
      <c r="AE85" s="45">
        <f t="shared" si="30"/>
        <v>0</v>
      </c>
      <c r="AF85" s="46">
        <f t="shared" si="31"/>
        <v>0</v>
      </c>
      <c r="AG85" s="47">
        <f t="shared" si="32"/>
        <v>0</v>
      </c>
      <c r="AH85" s="47">
        <f t="shared" si="33"/>
        <v>0</v>
      </c>
      <c r="AI85" s="47">
        <f t="shared" si="34"/>
        <v>0</v>
      </c>
      <c r="AJ85" s="47">
        <f t="shared" si="35"/>
        <v>0</v>
      </c>
      <c r="AK85" s="47">
        <f t="shared" si="36"/>
        <v>0</v>
      </c>
      <c r="AL85" s="47">
        <f t="shared" si="37"/>
        <v>0</v>
      </c>
      <c r="AM85" s="47">
        <f t="shared" si="38"/>
        <v>0</v>
      </c>
      <c r="AN85" s="47">
        <f t="shared" si="39"/>
        <v>0</v>
      </c>
      <c r="AO85" s="47">
        <f t="shared" si="40"/>
        <v>0</v>
      </c>
      <c r="AP85" s="47">
        <f t="shared" si="41"/>
        <v>0</v>
      </c>
      <c r="AQ85" s="47">
        <f t="shared" si="41"/>
        <v>0</v>
      </c>
    </row>
    <row r="86" spans="27:43" ht="12.75">
      <c r="AA86" s="51">
        <f t="shared" si="42"/>
        <v>83</v>
      </c>
      <c r="AB86" s="45">
        <f t="shared" si="27"/>
        <v>0</v>
      </c>
      <c r="AC86" s="46">
        <f t="shared" si="28"/>
        <v>0</v>
      </c>
      <c r="AD86" s="47">
        <f t="shared" si="29"/>
        <v>0</v>
      </c>
      <c r="AE86" s="45">
        <f t="shared" si="30"/>
        <v>0</v>
      </c>
      <c r="AF86" s="46">
        <f t="shared" si="31"/>
        <v>0</v>
      </c>
      <c r="AG86" s="47">
        <f t="shared" si="32"/>
        <v>0</v>
      </c>
      <c r="AH86" s="47">
        <f t="shared" si="33"/>
        <v>0</v>
      </c>
      <c r="AI86" s="47">
        <f t="shared" si="34"/>
        <v>0</v>
      </c>
      <c r="AJ86" s="47">
        <f t="shared" si="35"/>
        <v>0</v>
      </c>
      <c r="AK86" s="47">
        <f t="shared" si="36"/>
        <v>0</v>
      </c>
      <c r="AL86" s="47">
        <f t="shared" si="37"/>
        <v>0</v>
      </c>
      <c r="AM86" s="47">
        <f t="shared" si="38"/>
        <v>0</v>
      </c>
      <c r="AN86" s="47">
        <f t="shared" si="39"/>
        <v>0</v>
      </c>
      <c r="AO86" s="47">
        <f t="shared" si="40"/>
        <v>0</v>
      </c>
      <c r="AP86" s="47">
        <f t="shared" si="41"/>
        <v>0</v>
      </c>
      <c r="AQ86" s="47">
        <f t="shared" si="41"/>
        <v>0</v>
      </c>
    </row>
    <row r="87" spans="27:43" ht="12.75">
      <c r="AA87" s="51">
        <f t="shared" si="42"/>
        <v>84</v>
      </c>
      <c r="AB87" s="45">
        <f t="shared" si="27"/>
        <v>0</v>
      </c>
      <c r="AC87" s="46">
        <f t="shared" si="28"/>
        <v>0</v>
      </c>
      <c r="AD87" s="47">
        <f t="shared" si="29"/>
        <v>0</v>
      </c>
      <c r="AE87" s="45">
        <f t="shared" si="30"/>
        <v>0</v>
      </c>
      <c r="AF87" s="46">
        <f t="shared" si="31"/>
        <v>0</v>
      </c>
      <c r="AG87" s="47">
        <f t="shared" si="32"/>
        <v>0</v>
      </c>
      <c r="AH87" s="47">
        <f t="shared" si="33"/>
        <v>0</v>
      </c>
      <c r="AI87" s="47">
        <f t="shared" si="34"/>
        <v>0</v>
      </c>
      <c r="AJ87" s="47">
        <f t="shared" si="35"/>
        <v>0</v>
      </c>
      <c r="AK87" s="47">
        <f t="shared" si="36"/>
        <v>0</v>
      </c>
      <c r="AL87" s="47">
        <f t="shared" si="37"/>
        <v>0</v>
      </c>
      <c r="AM87" s="47">
        <f t="shared" si="38"/>
        <v>0</v>
      </c>
      <c r="AN87" s="47">
        <f t="shared" si="39"/>
        <v>0</v>
      </c>
      <c r="AO87" s="47">
        <f t="shared" si="40"/>
        <v>0</v>
      </c>
      <c r="AP87" s="47">
        <f t="shared" si="41"/>
        <v>0</v>
      </c>
      <c r="AQ87" s="47">
        <f t="shared" si="41"/>
        <v>0</v>
      </c>
    </row>
    <row r="88" spans="27:43" ht="12.75">
      <c r="AA88" s="51">
        <f t="shared" si="42"/>
        <v>85</v>
      </c>
      <c r="AB88" s="45">
        <f t="shared" si="27"/>
        <v>0</v>
      </c>
      <c r="AC88" s="46">
        <f t="shared" si="28"/>
        <v>0</v>
      </c>
      <c r="AD88" s="47">
        <f t="shared" si="29"/>
        <v>0</v>
      </c>
      <c r="AE88" s="45">
        <f t="shared" si="30"/>
        <v>0</v>
      </c>
      <c r="AF88" s="46">
        <f t="shared" si="31"/>
        <v>0</v>
      </c>
      <c r="AG88" s="47">
        <f t="shared" si="32"/>
        <v>0</v>
      </c>
      <c r="AH88" s="47">
        <f t="shared" si="33"/>
        <v>0</v>
      </c>
      <c r="AI88" s="47">
        <f t="shared" si="34"/>
        <v>0</v>
      </c>
      <c r="AJ88" s="47">
        <f t="shared" si="35"/>
        <v>0</v>
      </c>
      <c r="AK88" s="47">
        <f t="shared" si="36"/>
        <v>0</v>
      </c>
      <c r="AL88" s="47">
        <f t="shared" si="37"/>
        <v>0</v>
      </c>
      <c r="AM88" s="47">
        <f t="shared" si="38"/>
        <v>0</v>
      </c>
      <c r="AN88" s="47">
        <f t="shared" si="39"/>
        <v>0</v>
      </c>
      <c r="AO88" s="47">
        <f t="shared" si="40"/>
        <v>0</v>
      </c>
      <c r="AP88" s="47">
        <f t="shared" si="41"/>
        <v>0</v>
      </c>
      <c r="AQ88" s="47">
        <f t="shared" si="41"/>
        <v>0</v>
      </c>
    </row>
    <row r="89" spans="27:43" ht="12.75">
      <c r="AA89" s="51">
        <f t="shared" si="42"/>
        <v>86</v>
      </c>
      <c r="AB89" s="45">
        <f t="shared" si="27"/>
        <v>0</v>
      </c>
      <c r="AC89" s="46">
        <f t="shared" si="28"/>
        <v>0</v>
      </c>
      <c r="AD89" s="47">
        <f t="shared" si="29"/>
        <v>0</v>
      </c>
      <c r="AE89" s="45">
        <f t="shared" si="30"/>
        <v>0</v>
      </c>
      <c r="AF89" s="46">
        <f t="shared" si="31"/>
        <v>0</v>
      </c>
      <c r="AG89" s="47">
        <f t="shared" si="32"/>
        <v>0</v>
      </c>
      <c r="AH89" s="47">
        <f t="shared" si="33"/>
        <v>0</v>
      </c>
      <c r="AI89" s="47">
        <f t="shared" si="34"/>
        <v>0</v>
      </c>
      <c r="AJ89" s="47">
        <f t="shared" si="35"/>
        <v>0</v>
      </c>
      <c r="AK89" s="47">
        <f t="shared" si="36"/>
        <v>0</v>
      </c>
      <c r="AL89" s="47">
        <f t="shared" si="37"/>
        <v>0</v>
      </c>
      <c r="AM89" s="47">
        <f t="shared" si="38"/>
        <v>0</v>
      </c>
      <c r="AN89" s="47">
        <f t="shared" si="39"/>
        <v>0</v>
      </c>
      <c r="AO89" s="47">
        <f t="shared" si="40"/>
        <v>0</v>
      </c>
      <c r="AP89" s="47">
        <f t="shared" si="41"/>
        <v>0</v>
      </c>
      <c r="AQ89" s="47">
        <f t="shared" si="41"/>
        <v>0</v>
      </c>
    </row>
    <row r="90" spans="27:43" ht="12.75">
      <c r="AA90" s="51">
        <f t="shared" si="42"/>
        <v>87</v>
      </c>
      <c r="AB90" s="45">
        <f t="shared" si="27"/>
        <v>0</v>
      </c>
      <c r="AC90" s="46">
        <f t="shared" si="28"/>
        <v>0</v>
      </c>
      <c r="AD90" s="47">
        <f t="shared" si="29"/>
        <v>0</v>
      </c>
      <c r="AE90" s="45">
        <f t="shared" si="30"/>
        <v>0</v>
      </c>
      <c r="AF90" s="46">
        <f t="shared" si="31"/>
        <v>0</v>
      </c>
      <c r="AG90" s="47">
        <f t="shared" si="32"/>
        <v>0</v>
      </c>
      <c r="AH90" s="47">
        <f t="shared" si="33"/>
        <v>0</v>
      </c>
      <c r="AI90" s="47">
        <f t="shared" si="34"/>
        <v>0</v>
      </c>
      <c r="AJ90" s="47">
        <f t="shared" si="35"/>
        <v>0</v>
      </c>
      <c r="AK90" s="47">
        <f t="shared" si="36"/>
        <v>0</v>
      </c>
      <c r="AL90" s="47">
        <f t="shared" si="37"/>
        <v>0</v>
      </c>
      <c r="AM90" s="47">
        <f t="shared" si="38"/>
        <v>0</v>
      </c>
      <c r="AN90" s="47">
        <f t="shared" si="39"/>
        <v>0</v>
      </c>
      <c r="AO90" s="47">
        <f t="shared" si="40"/>
        <v>0</v>
      </c>
      <c r="AP90" s="47">
        <f t="shared" si="41"/>
        <v>0</v>
      </c>
      <c r="AQ90" s="47">
        <f t="shared" si="41"/>
        <v>0</v>
      </c>
    </row>
    <row r="91" spans="27:43" ht="12.75">
      <c r="AA91" s="51">
        <f t="shared" si="42"/>
        <v>88</v>
      </c>
      <c r="AB91" s="45">
        <f t="shared" si="27"/>
        <v>0</v>
      </c>
      <c r="AC91" s="46">
        <f t="shared" si="28"/>
        <v>0</v>
      </c>
      <c r="AD91" s="47">
        <f t="shared" si="29"/>
        <v>0</v>
      </c>
      <c r="AE91" s="45">
        <f t="shared" si="30"/>
        <v>0</v>
      </c>
      <c r="AF91" s="46">
        <f t="shared" si="31"/>
        <v>0</v>
      </c>
      <c r="AG91" s="47">
        <f t="shared" si="32"/>
        <v>0</v>
      </c>
      <c r="AH91" s="47">
        <f t="shared" si="33"/>
        <v>0</v>
      </c>
      <c r="AI91" s="47">
        <f t="shared" si="34"/>
        <v>0</v>
      </c>
      <c r="AJ91" s="47">
        <f t="shared" si="35"/>
        <v>0</v>
      </c>
      <c r="AK91" s="47">
        <f t="shared" si="36"/>
        <v>0</v>
      </c>
      <c r="AL91" s="47">
        <f t="shared" si="37"/>
        <v>0</v>
      </c>
      <c r="AM91" s="47">
        <f t="shared" si="38"/>
        <v>0</v>
      </c>
      <c r="AN91" s="47">
        <f t="shared" si="39"/>
        <v>0</v>
      </c>
      <c r="AO91" s="47">
        <f t="shared" si="40"/>
        <v>0</v>
      </c>
      <c r="AP91" s="47">
        <f t="shared" si="41"/>
        <v>0</v>
      </c>
      <c r="AQ91" s="47">
        <f t="shared" si="41"/>
        <v>0</v>
      </c>
    </row>
    <row r="92" spans="27:43" ht="12.75">
      <c r="AA92" s="51">
        <f t="shared" si="42"/>
        <v>89</v>
      </c>
      <c r="AB92" s="45">
        <f t="shared" si="27"/>
        <v>0</v>
      </c>
      <c r="AC92" s="46">
        <f t="shared" si="28"/>
        <v>0</v>
      </c>
      <c r="AD92" s="47">
        <f t="shared" si="29"/>
        <v>0</v>
      </c>
      <c r="AE92" s="45">
        <f t="shared" si="30"/>
        <v>0</v>
      </c>
      <c r="AF92" s="46">
        <f t="shared" si="31"/>
        <v>0</v>
      </c>
      <c r="AG92" s="47">
        <f t="shared" si="32"/>
        <v>0</v>
      </c>
      <c r="AH92" s="47">
        <f t="shared" si="33"/>
        <v>0</v>
      </c>
      <c r="AI92" s="47">
        <f t="shared" si="34"/>
        <v>0</v>
      </c>
      <c r="AJ92" s="47">
        <f t="shared" si="35"/>
        <v>0</v>
      </c>
      <c r="AK92" s="47">
        <f t="shared" si="36"/>
        <v>0</v>
      </c>
      <c r="AL92" s="47">
        <f t="shared" si="37"/>
        <v>0</v>
      </c>
      <c r="AM92" s="47">
        <f t="shared" si="38"/>
        <v>0</v>
      </c>
      <c r="AN92" s="47">
        <f t="shared" si="39"/>
        <v>0</v>
      </c>
      <c r="AO92" s="47">
        <f t="shared" si="40"/>
        <v>0</v>
      </c>
      <c r="AP92" s="47">
        <f t="shared" si="41"/>
        <v>0</v>
      </c>
      <c r="AQ92" s="47">
        <f t="shared" si="41"/>
        <v>0</v>
      </c>
    </row>
    <row r="93" spans="27:43" ht="12.75">
      <c r="AA93" s="51">
        <f t="shared" si="42"/>
        <v>90</v>
      </c>
      <c r="AB93" s="45">
        <f t="shared" si="27"/>
        <v>0</v>
      </c>
      <c r="AC93" s="46">
        <f t="shared" si="28"/>
        <v>0</v>
      </c>
      <c r="AD93" s="47">
        <f t="shared" si="29"/>
        <v>0</v>
      </c>
      <c r="AE93" s="45">
        <f t="shared" si="30"/>
        <v>0</v>
      </c>
      <c r="AF93" s="46">
        <f t="shared" si="31"/>
        <v>0</v>
      </c>
      <c r="AG93" s="47">
        <f t="shared" si="32"/>
        <v>0</v>
      </c>
      <c r="AH93" s="47">
        <f t="shared" si="33"/>
        <v>0</v>
      </c>
      <c r="AI93" s="47">
        <f t="shared" si="34"/>
        <v>0</v>
      </c>
      <c r="AJ93" s="47">
        <f t="shared" si="35"/>
        <v>0</v>
      </c>
      <c r="AK93" s="47">
        <f t="shared" si="36"/>
        <v>0</v>
      </c>
      <c r="AL93" s="47">
        <f t="shared" si="37"/>
        <v>0</v>
      </c>
      <c r="AM93" s="47">
        <f t="shared" si="38"/>
        <v>0</v>
      </c>
      <c r="AN93" s="47">
        <f t="shared" si="39"/>
        <v>0</v>
      </c>
      <c r="AO93" s="47">
        <f t="shared" si="40"/>
        <v>0</v>
      </c>
      <c r="AP93" s="47">
        <f t="shared" si="41"/>
        <v>0</v>
      </c>
      <c r="AQ93" s="47">
        <f t="shared" si="41"/>
        <v>0</v>
      </c>
    </row>
    <row r="94" spans="27:43" ht="12.75">
      <c r="AA94" s="51">
        <f t="shared" si="42"/>
        <v>91</v>
      </c>
      <c r="AB94" s="45">
        <f t="shared" si="27"/>
        <v>0</v>
      </c>
      <c r="AC94" s="46">
        <f t="shared" si="28"/>
        <v>0</v>
      </c>
      <c r="AD94" s="47">
        <f t="shared" si="29"/>
        <v>0</v>
      </c>
      <c r="AE94" s="45">
        <f t="shared" si="30"/>
        <v>0</v>
      </c>
      <c r="AF94" s="46">
        <f t="shared" si="31"/>
        <v>0</v>
      </c>
      <c r="AG94" s="47">
        <f t="shared" si="32"/>
        <v>0</v>
      </c>
      <c r="AH94" s="47">
        <f t="shared" si="33"/>
        <v>0</v>
      </c>
      <c r="AI94" s="47">
        <f t="shared" si="34"/>
        <v>0</v>
      </c>
      <c r="AJ94" s="47">
        <f t="shared" si="35"/>
        <v>0</v>
      </c>
      <c r="AK94" s="47">
        <f t="shared" si="36"/>
        <v>0</v>
      </c>
      <c r="AL94" s="47">
        <f t="shared" si="37"/>
        <v>0</v>
      </c>
      <c r="AM94" s="47">
        <f t="shared" si="38"/>
        <v>0</v>
      </c>
      <c r="AN94" s="47">
        <f t="shared" si="39"/>
        <v>0</v>
      </c>
      <c r="AO94" s="47">
        <f t="shared" si="40"/>
        <v>0</v>
      </c>
      <c r="AP94" s="47">
        <f t="shared" si="41"/>
        <v>0</v>
      </c>
      <c r="AQ94" s="47">
        <f t="shared" si="41"/>
        <v>0</v>
      </c>
    </row>
    <row r="95" spans="27:43" ht="12.75">
      <c r="AA95" s="51">
        <f t="shared" si="42"/>
        <v>92</v>
      </c>
      <c r="AB95" s="45">
        <f t="shared" si="27"/>
        <v>0</v>
      </c>
      <c r="AC95" s="46">
        <f t="shared" si="28"/>
        <v>0</v>
      </c>
      <c r="AD95" s="47">
        <f t="shared" si="29"/>
        <v>0</v>
      </c>
      <c r="AE95" s="45">
        <f t="shared" si="30"/>
        <v>0</v>
      </c>
      <c r="AF95" s="46">
        <f t="shared" si="31"/>
        <v>0</v>
      </c>
      <c r="AG95" s="47">
        <f t="shared" si="32"/>
        <v>0</v>
      </c>
      <c r="AH95" s="47">
        <f t="shared" si="33"/>
        <v>0</v>
      </c>
      <c r="AI95" s="47">
        <f t="shared" si="34"/>
        <v>0</v>
      </c>
      <c r="AJ95" s="47">
        <f t="shared" si="35"/>
        <v>0</v>
      </c>
      <c r="AK95" s="47">
        <f t="shared" si="36"/>
        <v>0</v>
      </c>
      <c r="AL95" s="47">
        <f t="shared" si="37"/>
        <v>0</v>
      </c>
      <c r="AM95" s="47">
        <f t="shared" si="38"/>
        <v>0</v>
      </c>
      <c r="AN95" s="47">
        <f t="shared" si="39"/>
        <v>0</v>
      </c>
      <c r="AO95" s="47">
        <f t="shared" si="40"/>
        <v>0</v>
      </c>
      <c r="AP95" s="47">
        <f t="shared" si="41"/>
        <v>0</v>
      </c>
      <c r="AQ95" s="47">
        <f t="shared" si="41"/>
        <v>0</v>
      </c>
    </row>
    <row r="96" spans="27:43" ht="12.75">
      <c r="AA96" s="51">
        <f t="shared" si="42"/>
        <v>93</v>
      </c>
      <c r="AB96" s="45">
        <f t="shared" si="27"/>
        <v>0</v>
      </c>
      <c r="AC96" s="46">
        <f t="shared" si="28"/>
        <v>0</v>
      </c>
      <c r="AD96" s="47">
        <f t="shared" si="29"/>
        <v>0</v>
      </c>
      <c r="AE96" s="45">
        <f t="shared" si="30"/>
        <v>0</v>
      </c>
      <c r="AF96" s="46">
        <f t="shared" si="31"/>
        <v>0</v>
      </c>
      <c r="AG96" s="47">
        <f t="shared" si="32"/>
        <v>0</v>
      </c>
      <c r="AH96" s="47">
        <f t="shared" si="33"/>
        <v>0</v>
      </c>
      <c r="AI96" s="47">
        <f t="shared" si="34"/>
        <v>0</v>
      </c>
      <c r="AJ96" s="47">
        <f t="shared" si="35"/>
        <v>0</v>
      </c>
      <c r="AK96" s="47">
        <f t="shared" si="36"/>
        <v>0</v>
      </c>
      <c r="AL96" s="47">
        <f t="shared" si="37"/>
        <v>0</v>
      </c>
      <c r="AM96" s="47">
        <f t="shared" si="38"/>
        <v>0</v>
      </c>
      <c r="AN96" s="47">
        <f t="shared" si="39"/>
        <v>0</v>
      </c>
      <c r="AO96" s="47">
        <f t="shared" si="40"/>
        <v>0</v>
      </c>
      <c r="AP96" s="47">
        <f t="shared" si="41"/>
        <v>0</v>
      </c>
      <c r="AQ96" s="47">
        <f t="shared" si="41"/>
        <v>0</v>
      </c>
    </row>
    <row r="97" spans="27:43" ht="12.75">
      <c r="AA97" s="51">
        <f t="shared" si="42"/>
        <v>94</v>
      </c>
      <c r="AB97" s="45">
        <f t="shared" si="27"/>
        <v>0</v>
      </c>
      <c r="AC97" s="46">
        <f t="shared" si="28"/>
        <v>0</v>
      </c>
      <c r="AD97" s="47">
        <f t="shared" si="29"/>
        <v>0</v>
      </c>
      <c r="AE97" s="45">
        <f t="shared" si="30"/>
        <v>0</v>
      </c>
      <c r="AF97" s="46">
        <f t="shared" si="31"/>
        <v>0</v>
      </c>
      <c r="AG97" s="47">
        <f t="shared" si="32"/>
        <v>0</v>
      </c>
      <c r="AH97" s="47">
        <f t="shared" si="33"/>
        <v>0</v>
      </c>
      <c r="AI97" s="47">
        <f t="shared" si="34"/>
        <v>0</v>
      </c>
      <c r="AJ97" s="47">
        <f t="shared" si="35"/>
        <v>0</v>
      </c>
      <c r="AK97" s="47">
        <f t="shared" si="36"/>
        <v>0</v>
      </c>
      <c r="AL97" s="47">
        <f t="shared" si="37"/>
        <v>0</v>
      </c>
      <c r="AM97" s="47">
        <f t="shared" si="38"/>
        <v>0</v>
      </c>
      <c r="AN97" s="47">
        <f t="shared" si="39"/>
        <v>0</v>
      </c>
      <c r="AO97" s="47">
        <f t="shared" si="40"/>
        <v>0</v>
      </c>
      <c r="AP97" s="47">
        <f t="shared" si="41"/>
        <v>0</v>
      </c>
      <c r="AQ97" s="47">
        <f t="shared" si="41"/>
        <v>0</v>
      </c>
    </row>
    <row r="98" spans="27:43" ht="12.75">
      <c r="AA98" s="51">
        <f t="shared" si="42"/>
        <v>95</v>
      </c>
      <c r="AB98" s="45">
        <f t="shared" si="27"/>
        <v>0</v>
      </c>
      <c r="AC98" s="46">
        <f t="shared" si="28"/>
        <v>0</v>
      </c>
      <c r="AD98" s="47">
        <f t="shared" si="29"/>
        <v>0</v>
      </c>
      <c r="AE98" s="45">
        <f t="shared" si="30"/>
        <v>0</v>
      </c>
      <c r="AF98" s="46">
        <f t="shared" si="31"/>
        <v>0</v>
      </c>
      <c r="AG98" s="47">
        <f t="shared" si="32"/>
        <v>0</v>
      </c>
      <c r="AH98" s="47">
        <f t="shared" si="33"/>
        <v>0</v>
      </c>
      <c r="AI98" s="47">
        <f t="shared" si="34"/>
        <v>0</v>
      </c>
      <c r="AJ98" s="47">
        <f t="shared" si="35"/>
        <v>0</v>
      </c>
      <c r="AK98" s="47">
        <f t="shared" si="36"/>
        <v>0</v>
      </c>
      <c r="AL98" s="47">
        <f t="shared" si="37"/>
        <v>0</v>
      </c>
      <c r="AM98" s="47">
        <f t="shared" si="38"/>
        <v>0</v>
      </c>
      <c r="AN98" s="47">
        <f t="shared" si="39"/>
        <v>0</v>
      </c>
      <c r="AO98" s="47">
        <f t="shared" si="40"/>
        <v>0</v>
      </c>
      <c r="AP98" s="47">
        <f t="shared" si="41"/>
        <v>0</v>
      </c>
      <c r="AQ98" s="47">
        <f t="shared" si="41"/>
        <v>0</v>
      </c>
    </row>
    <row r="99" spans="27:43" ht="12.75">
      <c r="AA99" s="51">
        <f t="shared" si="42"/>
        <v>96</v>
      </c>
      <c r="AB99" s="45">
        <f t="shared" si="27"/>
        <v>0</v>
      </c>
      <c r="AC99" s="46">
        <f t="shared" si="28"/>
        <v>0</v>
      </c>
      <c r="AD99" s="47">
        <f t="shared" si="29"/>
        <v>0</v>
      </c>
      <c r="AE99" s="45">
        <f t="shared" si="30"/>
        <v>0</v>
      </c>
      <c r="AF99" s="46">
        <f t="shared" si="31"/>
        <v>0</v>
      </c>
      <c r="AG99" s="47">
        <f t="shared" si="32"/>
        <v>0</v>
      </c>
      <c r="AH99" s="47">
        <f t="shared" si="33"/>
        <v>0</v>
      </c>
      <c r="AI99" s="47">
        <f t="shared" si="34"/>
        <v>0</v>
      </c>
      <c r="AJ99" s="47">
        <f t="shared" si="35"/>
        <v>0</v>
      </c>
      <c r="AK99" s="47">
        <f t="shared" si="36"/>
        <v>0</v>
      </c>
      <c r="AL99" s="47">
        <f t="shared" si="37"/>
        <v>0</v>
      </c>
      <c r="AM99" s="47">
        <f t="shared" si="38"/>
        <v>0</v>
      </c>
      <c r="AN99" s="47">
        <f t="shared" si="39"/>
        <v>0</v>
      </c>
      <c r="AO99" s="47">
        <f t="shared" si="40"/>
        <v>0</v>
      </c>
      <c r="AP99" s="47">
        <f t="shared" si="41"/>
        <v>0</v>
      </c>
      <c r="AQ99" s="47">
        <f t="shared" si="41"/>
        <v>0</v>
      </c>
    </row>
    <row r="100" spans="27:43" ht="12.75">
      <c r="AA100" s="51">
        <f t="shared" si="42"/>
        <v>97</v>
      </c>
      <c r="AB100" s="45">
        <f t="shared" si="27"/>
        <v>0</v>
      </c>
      <c r="AC100" s="46">
        <f t="shared" si="28"/>
        <v>0</v>
      </c>
      <c r="AD100" s="47">
        <f t="shared" si="29"/>
        <v>0</v>
      </c>
      <c r="AE100" s="45">
        <f t="shared" si="30"/>
        <v>0</v>
      </c>
      <c r="AF100" s="46">
        <f t="shared" si="31"/>
        <v>0</v>
      </c>
      <c r="AG100" s="47">
        <f t="shared" si="32"/>
        <v>0</v>
      </c>
      <c r="AH100" s="47">
        <f t="shared" si="33"/>
        <v>0</v>
      </c>
      <c r="AI100" s="47">
        <f t="shared" si="34"/>
        <v>0</v>
      </c>
      <c r="AJ100" s="47">
        <f t="shared" si="35"/>
        <v>0</v>
      </c>
      <c r="AK100" s="47">
        <f t="shared" si="36"/>
        <v>0</v>
      </c>
      <c r="AL100" s="47">
        <f t="shared" si="37"/>
        <v>0</v>
      </c>
      <c r="AM100" s="47">
        <f t="shared" si="38"/>
        <v>0</v>
      </c>
      <c r="AN100" s="47">
        <f t="shared" si="39"/>
        <v>0</v>
      </c>
      <c r="AO100" s="47">
        <f t="shared" si="40"/>
        <v>0</v>
      </c>
      <c r="AP100" s="47">
        <f t="shared" si="41"/>
        <v>0</v>
      </c>
      <c r="AQ100" s="47">
        <f t="shared" si="41"/>
        <v>0</v>
      </c>
    </row>
    <row r="101" spans="27:43" ht="12.75">
      <c r="AA101" s="51">
        <f t="shared" si="42"/>
        <v>98</v>
      </c>
      <c r="AB101" s="45">
        <f t="shared" si="27"/>
        <v>0</v>
      </c>
      <c r="AC101" s="46">
        <f t="shared" si="28"/>
        <v>0</v>
      </c>
      <c r="AD101" s="47">
        <f t="shared" si="29"/>
        <v>0</v>
      </c>
      <c r="AE101" s="45">
        <f t="shared" si="30"/>
        <v>0</v>
      </c>
      <c r="AF101" s="46">
        <f t="shared" si="31"/>
        <v>0</v>
      </c>
      <c r="AG101" s="47">
        <f t="shared" si="32"/>
        <v>0</v>
      </c>
      <c r="AH101" s="47">
        <f t="shared" si="33"/>
        <v>0</v>
      </c>
      <c r="AI101" s="47">
        <f t="shared" si="34"/>
        <v>0</v>
      </c>
      <c r="AJ101" s="47">
        <f t="shared" si="35"/>
        <v>0</v>
      </c>
      <c r="AK101" s="47">
        <f t="shared" si="36"/>
        <v>0</v>
      </c>
      <c r="AL101" s="47">
        <f t="shared" si="37"/>
        <v>0</v>
      </c>
      <c r="AM101" s="47">
        <f t="shared" si="38"/>
        <v>0</v>
      </c>
      <c r="AN101" s="47">
        <f t="shared" si="39"/>
        <v>0</v>
      </c>
      <c r="AO101" s="47">
        <f t="shared" si="40"/>
        <v>0</v>
      </c>
      <c r="AP101" s="47">
        <f t="shared" si="41"/>
        <v>0</v>
      </c>
      <c r="AQ101" s="47">
        <f t="shared" si="41"/>
        <v>0</v>
      </c>
    </row>
    <row r="102" spans="27:43" ht="12.75">
      <c r="AA102" s="51">
        <f t="shared" si="42"/>
        <v>99</v>
      </c>
      <c r="AB102" s="45">
        <f t="shared" si="27"/>
        <v>0</v>
      </c>
      <c r="AC102" s="46">
        <f t="shared" si="28"/>
        <v>0</v>
      </c>
      <c r="AD102" s="47">
        <f t="shared" si="29"/>
        <v>0</v>
      </c>
      <c r="AE102" s="45">
        <f t="shared" si="30"/>
        <v>0</v>
      </c>
      <c r="AF102" s="46">
        <f t="shared" si="31"/>
        <v>0</v>
      </c>
      <c r="AG102" s="47">
        <f t="shared" si="32"/>
        <v>0</v>
      </c>
      <c r="AH102" s="47">
        <f t="shared" si="33"/>
        <v>0</v>
      </c>
      <c r="AI102" s="47">
        <f t="shared" si="34"/>
        <v>0</v>
      </c>
      <c r="AJ102" s="47">
        <f t="shared" si="35"/>
        <v>0</v>
      </c>
      <c r="AK102" s="47">
        <f t="shared" si="36"/>
        <v>0</v>
      </c>
      <c r="AL102" s="47">
        <f t="shared" si="37"/>
        <v>0</v>
      </c>
      <c r="AM102" s="47">
        <f t="shared" si="38"/>
        <v>0</v>
      </c>
      <c r="AN102" s="47">
        <f t="shared" si="39"/>
        <v>0</v>
      </c>
      <c r="AO102" s="47">
        <f t="shared" si="40"/>
        <v>0</v>
      </c>
      <c r="AP102" s="47">
        <f t="shared" si="41"/>
        <v>0</v>
      </c>
      <c r="AQ102" s="47">
        <f t="shared" si="41"/>
        <v>0</v>
      </c>
    </row>
    <row r="103" spans="27:43" ht="12.75">
      <c r="AA103" s="52">
        <f t="shared" si="42"/>
        <v>100</v>
      </c>
      <c r="AB103" s="48">
        <f t="shared" si="27"/>
        <v>0</v>
      </c>
      <c r="AC103" s="49">
        <f t="shared" si="28"/>
        <v>0</v>
      </c>
      <c r="AD103" s="50">
        <f t="shared" si="29"/>
        <v>0</v>
      </c>
      <c r="AE103" s="48">
        <f t="shared" si="30"/>
        <v>0</v>
      </c>
      <c r="AF103" s="49">
        <f t="shared" si="31"/>
        <v>0</v>
      </c>
      <c r="AG103" s="50">
        <f t="shared" si="32"/>
        <v>0</v>
      </c>
      <c r="AH103" s="47">
        <f t="shared" si="33"/>
        <v>0</v>
      </c>
      <c r="AI103" s="47">
        <f t="shared" si="34"/>
        <v>0</v>
      </c>
      <c r="AJ103" s="47">
        <f t="shared" si="35"/>
        <v>0</v>
      </c>
      <c r="AK103" s="47">
        <f t="shared" si="36"/>
        <v>0</v>
      </c>
      <c r="AL103" s="47">
        <f t="shared" si="37"/>
        <v>0</v>
      </c>
      <c r="AM103" s="47">
        <f t="shared" si="38"/>
        <v>0</v>
      </c>
      <c r="AN103" s="47">
        <f t="shared" si="39"/>
        <v>0</v>
      </c>
      <c r="AO103" s="47">
        <f t="shared" si="40"/>
        <v>0</v>
      </c>
      <c r="AP103" s="47">
        <f t="shared" si="41"/>
        <v>0</v>
      </c>
      <c r="AQ103" s="47">
        <f t="shared" si="41"/>
        <v>0</v>
      </c>
    </row>
  </sheetData>
  <sheetProtection/>
  <mergeCells count="8">
    <mergeCell ref="AK2:AM2"/>
    <mergeCell ref="AH2:AJ2"/>
    <mergeCell ref="AN2:AP2"/>
    <mergeCell ref="V3:X3"/>
    <mergeCell ref="V4:V6"/>
    <mergeCell ref="V7:V9"/>
    <mergeCell ref="AE2:AG2"/>
    <mergeCell ref="AB2:AD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BANDER03</cp:lastModifiedBy>
  <cp:lastPrinted>2008-09-04T20:01:39Z</cp:lastPrinted>
  <dcterms:created xsi:type="dcterms:W3CDTF">2001-06-19T21:30:58Z</dcterms:created>
  <dcterms:modified xsi:type="dcterms:W3CDTF">2008-11-04T15:51:17Z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