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7995" windowHeight="5895" tabRatio="743" activeTab="1"/>
  </bookViews>
  <sheets>
    <sheet name="User's Guide" sheetId="1" r:id="rId1"/>
    <sheet name="Project Description" sheetId="2" r:id="rId2"/>
    <sheet name="ERR &amp; Sensitivity Analysis" sheetId="3" r:id="rId3"/>
    <sheet name="ERR" sheetId="4" r:id="rId4"/>
    <sheet name="Summary" sheetId="5" r:id="rId5"/>
    <sheet name="Al Amana" sheetId="6" r:id="rId6"/>
    <sheet name="Zakoura MC " sheetId="7" r:id="rId7"/>
    <sheet name="Fondep MC" sheetId="8" r:id="rId8"/>
    <sheet name="FBPMC" sheetId="9" r:id="rId9"/>
    <sheet name="AL Karama" sheetId="10" r:id="rId10"/>
    <sheet name="AMSSF MC" sheetId="11" r:id="rId11"/>
    <sheet name="ARDI" sheetId="12" r:id="rId12"/>
    <sheet name="AIMC" sheetId="13" r:id="rId13"/>
    <sheet name="INMAA" sheetId="14" r:id="rId14"/>
    <sheet name="AMOS" sheetId="15" r:id="rId15"/>
    <sheet name="ATIL MC" sheetId="16" r:id="rId16"/>
    <sheet name="FMCN"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dopter_Expansion">'[4]Cost and Benefit Summary'!$D$76</definedName>
    <definedName name="adoption_rate">#REF!</definedName>
    <definedName name="AF">'[6]AGENT'!#REF!</definedName>
    <definedName name="affec">'[8].'!$A$38:$A$79</definedName>
    <definedName name="ALIAS">#REF!</definedName>
    <definedName name="as">#REF!</definedName>
    <definedName name="AUG">'[10].'!$A$38:$A$79</definedName>
    <definedName name="BaseReturn">#REF!</definedName>
    <definedName name="Basic_Assumptions_and_Info">'[1]Assumptions and Basic Info'!$B$2</definedName>
    <definedName name="CBWorkbookPriority" hidden="1">-1623304922</definedName>
    <definedName name="Charges_et_recettes">#REF!</definedName>
    <definedName name="Class1_wo_expt">#REF!</definedName>
    <definedName name="Class2_wo_expt">#REF!</definedName>
    <definedName name="Class3_wo_expt">#REF!</definedName>
    <definedName name="CR_10_ans">#REF!</definedName>
    <definedName name="dd">#REF!</definedName>
    <definedName name="death_rate_stage_III_T">'[2]Diabetes Costs &amp; Benefits'!$C$26</definedName>
    <definedName name="death_rate_stage_III_UT">'[2]Diabetes Costs &amp; Benefits'!$C$25</definedName>
    <definedName name="death_rate_stage_IV_T">'[2]Hypertension Costs &amp; Benefits'!$C$28</definedName>
    <definedName name="death_rate_stage_IV_UT">'[2]Hypertension Costs &amp; Benefits'!$C$27</definedName>
    <definedName name="DESAGRAFFEUSE">#REF!</definedName>
    <definedName name="df">#REF!</definedName>
    <definedName name="Discount_Rate">#REF!</definedName>
    <definedName name="drip_adoption_rate">#REF!</definedName>
    <definedName name="equity">#REF!</definedName>
    <definedName name="exrate">#REF!</definedName>
    <definedName name="farmIrrha">#REF!</definedName>
    <definedName name="farmsbenefiting">#REF!</definedName>
    <definedName name="FEUTRE">#REF!</definedName>
    <definedName name="gage_adoption_rate">#REF!</definedName>
    <definedName name="hva_only_rate">#REF!</definedName>
    <definedName name="HVATrainCost">#REF!</definedName>
    <definedName name="I_to_II_T_W">'[2]Hypertension Costs &amp; Benefits'!$J$82</definedName>
    <definedName name="I_to_II_T_WO">'[2]Hypertension Costs &amp; Benefits'!$J$32</definedName>
    <definedName name="I_to_II_UT">'[2]Hypertension Costs &amp; Benefits'!$E$32</definedName>
    <definedName name="II_t0_III_T_WO">'[2]Hypertension Costs &amp; Benefits'!$J$33</definedName>
    <definedName name="II_t0_III_UT">'[2]Hypertension Costs &amp; Benefits'!$E$33</definedName>
    <definedName name="II_to_III_T_W">'[2]Hypertension Costs &amp; Benefits'!$J$83</definedName>
    <definedName name="II_to_III_UT">'[2]Diabetes Costs &amp; Benefits'!$E$31</definedName>
    <definedName name="III_to_IV_T_W">'[2]Hypertension Costs &amp; Benefits'!$J$84</definedName>
    <definedName name="III_to_IV_T_WO">'[2]Hypertension Costs &amp; Benefits'!$J$34</definedName>
    <definedName name="III_to_IV_UT">'[2]Hypertension Costs &amp; Benefits'!$E$34</definedName>
    <definedName name="IMPRESSION">#REF!</definedName>
    <definedName name="income_p">'[2]Hypertension Costs &amp; Benefits'!$E$6</definedName>
    <definedName name="inte">#REF!</definedName>
    <definedName name="invest_drip">#REF!</definedName>
    <definedName name="invest_dripHVA">#REF!</definedName>
    <definedName name="invest_gage">#REF!</definedName>
    <definedName name="invest_gageHVA">#REF!</definedName>
    <definedName name="invest_HVA">#REF!</definedName>
    <definedName name="invest_monitor">#REF!</definedName>
    <definedName name="invest_monitorHVA">#REF!</definedName>
    <definedName name="InvestBase">#REF!</definedName>
    <definedName name="irrigation_and_HVA_rate">#REF!</definedName>
    <definedName name="irrigation_only_rate">#REF!</definedName>
    <definedName name="IrrTrainCost">#REF!</definedName>
    <definedName name="Land_Holding_Adj">'[4]Cost and Benefit Summary'!$D$78</definedName>
    <definedName name="lett">#REF!</definedName>
    <definedName name="MarketingMaturity">#REF!</definedName>
    <definedName name="MarketingReturn">#REF!</definedName>
    <definedName name="MLE">'[6]AGENT'!#REF!</definedName>
    <definedName name="monitor_adoption_rate">#REF!</definedName>
    <definedName name="nbre">#REF!</definedName>
    <definedName name="NEZHA">'[9]AGENT'!#REF!</definedName>
    <definedName name="ns">#REF!</definedName>
    <definedName name="OCC">'[4]Zone1'!$F$6</definedName>
    <definedName name="op_drip">#REF!</definedName>
    <definedName name="op_dripHVA">#REF!</definedName>
    <definedName name="op_gage">#REF!</definedName>
    <definedName name="op_gageHVA">#REF!</definedName>
    <definedName name="op_HVA">#REF!</definedName>
    <definedName name="op_monitor">#REF!</definedName>
    <definedName name="op_monitorHVA">#REF!</definedName>
    <definedName name="PAPIER_FORT">#REF!</definedName>
    <definedName name="photoA3">#REF!</definedName>
    <definedName name="photocopie">#REF!</definedName>
    <definedName name="pop_growth">'[2]Hypertension Costs &amp; Benefits'!$C$5</definedName>
    <definedName name="POUBELLE">#REF!</definedName>
    <definedName name="_xlnm.Print_Area" localSheetId="5">'Al Amana'!$A$2:$F$14</definedName>
    <definedName name="ProcessingMaturity">#REF!</definedName>
    <definedName name="projadmin">#REF!</definedName>
    <definedName name="REPERTOIRE">#REF!</definedName>
    <definedName name="Résultat">#REF!</definedName>
    <definedName name="Résultats">#REF!</definedName>
    <definedName name="rev_drip">#REF!</definedName>
    <definedName name="rev_dripHVA">#REF!</definedName>
    <definedName name="rev_gage">#REF!</definedName>
    <definedName name="rev_gageHVA">#REF!</definedName>
    <definedName name="rev_HVA">#REF!</definedName>
    <definedName name="rev_monitor">#REF!</definedName>
    <definedName name="rev_monitorHVA">#REF!</definedName>
    <definedName name="Sup1.1">#REF!</definedName>
    <definedName name="Sup1.2">#REF!</definedName>
    <definedName name="Sup1.3">#REF!</definedName>
    <definedName name="Sup1.4">#REF!</definedName>
    <definedName name="Sup1.5">#REF!</definedName>
    <definedName name="Sup1.6">#REF!</definedName>
    <definedName name="Sup1.7">#REF!</definedName>
    <definedName name="Sup1.8">#REF!</definedName>
    <definedName name="Tab_1">'[3]Scheme 01'!$B$2</definedName>
    <definedName name="Tab1">#REF!</definedName>
    <definedName name="Tab1a">#REF!</definedName>
    <definedName name="Tab2">#REF!</definedName>
    <definedName name="Tab2a">#REF!</definedName>
    <definedName name="Tab3">#REF!</definedName>
    <definedName name="Tab3a">#REF!</definedName>
    <definedName name="Tab4">#REF!</definedName>
    <definedName name="Tab4a">#REF!</definedName>
    <definedName name="TabA1">'[1]Irrigation Summary'!$B$2</definedName>
    <definedName name="TabA2">'[1]Irrigation Summary'!$B$488</definedName>
    <definedName name="TRANS_PHOTOC">#REF!</definedName>
    <definedName name="wrn.EXPANSION." hidden="1">{#N/A,#N/A,FALSE,"INVEST-SUP";#N/A,#N/A,FALSE,"GRILLEC";#N/A,#N/A,FALSE,"HYPER"}</definedName>
  </definedNames>
  <calcPr fullCalcOnLoad="1"/>
</workbook>
</file>

<file path=xl/comments4.xml><?xml version="1.0" encoding="utf-8"?>
<comments xmlns="http://schemas.openxmlformats.org/spreadsheetml/2006/main">
  <authors>
    <author>Andrew Warner</author>
  </authors>
  <commentList>
    <comment ref="B9" authorId="0">
      <text>
        <r>
          <rPr>
            <b/>
            <sz val="8"/>
            <rFont val="Tahoma"/>
            <family val="0"/>
          </rPr>
          <t>MCC:</t>
        </r>
        <r>
          <rPr>
            <sz val="8"/>
            <rFont val="Tahoma"/>
            <family val="0"/>
          </rPr>
          <t xml:space="preserve">
From MF Spreadsheet</t>
        </r>
      </text>
    </comment>
    <comment ref="B38" authorId="0">
      <text>
        <r>
          <rPr>
            <b/>
            <sz val="8"/>
            <rFont val="Tahoma"/>
            <family val="0"/>
          </rPr>
          <t>MCC:</t>
        </r>
        <r>
          <rPr>
            <sz val="8"/>
            <rFont val="Tahoma"/>
            <family val="0"/>
          </rPr>
          <t xml:space="preserve">
From MF Spreadsheet</t>
        </r>
      </text>
    </comment>
    <comment ref="B10" authorId="0">
      <text>
        <r>
          <rPr>
            <b/>
            <sz val="8"/>
            <rFont val="Tahoma"/>
            <family val="0"/>
          </rPr>
          <t>MCC:</t>
        </r>
        <r>
          <rPr>
            <sz val="8"/>
            <rFont val="Tahoma"/>
            <family val="0"/>
          </rPr>
          <t xml:space="preserve">
Value chosen so increase inincome (C20) matches reported increase in income (B35).  To be verified in Morocco.</t>
        </r>
      </text>
    </comment>
  </commentList>
</comments>
</file>

<file path=xl/sharedStrings.xml><?xml version="1.0" encoding="utf-8"?>
<sst xmlns="http://schemas.openxmlformats.org/spreadsheetml/2006/main" count="638" uniqueCount="184">
  <si>
    <t xml:space="preserve">    The Financial Services Project seeks to increase financial services for micro-enterprises in Morocco by addressing the key constraints to the development of a broader, deeper, and market-based financial sector. It seeks to address a potential gap in debt funding for microcredit associations by investing in the subordinated debt tranche of JAIDA, a newly launched, non-bank financial institution which will lend to microcredit associations. The Financial Services Project also seeks to facilitate continued growth of financial services and market-based lending for micro-enterprises by supporting reforms to allow the transformation of microcredit associations into formal financial institutions authorized to provide not only credit but also savings, insurance and other non-credit financial services. Finally, the Financial Services Project seeks to reduce the costs of financial services through partially funding investments to improve operating efficiency and transparency of microcredit associations.</t>
  </si>
  <si>
    <t>Key beneficiaries of the Financial Services Project will be the clients (small borrowers such as individuals or microenterprises) of microcredit associations operating in Morocco. The intended impact of the Financial Services Project is to increase profitable lending to microcredit clients over and above the without-project scenario. Therefore the beneficiaries will be the clients that receive any such net increase in lending. Furthermore, to the extent that the Financial Services Project causes investments that lead to service upgrades and helps microcredit associations improve efficiency, clients should benefit from better services, and either some additional increase in lending or reduction in borrowing costs due to greater efficiency of microfinance institutions.</t>
  </si>
  <si>
    <t>The Financial Services Project seeks to increase financial services for micro-enterprises in Morocco by addressing the key constraints to the development of a broader, deeper, and market-based financial sector. It seeks to address a potential gap in debt funding for microcredit associations by investing in the subordinated debt tranche of JAIDA, a newly launched, non-bank financial institution which will lend to microcredit associations. The Financial Services Project also seeks to facilitate continued growth of financial services and market-based lending for micro-enterprises by supporting reforms to allow the transformation of microcredit associations into formal financial institutions authorized to provide not only credit but also savings, insurance and other non-credit financial services. Finally, the Financial Services Project seeks to reduce the costs of financial services through partially funding investments to improve operating efficiency and transparency of microcredit associations.</t>
  </si>
  <si>
    <t>AMOS</t>
  </si>
  <si>
    <t>FMCN</t>
  </si>
  <si>
    <t>AL KARAMA</t>
  </si>
  <si>
    <t>AL AMANA</t>
  </si>
  <si>
    <t xml:space="preserve">   - Agriculture</t>
  </si>
  <si>
    <t>ZAKOURA</t>
  </si>
  <si>
    <t>FONDEP</t>
  </si>
  <si>
    <t>FBPMC</t>
  </si>
  <si>
    <t>AMSSF MC</t>
  </si>
  <si>
    <t>ARDI</t>
  </si>
  <si>
    <t>AIMC</t>
  </si>
  <si>
    <t>INMAA</t>
  </si>
  <si>
    <t>ATIL</t>
  </si>
  <si>
    <t>20,,04</t>
  </si>
  <si>
    <t>Sources:</t>
  </si>
  <si>
    <t>Sources (Nous citons Al KARAMA):</t>
  </si>
  <si>
    <t>Average Interest Rate</t>
  </si>
  <si>
    <t>Exchange Rate</t>
  </si>
  <si>
    <t>Growth</t>
  </si>
  <si>
    <t>Results from SEWA program (Goldberg page 25)</t>
  </si>
  <si>
    <t>Borrowers</t>
  </si>
  <si>
    <t>Savers</t>
  </si>
  <si>
    <t>Non-participants</t>
  </si>
  <si>
    <t>(in USD)</t>
  </si>
  <si>
    <t>Household Income Round 1</t>
  </si>
  <si>
    <t>Household Income Round 2</t>
  </si>
  <si>
    <t>Percentage growth per year</t>
  </si>
  <si>
    <t>Sample ERR calculation for Microfinance Program (not based on numbers above)</t>
  </si>
  <si>
    <t>MFI interest rate</t>
  </si>
  <si>
    <t>Average return on investment</t>
  </si>
  <si>
    <t>Probability of repayment</t>
  </si>
  <si>
    <t>MCC administration take at the begining of program</t>
  </si>
  <si>
    <t>MFI admin take for each loan</t>
  </si>
  <si>
    <t>YEAR</t>
  </si>
  <si>
    <t>MCC outlay</t>
  </si>
  <si>
    <t>MCC outlay net of admin</t>
  </si>
  <si>
    <t>Loan amount from MFI</t>
  </si>
  <si>
    <t>Client earns</t>
  </si>
  <si>
    <t>Repaid to bank</t>
  </si>
  <si>
    <t>Cash Flow</t>
  </si>
  <si>
    <t>ERR</t>
  </si>
  <si>
    <t>Number of clients without project</t>
  </si>
  <si>
    <t>Number of Clients with project</t>
  </si>
  <si>
    <t>Growth in Number of Clients</t>
  </si>
  <si>
    <t>Increment to growth due to project</t>
  </si>
  <si>
    <t xml:space="preserve">Additional Clients </t>
  </si>
  <si>
    <t>Average size of Loan</t>
  </si>
  <si>
    <t>Average Annual Income of MF clients</t>
  </si>
  <si>
    <t>Average Annual Increase in income of clients due to MF</t>
  </si>
  <si>
    <t>Benefits</t>
  </si>
  <si>
    <t>Last updated: 7/12/2007</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</si>
  <si>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</si>
  <si>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</si>
  <si>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</si>
  <si>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</si>
  <si>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</si>
  <si>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</si>
  <si>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</si>
  <si>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</si>
  <si>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</si>
  <si>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</si>
  <si>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This sheet should be read first, as it offers a summary of the project, a list of components, and states the economic rationale for the activity.</t>
  </si>
  <si>
    <t>ERR &amp; Sensitivity Analysis</t>
  </si>
  <si>
    <t>This sheet contains brief summary of the activity's key parameters and ERR calculations, giving the user the opportunity to test the sensitivity to the ERR of various changes in parameters.</t>
  </si>
  <si>
    <t>Estimates the annual costs and benefits of the project and computes the resulting ERR over a 10-year time period.</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</si>
  <si>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</si>
  <si>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</si>
  <si>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</si>
  <si>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</si>
  <si>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</si>
  <si>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</si>
  <si>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</si>
  <si>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</si>
  <si>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</si>
  <si>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</si>
  <si>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</si>
  <si>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</si>
  <si>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</si>
  <si>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</si>
  <si>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</si>
  <si>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</si>
  <si>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Summary</t>
  </si>
  <si>
    <t>Components</t>
  </si>
  <si>
    <t>Economic Rationale</t>
  </si>
  <si>
    <r>
      <t xml:space="preserve">   </t>
    </r>
    <r>
      <rPr>
        <u val="single"/>
        <sz val="10"/>
        <color indexed="12"/>
        <rFont val="Arial"/>
        <family val="0"/>
      </rPr>
      <t>Project Description</t>
    </r>
  </si>
  <si>
    <r>
      <t xml:space="preserve">   </t>
    </r>
    <r>
      <rPr>
        <u val="single"/>
        <sz val="10"/>
        <color indexed="12"/>
        <rFont val="Arial"/>
        <family val="2"/>
      </rPr>
      <t>User's Guide</t>
    </r>
  </si>
  <si>
    <r>
      <t xml:space="preserve">MCC Estimated ERR </t>
    </r>
    <r>
      <rPr>
        <b/>
        <sz val="8"/>
        <rFont val="Arial"/>
        <family val="2"/>
      </rPr>
      <t>(as of 7/12/2007)</t>
    </r>
    <r>
      <rPr>
        <b/>
        <sz val="10"/>
        <rFont val="Arial"/>
        <family val="2"/>
      </rPr>
      <t>:</t>
    </r>
  </si>
  <si>
    <t>Morocco: Financial Services</t>
  </si>
  <si>
    <t>$46.2 million</t>
  </si>
  <si>
    <t xml:space="preserve">Investment returns to MFI borrowers </t>
  </si>
  <si>
    <t>Microfinance institution (MFI) revenues</t>
  </si>
  <si>
    <t xml:space="preserve">Costs of bad debt </t>
  </si>
  <si>
    <t>MFI administrative costs</t>
  </si>
  <si>
    <t>Financial Services Project</t>
  </si>
  <si>
    <t>18.0% over 10 years</t>
  </si>
  <si>
    <t>The Financial Services Project consists of the following Project Activities:</t>
  </si>
  <si>
    <t xml:space="preserve">          a.   Sustainable technologies proposed by institutions, with preference given to innovative and experimental approaches</t>
  </si>
  <si>
    <t xml:space="preserve">          c.   Mobile branches to encourage microcredit associations to test new approaches for expanding their geographic reach.</t>
  </si>
  <si>
    <t xml:space="preserve">          e.   Partial financing of institutional ratings for microcredit associations.</t>
  </si>
  <si>
    <r>
      <t xml:space="preserve">     1.   </t>
    </r>
    <r>
      <rPr>
        <i/>
        <sz val="10"/>
        <rFont val="Arial"/>
        <family val="2"/>
      </rPr>
      <t>Access to Funds for Microfinance</t>
    </r>
    <r>
      <rPr>
        <sz val="10"/>
        <rFont val="Arial"/>
        <family val="0"/>
      </rPr>
      <t>. MCC Funding will support an investment in Jaida S.A, a non-bank financial institution 
                 launched in late 2006 to provide debt funding to the Moroccan microcredit sector. Jaida is designed to be a market 
                 solution to a potential financing gap, and it will offer products tailored according to the risk of each microcredit 
                 association. MCC Funding to support Jaida will be provided to the maximum extent possible on market terms, so 
                 that such lending does not crowd out or impede market-based lending by commercial banks to microcredit 
                 associations or result in subsidized lending to these associations.</t>
    </r>
  </si>
  <si>
    <r>
      <t xml:space="preserve">     2.   </t>
    </r>
    <r>
      <rPr>
        <i/>
        <sz val="10"/>
        <rFont val="Arial"/>
        <family val="2"/>
      </rPr>
      <t>New Financial Product Development.</t>
    </r>
    <r>
      <rPr>
        <sz val="10"/>
        <rFont val="Arial"/>
        <family val="0"/>
      </rPr>
      <t xml:space="preserve">  Several microcredit associations in Morocco have begun to explore the possibility 
                 of changing their legal structure in order to mobilize equity from shareholders, as well as to accept savings deposits 
                 and offer other non-credit financial services. MCC Funding will support the analysis of the regulatory and operational 
                 requirements for this transformation. Other issues related to extending a broader set of financial services to clients, 
                 including the possibility for partnerships between the microcredit and banking sectors, will also be analyzed. An 
                 important output will be a detailed action plan, including the appropriate legal structure for transformation, next steps 
                 for the sector, and a timeline for completing any necessary changes. MCC Funding will also support technical 
                 assistance to financial institutions to help implement the recommendations from the action plan.</t>
    </r>
  </si>
  <si>
    <r>
      <t xml:space="preserve">     3.   </t>
    </r>
    <r>
      <rPr>
        <i/>
        <sz val="10"/>
        <rFont val="Arial"/>
        <family val="2"/>
      </rPr>
      <t xml:space="preserve">Improvement of Operating Efficiency and Transparency.  </t>
    </r>
    <r>
      <rPr>
        <sz val="10"/>
        <rFont val="Arial"/>
        <family val="2"/>
      </rPr>
      <t>MCC Funding will help financial institutions improve their 
                 operating efficiency and build transparency through support for:</t>
    </r>
  </si>
  <si>
    <t xml:space="preserve">          b.   Preparation for microcredit associations’ compliance with Central Bank requirements for data to be submitted to the 
                    credit bureau.</t>
  </si>
  <si>
    <t xml:space="preserve">          d.   Building financial institutions’ understanding of the priority sectors to highlight the potential of these sectors and 
                    provide information on which to base investment decisions.</t>
  </si>
  <si>
    <t>15 - 30%</t>
  </si>
  <si>
    <t>50 - 80%</t>
  </si>
  <si>
    <t>90 - 99%</t>
  </si>
  <si>
    <t>8 - 12%</t>
  </si>
  <si>
    <t>SUMMARY</t>
  </si>
  <si>
    <t>Outstanding loans</t>
  </si>
  <si>
    <t xml:space="preserve">   - Other</t>
  </si>
  <si>
    <t xml:space="preserve">   - Artisan</t>
  </si>
  <si>
    <t xml:space="preserve">   - Fishing</t>
  </si>
  <si>
    <t>Average annual interest rate (%)</t>
  </si>
  <si>
    <t>Operating cost</t>
  </si>
  <si>
    <t>Average size of loan</t>
  </si>
  <si>
    <t>Total number of active clients</t>
  </si>
  <si>
    <t>Total credit extended</t>
  </si>
  <si>
    <t>Outstanding loans (3)</t>
  </si>
  <si>
    <t xml:space="preserve">Total number of active clients </t>
  </si>
  <si>
    <t xml:space="preserve">Operating cost </t>
  </si>
  <si>
    <t xml:space="preserve"> - On a introduit la Average size of loan encours tous secteurs compris.</t>
  </si>
  <si>
    <t>Average size of loan (en DH)</t>
  </si>
  <si>
    <t>Average annual income of new clients (AAINC)</t>
  </si>
  <si>
    <t>Change in AAINC due to microcredit</t>
  </si>
  <si>
    <t>Total credit extended (2)</t>
  </si>
  <si>
    <t xml:space="preserve">Total credit extended </t>
  </si>
  <si>
    <t xml:space="preserve">   - Other( Commerce &amp; Housing)</t>
  </si>
  <si>
    <t xml:space="preserve">   - Other ( Commerce &amp; Housing)</t>
  </si>
  <si>
    <t>Operating cost (DH)</t>
  </si>
  <si>
    <t>Average term of loans (months)</t>
  </si>
  <si>
    <t>(1) - The data have been audited by the firm Sebti either by Price water house. Please visit the following link:</t>
  </si>
  <si>
    <t>http://www.mixmarket.org/en/demand/demand.show.profile.asp?token=&amp;ett=304#  . You will find the various audit reports and the references of listeners.</t>
  </si>
  <si>
    <t xml:space="preserve">      (2) - These data differ from those reported previously and which correspond to reality the outstanding Current data are estimates.</t>
  </si>
  <si>
    <r>
      <t>·</t>
    </r>
    <r>
      <rPr>
        <sz val="7"/>
        <color indexed="12"/>
        <rFont val="Garamond"/>
        <family val="1"/>
      </rPr>
      <t>   All information provided is from the Department for operations and the finance director of Zakoura.</t>
    </r>
  </si>
  <si>
    <r>
      <t>·</t>
    </r>
    <r>
      <rPr>
        <sz val="7"/>
        <color indexed="12"/>
        <rFont val="Garamond"/>
        <family val="1"/>
      </rPr>
      <t>   The Zakoura activity reports are validated each year by audit assignments. From 1997 to 2005, they have been audited by Ernst &amp; Young. 2006 will be audited by KPMG.</t>
    </r>
  </si>
  <si>
    <r>
      <t>·</t>
    </r>
    <r>
      <rPr>
        <sz val="7"/>
        <color indexed="12"/>
        <rFont val="Garamond"/>
        <family val="1"/>
      </rPr>
      <t xml:space="preserve">   </t>
    </r>
    <r>
      <rPr>
        <sz val="10"/>
        <color indexed="12"/>
        <rFont val="Garamond"/>
        <family val="1"/>
      </rPr>
      <t>The Foundation appealed to rating firms. In 2002, Micro Rate gave  the notes B, 2004, Planetrating note B +, and 2006, Micro Rate, the A-.</t>
    </r>
  </si>
  <si>
    <t xml:space="preserve">information sources are from the Information System and Management "GIS" of FONDEP and can be verified in KPMG audit reports </t>
  </si>
  <si>
    <t>for the years 2002 to 2006 and reports rating in June 2002 "Planetrating" and 2004 and February 2006 prepared by Microfinanza</t>
  </si>
  <si>
    <t>sources for previous audits are the firm Messnaoui Mazar for years 2002 to 2005, Cabinet KPMG fiscal 2006</t>
  </si>
  <si>
    <t>Cabinet + rating MICRORATE</t>
  </si>
  <si>
    <t>1. Some amendments on the period 2002-2006:</t>
  </si>
  <si>
    <t xml:space="preserve"> - For outstanding loans on the first line, the figures reported in the row to total loans is actually the cumulative lending distributed.</t>
  </si>
  <si>
    <t xml:space="preserve"> - The Operating cost of any sector included, because it has not been communicated before.</t>
  </si>
  <si>
    <t>2. Sources of information: Audit reports and rating 2002-2006.</t>
  </si>
  <si>
    <t>3. On average, incomes of new customers and the change in income due to microcredit are not available.</t>
  </si>
  <si>
    <t>1. Data 2002-2005; those audited in 2006.</t>
  </si>
  <si>
    <t>2. Major sources of information: MicroRate, June 2006, Price Waterhouse Coopers, in June 2006.</t>
  </si>
  <si>
    <t>3. The data for the years 2002 to 2004 are only estimates.</t>
  </si>
  <si>
    <t>2. Major sources of information: Report of the external auditors (Mr. Mohammed Fouzi DINARI). For 2003 and 2004, and June 27, 2005, November 10, 2006.</t>
  </si>
  <si>
    <t>a- For the years 2002, 2003, 2004 and 2005 :</t>
  </si>
  <si>
    <t xml:space="preserve"> i.  Total credit extended during the period (years): data extracted from audited statements (performance reports audited by the auditor Price Waterhouse)</t>
  </si>
  <si>
    <r>
      <t>ii.</t>
    </r>
    <r>
      <rPr>
        <sz val="7"/>
        <color indexed="12"/>
        <rFont val="Times New Roman"/>
        <family val="1"/>
      </rPr>
      <t>  </t>
    </r>
    <r>
      <rPr>
        <sz val="12"/>
        <color indexed="12"/>
        <rFont val="Garamond"/>
        <family val="1"/>
      </rPr>
      <t>Number of customers: data verified by MicroRate rating agency.</t>
    </r>
  </si>
  <si>
    <t xml:space="preserve"> iii. Average annual interest rate (%): 2% monthly rate is applied by INMAA (report rating MicroRate)</t>
  </si>
  <si>
    <t xml:space="preserve">iv. Average terms of loans (months) customers report: paper </t>
  </si>
  <si>
    <t xml:space="preserve">v. Average size of loan: report customers: internal document </t>
  </si>
  <si>
    <t>vi. Operating cost: data are extracted from audited statements which include financial charges and operating endowments.</t>
  </si>
  <si>
    <t>b- For the year 2006: these are preliminary figures from states not yet audited.</t>
  </si>
  <si>
    <t>a-The data are audited through 2005</t>
  </si>
  <si>
    <t xml:space="preserve">b-information on the Average annual income of new customers (AAINC) and the change in income due to microcredit are processed from client files. </t>
  </si>
  <si>
    <t>(*)  Change AAINC due to the Micro credit is approximately AAINC + 2400 dh on average per month</t>
  </si>
  <si>
    <t xml:space="preserve">a-Accounts of the Association. </t>
  </si>
  <si>
    <t>b-source information on the change of income due to microcredit: client files.</t>
  </si>
  <si>
    <t>Al Amana</t>
  </si>
  <si>
    <t>Zakoura MC</t>
  </si>
  <si>
    <t>Fondep MC</t>
  </si>
  <si>
    <t>ATIL MC</t>
  </si>
  <si>
    <t>A table of the total lending statistics for 12 microcredit associations in Morocco for the years 2002-2006.</t>
  </si>
  <si>
    <t>A table of lending statistics for the Zakoura Foundation microcredit association for 2002-2006.</t>
  </si>
  <si>
    <t>A table of lending statistics for the Association Marocaine Solidarité Sans Frontières/Micro-Crédit for 2002-2006.</t>
  </si>
  <si>
    <t>A table of lending statistics for the Fondation ARDI microcredit association for 2002-2006.</t>
  </si>
  <si>
    <t>Al Karama</t>
  </si>
  <si>
    <t>A table of lending statistics for the Al Karama microcredit association for 2002-2006.</t>
  </si>
  <si>
    <t>A table of lending statistics for the Ismalia Microcredit Association (AIMC) for 2002-2006.</t>
  </si>
  <si>
    <t>A table of lending statistics for the Institution Marocaine d' Appui a la Micro-entreprise (INMAA) for 2002-2006.</t>
  </si>
  <si>
    <t>A table of lending statistics for Association Al Amana pour la Promotion des Microentreprises for 2002-2006.</t>
  </si>
  <si>
    <t>A table of lending statistics for Fondation pour le Développement Local et le Partenariat (FONDEP) for 2002-2006.</t>
  </si>
  <si>
    <t>A table of lending statistics for the Fondation Banque Populaire pour le Micro-Credit for 2002-2006.</t>
  </si>
  <si>
    <t>A table of lending statistics for the AMOS microcredit association for 2002-2006.</t>
  </si>
  <si>
    <t>A table of lending statistics for ATIL Microcredit for 2002-2006.</t>
  </si>
  <si>
    <t>A table of lending statistics for Fondation Micro Crédit du Nord for 2003-2006.  The statistics from FMCN were not included in the  "Summary" calculations because only four years of data exist, instead of five.</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</si>
</sst>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0.0%"/>
    <numFmt numFmtId="175" formatCode="0.000%"/>
    <numFmt numFmtId="176" formatCode="0.000"/>
    <numFmt numFmtId="177" formatCode="0.0"/>
    <numFmt numFmtId="178" formatCode="#,##0.0"/>
    <numFmt numFmtId="179" formatCode="_-* #,##0\ _€_-;\-* #,##0\ _€_-;_-* &quot;-&quot;??\ _€_-;_-@_-"/>
    <numFmt numFmtId="180" formatCode="#,##0.00\ _€"/>
    <numFmt numFmtId="181" formatCode="#,##0\ _€"/>
    <numFmt numFmtId="182" formatCode="#,##0;[Red]#,##0"/>
    <numFmt numFmtId="183" formatCode="#,##0.000"/>
    <numFmt numFmtId="184" formatCode="_-* #,##0.000\ _€_-;\-* #,##0.000\ _€_-;_-* &quot;-&quot;??\ _€_-;_-@_-"/>
    <numFmt numFmtId="185" formatCode="_-* #,##0.0\ _€_-;\-* #,##0.0\ _€_-;_-* &quot;-&quot;??\ _€_-;_-@_-"/>
    <numFmt numFmtId="186" formatCode="_(* #,##0.000_);_(* \(#,##0.000\);_(* &quot;-&quot;???_);_(@_)"/>
    <numFmt numFmtId="187" formatCode="_(* #,##0.0_);_(* \(#,##0.0\);_(* &quot;-&quot;??_);_(@_)"/>
    <numFmt numFmtId="188" formatCode="_(* #,##0_);_(* \(#,##0\);_(* &quot;-&quot;??_);_(@_)"/>
    <numFmt numFmtId="189" formatCode="_(&quot;$&quot;* #,##0.0_);_(&quot;$&quot;* \(#,##0.0\);_(&quot;$&quot;* &quot;-&quot;??_);_(@_)"/>
    <numFmt numFmtId="190" formatCode="_(&quot;$&quot;* #,##0_);_(&quot;$&quot;* \(#,##0\);_(&quot;$&quot;* &quot;-&quot;??_);_(@_)"/>
    <numFmt numFmtId="191" formatCode="#,##0.00000000000"/>
    <numFmt numFmtId="192" formatCode="#,##0.0000000000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_-* #,##0.0\ &quot;€&quot;_-;\-* #,##0.0\ &quot;€&quot;_-;_-* &quot;-&quot;??\ &quot;€&quot;_-;_-@_-"/>
    <numFmt numFmtId="201" formatCode="_-* #,##0\ &quot;€&quot;_-;\-* #,##0\ &quot;€&quot;_-;_-* &quot;-&quot;??\ &quot;€&quot;_-;_-@_-"/>
    <numFmt numFmtId="202" formatCode="&quot;$&quot;#,##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General_)"/>
    <numFmt numFmtId="212" formatCode="_-* #,##0.00\ [$€]_-;\-* #,##0.00\ [$€]_-;_-* &quot;-&quot;??\ [$€]_-;_-@_-"/>
    <numFmt numFmtId="213" formatCode="#,##0.0_);\(#,##0.0\)"/>
    <numFmt numFmtId="214" formatCode="#,##0\ &quot;Dh&quot;"/>
    <numFmt numFmtId="215" formatCode="0_);\(0\)"/>
    <numFmt numFmtId="216" formatCode="&quot;Yes&quot;;&quot;Yes&quot;;&quot;No&quot;"/>
    <numFmt numFmtId="217" formatCode="&quot;True&quot;;&quot;True&quot;;&quot;False&quot;"/>
    <numFmt numFmtId="218" formatCode="&quot;On&quot;;&quot;On&quot;;&quot;Off&quot;"/>
    <numFmt numFmtId="219" formatCode="[$€-2]\ #,##0.00_);[Red]\([$€-2]\ #,##0.00\)"/>
    <numFmt numFmtId="220" formatCode="[$-409]dddd\,\ mmmm\ dd\,\ yyyy"/>
    <numFmt numFmtId="221" formatCode="[$-409]h:mm:ss\ AM/PM"/>
    <numFmt numFmtId="222" formatCode="0.00000000000000000%"/>
  </numFmts>
  <fonts count="48">
    <font>
      <sz val="10"/>
      <name val="Arial"/>
      <family val="0"/>
    </font>
    <font>
      <b/>
      <sz val="12"/>
      <name val="Times New Roman"/>
      <family val="1"/>
    </font>
    <font>
      <b/>
      <sz val="12"/>
      <name val="Garamond"/>
      <family val="1"/>
    </font>
    <font>
      <sz val="12"/>
      <name val="Garamond"/>
      <family val="1"/>
    </font>
    <font>
      <b/>
      <sz val="13"/>
      <name val="Garamond"/>
      <family val="1"/>
    </font>
    <font>
      <sz val="13"/>
      <name val="Garamond"/>
      <family val="1"/>
    </font>
    <font>
      <b/>
      <sz val="10"/>
      <name val="Garamond"/>
      <family val="1"/>
    </font>
    <font>
      <b/>
      <sz val="10"/>
      <name val="Arial"/>
      <family val="2"/>
    </font>
    <font>
      <b/>
      <sz val="11"/>
      <name val="Garamond"/>
      <family val="1"/>
    </font>
    <font>
      <b/>
      <u val="single"/>
      <sz val="12"/>
      <color indexed="12"/>
      <name val="Garamond"/>
      <family val="1"/>
    </font>
    <font>
      <sz val="12"/>
      <name val="Times New Roman"/>
      <family val="1"/>
    </font>
    <font>
      <sz val="7"/>
      <color indexed="12"/>
      <name val="Times New Roman"/>
      <family val="1"/>
    </font>
    <font>
      <sz val="10"/>
      <color indexed="12"/>
      <name val="Arial"/>
      <family val="2"/>
    </font>
    <font>
      <u val="single"/>
      <sz val="10"/>
      <color indexed="12"/>
      <name val="Arial"/>
      <family val="0"/>
    </font>
    <font>
      <u val="single"/>
      <sz val="10"/>
      <color indexed="36"/>
      <name val="Arial"/>
      <family val="0"/>
    </font>
    <font>
      <sz val="12"/>
      <color indexed="12"/>
      <name val="Garamond"/>
      <family val="1"/>
    </font>
    <font>
      <b/>
      <sz val="12"/>
      <color indexed="12"/>
      <name val="Garamond"/>
      <family val="1"/>
    </font>
    <font>
      <u val="single"/>
      <sz val="12"/>
      <color indexed="12"/>
      <name val="Garamond"/>
      <family val="1"/>
    </font>
    <font>
      <b/>
      <sz val="9"/>
      <name val="Arial"/>
      <family val="2"/>
    </font>
    <font>
      <b/>
      <i/>
      <sz val="12"/>
      <name val="Garamond"/>
      <family val="1"/>
    </font>
    <font>
      <sz val="12"/>
      <name val="Wingdings"/>
      <family val="0"/>
    </font>
    <font>
      <sz val="12"/>
      <color indexed="22"/>
      <name val="Garamond"/>
      <family val="1"/>
    </font>
    <font>
      <b/>
      <sz val="11"/>
      <name val="Arial"/>
      <family val="2"/>
    </font>
    <font>
      <b/>
      <sz val="12"/>
      <color indexed="17"/>
      <name val="Garamond"/>
      <family val="1"/>
    </font>
    <font>
      <sz val="11"/>
      <name val="Arial"/>
      <family val="2"/>
    </font>
    <font>
      <i/>
      <sz val="10"/>
      <name val="Arial"/>
      <family val="2"/>
    </font>
    <font>
      <b/>
      <i/>
      <sz val="9"/>
      <name val="Arial"/>
      <family val="2"/>
    </font>
    <font>
      <sz val="10"/>
      <color indexed="58"/>
      <name val="Arial"/>
      <family val="0"/>
    </font>
    <font>
      <b/>
      <sz val="10"/>
      <color indexed="10"/>
      <name val="Arial"/>
      <family val="2"/>
    </font>
    <font>
      <b/>
      <sz val="10"/>
      <color indexed="12"/>
      <name val="Arial"/>
      <family val="2"/>
    </font>
    <font>
      <b/>
      <sz val="8"/>
      <name val="Tahoma"/>
      <family val="0"/>
    </font>
    <font>
      <sz val="8"/>
      <name val="Tahoma"/>
      <family val="0"/>
    </font>
    <font>
      <sz val="8"/>
      <color indexed="17"/>
      <name val="Arial"/>
      <family val="2"/>
    </font>
    <font>
      <b/>
      <sz val="16"/>
      <name val="Arial"/>
      <family val="2"/>
    </font>
    <font>
      <sz val="8"/>
      <name val="Arial"/>
      <family val="0"/>
    </font>
    <font>
      <sz val="14"/>
      <name val="Arial"/>
      <family val="2"/>
    </font>
    <font>
      <b/>
      <sz val="12"/>
      <name val="Arial"/>
      <family val="2"/>
    </font>
    <font>
      <sz val="10"/>
      <color indexed="23"/>
      <name val="Arial"/>
      <family val="2"/>
    </font>
    <font>
      <b/>
      <sz val="10"/>
      <color indexed="55"/>
      <name val="Arial"/>
      <family val="2"/>
    </font>
    <font>
      <sz val="10"/>
      <color indexed="9"/>
      <name val="Arial"/>
      <family val="2"/>
    </font>
    <font>
      <sz val="9"/>
      <color indexed="55"/>
      <name val="Arial"/>
      <family val="0"/>
    </font>
    <font>
      <b/>
      <sz val="10"/>
      <color indexed="9"/>
      <name val="Arial"/>
      <family val="2"/>
    </font>
    <font>
      <b/>
      <sz val="8"/>
      <name val="Arial"/>
      <family val="2"/>
    </font>
    <font>
      <sz val="10"/>
      <color indexed="12"/>
      <name val="Garamond"/>
      <family val="1"/>
    </font>
    <font>
      <sz val="7"/>
      <color indexed="12"/>
      <name val="Garamond"/>
      <family val="1"/>
    </font>
    <font>
      <b/>
      <sz val="11.75"/>
      <name val="Arial"/>
      <family val="0"/>
    </font>
    <font>
      <b/>
      <sz val="9.75"/>
      <name val="Arial"/>
      <family val="0"/>
    </font>
    <font>
      <sz val="9.75"/>
      <name val="Arial"/>
      <family val="0"/>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s>
  <borders count="161">
    <border>
      <left/>
      <right/>
      <top/>
      <bottom/>
      <diagonal/>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ck">
        <color indexed="8"/>
      </left>
      <right style="thin">
        <color indexed="8"/>
      </right>
      <top style="medium">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medium"/>
      <right style="medium"/>
      <top style="medium"/>
      <bottom style="medium"/>
    </border>
    <border>
      <left>
        <color indexed="63"/>
      </left>
      <right>
        <color indexed="63"/>
      </right>
      <top style="medium"/>
      <bottom style="medium"/>
    </border>
    <border>
      <left style="medium"/>
      <right style="medium"/>
      <top style="thin">
        <color indexed="8"/>
      </top>
      <bottom style="thin">
        <color indexed="8"/>
      </bottom>
    </border>
    <border>
      <left>
        <color indexed="63"/>
      </left>
      <right>
        <color indexed="63"/>
      </right>
      <top style="thin">
        <color indexed="8"/>
      </top>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color indexed="63"/>
      </bottom>
    </border>
    <border>
      <left>
        <color indexed="63"/>
      </left>
      <right>
        <color indexed="63"/>
      </right>
      <top style="thin">
        <color indexed="8"/>
      </top>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style="medium">
        <color indexed="8"/>
      </bottom>
    </border>
    <border>
      <left>
        <color indexed="63"/>
      </left>
      <right style="thick">
        <color indexed="8"/>
      </right>
      <top>
        <color indexed="63"/>
      </top>
      <bottom>
        <color indexed="63"/>
      </bottom>
    </border>
    <border>
      <left style="medium">
        <color indexed="8"/>
      </left>
      <right style="medium">
        <color indexed="8"/>
      </right>
      <top style="thick">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medium">
        <color indexed="8"/>
      </bottom>
    </border>
    <border>
      <left style="thin">
        <color indexed="8"/>
      </left>
      <right style="thick">
        <color indexed="8"/>
      </right>
      <top style="thick">
        <color indexed="8"/>
      </top>
      <bottom style="medium">
        <color indexed="8"/>
      </bottom>
    </border>
    <border>
      <left style="thin">
        <color indexed="8"/>
      </left>
      <right style="thick">
        <color indexed="8"/>
      </right>
      <top style="medium">
        <color indexed="8"/>
      </top>
      <bottom style="thin">
        <color indexed="8"/>
      </bottom>
    </border>
    <border>
      <left style="thin">
        <color indexed="8"/>
      </left>
      <right style="thick">
        <color indexed="8"/>
      </right>
      <top style="thin">
        <color indexed="8"/>
      </top>
      <bottom style="thin">
        <color indexed="8"/>
      </bottom>
    </border>
    <border>
      <left style="thin"/>
      <right style="thick">
        <color indexed="8"/>
      </right>
      <top>
        <color indexed="63"/>
      </top>
      <bottom style="thin"/>
    </border>
    <border>
      <left style="medium">
        <color indexed="8"/>
      </left>
      <right style="thick">
        <color indexed="8"/>
      </right>
      <top style="medium">
        <color indexed="8"/>
      </top>
      <bottom style="medium">
        <color indexed="8"/>
      </bottom>
    </border>
    <border>
      <left style="thin">
        <color indexed="8"/>
      </left>
      <right style="thick">
        <color indexed="8"/>
      </right>
      <top style="medium">
        <color indexed="8"/>
      </top>
      <bottom style="medium">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medium">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right style="thick">
        <color indexed="8"/>
      </right>
      <top style="thin"/>
      <bottom style="thin"/>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n">
        <color indexed="8"/>
      </left>
      <right style="thick">
        <color indexed="8"/>
      </right>
      <top style="thin">
        <color indexed="8"/>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medium"/>
      <bottom style="thin"/>
    </border>
    <border>
      <left style="medium"/>
      <right>
        <color indexed="63"/>
      </right>
      <top style="thin">
        <color indexed="8"/>
      </top>
      <bottom style="medium"/>
    </border>
    <border>
      <left>
        <color indexed="63"/>
      </left>
      <right style="medium"/>
      <top style="medium">
        <color indexed="8"/>
      </top>
      <bottom style="thin">
        <color indexed="8"/>
      </bottom>
    </border>
    <border>
      <left>
        <color indexed="63"/>
      </left>
      <right style="medium"/>
      <top style="thin"/>
      <bottom style="thin"/>
    </border>
    <border>
      <left>
        <color indexed="63"/>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color indexed="8"/>
      </top>
      <bottom style="medium">
        <color indexed="8"/>
      </bottom>
    </border>
    <border>
      <left>
        <color indexed="63"/>
      </left>
      <right style="medium"/>
      <top>
        <color indexed="63"/>
      </top>
      <bottom style="thin">
        <color indexed="8"/>
      </bottom>
    </border>
    <border>
      <left>
        <color indexed="63"/>
      </left>
      <right style="medium"/>
      <top style="thin">
        <color indexed="8"/>
      </top>
      <bottom style="medium">
        <color indexed="8"/>
      </bottom>
    </border>
    <border>
      <left>
        <color indexed="63"/>
      </left>
      <right style="medium"/>
      <top style="thin"/>
      <bottom style="mediu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color indexed="8"/>
      </right>
      <top style="thin"/>
      <bottom style="medium"/>
    </border>
    <border>
      <left style="thick">
        <color indexed="8"/>
      </left>
      <right>
        <color indexed="63"/>
      </right>
      <top style="thick">
        <color indexed="8"/>
      </top>
      <bottom style="thin">
        <color indexed="8"/>
      </bottom>
    </border>
    <border>
      <left style="thick">
        <color indexed="8"/>
      </left>
      <right>
        <color indexed="63"/>
      </right>
      <top style="medium">
        <color indexed="8"/>
      </top>
      <bottom style="thin">
        <color indexed="8"/>
      </bottom>
    </border>
    <border>
      <left style="thick">
        <color indexed="8"/>
      </left>
      <right>
        <color indexed="63"/>
      </right>
      <top style="thin">
        <color indexed="8"/>
      </top>
      <bottom style="thin">
        <color indexed="8"/>
      </bottom>
    </border>
    <border>
      <left style="thick">
        <color indexed="8"/>
      </left>
      <right>
        <color indexed="63"/>
      </right>
      <top style="thin">
        <color indexed="8"/>
      </top>
      <bottom style="thick">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ck">
        <color indexed="8"/>
      </bottom>
    </border>
    <border>
      <left style="thin">
        <color indexed="8"/>
      </left>
      <right style="medium">
        <color indexed="8"/>
      </right>
      <top style="thin">
        <color indexed="8"/>
      </top>
      <bottom style="thick">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bottom style="thin"/>
    </border>
    <border>
      <left style="thin">
        <color indexed="8"/>
      </left>
      <right style="medium">
        <color indexed="8"/>
      </right>
      <top style="medium"/>
      <bottom style="thin"/>
    </border>
    <border>
      <left style="medium">
        <color indexed="8"/>
      </left>
      <right style="thin">
        <color indexed="8"/>
      </right>
      <top style="thin"/>
      <bottom style="thin"/>
    </border>
    <border>
      <left style="thin">
        <color indexed="8"/>
      </left>
      <right style="medium">
        <color indexed="8"/>
      </right>
      <top style="thin"/>
      <bottom style="thin"/>
    </border>
    <border>
      <left style="medium">
        <color indexed="8"/>
      </left>
      <right style="thin">
        <color indexed="8"/>
      </right>
      <top style="thin"/>
      <bottom style="medium"/>
    </border>
    <border>
      <left style="thin">
        <color indexed="8"/>
      </left>
      <right style="medium">
        <color indexed="8"/>
      </right>
      <top style="thin"/>
      <bottom style="mediu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ck">
        <color indexed="8"/>
      </right>
      <top style="thin">
        <color indexed="8"/>
      </top>
      <bottom style="thin"/>
    </border>
    <border>
      <left style="thin">
        <color indexed="8"/>
      </left>
      <right style="medium"/>
      <top style="thin">
        <color indexed="8"/>
      </top>
      <bottom style="thin">
        <color indexed="8"/>
      </bottom>
    </border>
    <border>
      <left style="thin">
        <color indexed="8"/>
      </left>
      <right style="medium"/>
      <top style="medium"/>
      <bottom style="thin">
        <color indexed="8"/>
      </bottom>
    </border>
    <border>
      <left style="thin">
        <color indexed="8"/>
      </left>
      <right style="medium"/>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color indexed="63"/>
      </top>
      <bottom style="thin">
        <color indexed="8"/>
      </bottom>
    </border>
    <border>
      <left style="thin">
        <color indexed="8"/>
      </left>
      <right style="medium">
        <color indexed="8"/>
      </right>
      <top style="thin">
        <color indexed="8"/>
      </top>
      <bottom>
        <color indexed="63"/>
      </bottom>
    </border>
    <border>
      <left>
        <color indexed="63"/>
      </left>
      <right>
        <color indexed="63"/>
      </right>
      <top style="thin">
        <color indexed="8"/>
      </top>
      <bottom style="medium">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thin">
        <color indexed="22"/>
      </right>
      <top style="thin">
        <color indexed="22"/>
      </top>
      <bottom style="thin">
        <color indexed="22"/>
      </bottom>
    </border>
    <border>
      <left style="medium">
        <color indexed="8"/>
      </left>
      <right style="thick">
        <color indexed="8"/>
      </right>
      <top style="thick">
        <color indexed="8"/>
      </top>
      <bottom>
        <color indexed="63"/>
      </bottom>
    </border>
    <border>
      <left style="double"/>
      <right style="thin"/>
      <top style="double"/>
      <bottom style="double"/>
    </border>
    <border>
      <left>
        <color indexed="63"/>
      </left>
      <right style="double"/>
      <top style="double"/>
      <bottom style="double"/>
    </border>
    <border>
      <left style="double"/>
      <right style="thin"/>
      <top>
        <color indexed="63"/>
      </top>
      <bottom>
        <color indexed="63"/>
      </bottom>
    </border>
    <border>
      <left style="thin"/>
      <right style="double"/>
      <top>
        <color indexed="63"/>
      </top>
      <bottom>
        <color indexed="63"/>
      </bottom>
    </border>
    <border>
      <left style="thin"/>
      <right style="double"/>
      <top style="thin"/>
      <bottom style="thin"/>
    </border>
    <border>
      <left>
        <color indexed="63"/>
      </left>
      <right style="double"/>
      <top>
        <color indexed="63"/>
      </top>
      <bottom>
        <color indexed="63"/>
      </bottom>
    </border>
    <border>
      <left>
        <color indexed="63"/>
      </left>
      <right style="double"/>
      <top>
        <color indexed="63"/>
      </top>
      <bottom style="double"/>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ck">
        <color indexed="8"/>
      </left>
      <right style="thin">
        <color indexed="8"/>
      </right>
      <top style="thin">
        <color indexed="8"/>
      </top>
      <bottom>
        <color indexed="63"/>
      </bottom>
    </border>
    <border>
      <left style="thin">
        <color indexed="8"/>
      </left>
      <right style="thick">
        <color indexed="8"/>
      </right>
      <top style="medium">
        <color indexed="8"/>
      </top>
      <bottom>
        <color indexed="63"/>
      </bottom>
    </border>
    <border>
      <left style="medium">
        <color indexed="8"/>
      </left>
      <right style="thin">
        <color indexed="8"/>
      </right>
      <top style="medium"/>
      <bottom style="medium"/>
    </border>
    <border>
      <left style="thin"/>
      <right style="double"/>
      <top style="thin"/>
      <bottom>
        <color indexed="63"/>
      </bottom>
    </border>
    <border>
      <left style="thin"/>
      <right style="double"/>
      <top>
        <color indexed="63"/>
      </top>
      <bottom style="thin"/>
    </border>
    <border>
      <left style="double"/>
      <right style="thin"/>
      <top>
        <color indexed="63"/>
      </top>
      <bottom style="double"/>
    </border>
    <border>
      <left style="double"/>
      <right style="thin"/>
      <top>
        <color indexed="63"/>
      </top>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6">
    <xf numFmtId="0" fontId="0" fillId="0" borderId="0" xfId="0" applyAlignment="1">
      <alignment/>
    </xf>
    <xf numFmtId="0" fontId="1" fillId="0" borderId="0" xfId="0" applyFont="1" applyAlignment="1">
      <alignment horizontal="center"/>
    </xf>
    <xf numFmtId="174" fontId="0" fillId="0" borderId="0" xfId="24" applyNumberFormat="1" applyAlignment="1">
      <alignment/>
    </xf>
    <xf numFmtId="174" fontId="0" fillId="0" borderId="0" xfId="0" applyNumberFormat="1" applyAlignment="1">
      <alignment/>
    </xf>
    <xf numFmtId="3" fontId="2" fillId="0" borderId="1" xfId="0" applyNumberFormat="1" applyFont="1" applyBorder="1" applyAlignment="1">
      <alignment horizontal="center" vertical="top" wrapText="1"/>
    </xf>
    <xf numFmtId="177"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4" fillId="0" borderId="0" xfId="0" applyFont="1" applyAlignment="1">
      <alignment horizontal="left" indent="6"/>
    </xf>
    <xf numFmtId="0" fontId="5" fillId="0" borderId="0" xfId="0" applyFont="1" applyAlignment="1">
      <alignment horizontal="left" indent="5"/>
    </xf>
    <xf numFmtId="0" fontId="2"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0" borderId="5" xfId="0" applyFont="1" applyBorder="1" applyAlignment="1">
      <alignment horizontal="center" vertical="top" wrapText="1"/>
    </xf>
    <xf numFmtId="0" fontId="1" fillId="0" borderId="5" xfId="0" applyFont="1" applyBorder="1" applyAlignment="1">
      <alignment horizontal="center" vertical="top" wrapText="1"/>
    </xf>
    <xf numFmtId="3" fontId="2" fillId="0" borderId="6" xfId="0" applyNumberFormat="1" applyFont="1" applyBorder="1" applyAlignment="1">
      <alignment horizontal="center" vertical="top" wrapText="1"/>
    </xf>
    <xf numFmtId="177" fontId="2" fillId="0" borderId="6"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177" fontId="2" fillId="0" borderId="7" xfId="0" applyNumberFormat="1" applyFont="1" applyBorder="1" applyAlignment="1">
      <alignment horizontal="center" vertical="top" wrapText="1"/>
    </xf>
    <xf numFmtId="0" fontId="3" fillId="2" borderId="8" xfId="0" applyFont="1" applyFill="1" applyBorder="1" applyAlignment="1">
      <alignment horizontal="left" vertical="top" wrapText="1"/>
    </xf>
    <xf numFmtId="177" fontId="2" fillId="0" borderId="9"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1" fontId="2" fillId="0" borderId="14" xfId="0" applyNumberFormat="1" applyFont="1" applyBorder="1" applyAlignment="1">
      <alignment horizontal="center" vertical="top" wrapText="1"/>
    </xf>
    <xf numFmtId="1" fontId="2" fillId="0" borderId="15"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1" fontId="1" fillId="0" borderId="13"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3" fontId="2" fillId="0" borderId="18" xfId="0" applyNumberFormat="1" applyFont="1" applyBorder="1" applyAlignment="1">
      <alignment horizontal="center" vertical="top" wrapText="1"/>
    </xf>
    <xf numFmtId="3" fontId="2" fillId="0" borderId="19" xfId="0" applyNumberFormat="1" applyFont="1" applyBorder="1" applyAlignment="1">
      <alignment horizontal="center" vertical="top" wrapText="1"/>
    </xf>
    <xf numFmtId="3" fontId="2" fillId="0" borderId="14" xfId="0" applyNumberFormat="1" applyFont="1" applyBorder="1" applyAlignment="1">
      <alignment horizontal="center" vertical="top" wrapText="1"/>
    </xf>
    <xf numFmtId="3" fontId="2" fillId="0" borderId="15" xfId="0" applyNumberFormat="1" applyFont="1" applyBorder="1" applyAlignment="1">
      <alignment horizontal="center" vertical="top" wrapText="1"/>
    </xf>
    <xf numFmtId="3" fontId="2" fillId="0" borderId="20" xfId="0" applyNumberFormat="1" applyFont="1" applyBorder="1" applyAlignment="1">
      <alignment horizontal="center" vertical="top" wrapText="1"/>
    </xf>
    <xf numFmtId="3" fontId="2" fillId="0" borderId="21" xfId="0" applyNumberFormat="1" applyFont="1" applyBorder="1" applyAlignment="1">
      <alignment horizontal="center" vertical="top" wrapText="1"/>
    </xf>
    <xf numFmtId="1" fontId="2" fillId="0" borderId="22" xfId="0" applyNumberFormat="1" applyFont="1" applyBorder="1" applyAlignment="1">
      <alignment horizontal="center" vertical="top" wrapText="1"/>
    </xf>
    <xf numFmtId="1" fontId="2" fillId="0" borderId="0"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 fillId="0" borderId="15"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1" fillId="0" borderId="24" xfId="0" applyFont="1" applyBorder="1" applyAlignment="1">
      <alignment horizontal="center" vertical="top" wrapText="1"/>
    </xf>
    <xf numFmtId="3" fontId="2" fillId="0" borderId="2" xfId="0" applyNumberFormat="1" applyFont="1" applyBorder="1" applyAlignment="1">
      <alignment horizontal="center" vertical="top" wrapText="1"/>
    </xf>
    <xf numFmtId="3" fontId="1" fillId="0" borderId="2" xfId="0" applyNumberFormat="1" applyFont="1" applyBorder="1" applyAlignment="1">
      <alignment horizontal="center" vertical="top" wrapText="1"/>
    </xf>
    <xf numFmtId="179" fontId="2" fillId="0" borderId="5" xfId="0" applyNumberFormat="1" applyFont="1" applyBorder="1" applyAlignment="1">
      <alignment horizontal="center" vertical="top" wrapText="1"/>
    </xf>
    <xf numFmtId="0" fontId="2" fillId="0" borderId="25" xfId="0" applyFont="1" applyBorder="1" applyAlignment="1">
      <alignment horizontal="center" vertical="top" wrapText="1"/>
    </xf>
    <xf numFmtId="3" fontId="2" fillId="0" borderId="26" xfId="0" applyNumberFormat="1" applyFont="1" applyBorder="1" applyAlignment="1">
      <alignment horizontal="center" vertical="top" wrapText="1"/>
    </xf>
    <xf numFmtId="179" fontId="2" fillId="0" borderId="26" xfId="15" applyNumberFormat="1" applyFont="1" applyBorder="1" applyAlignment="1">
      <alignment vertical="top" wrapText="1"/>
    </xf>
    <xf numFmtId="177" fontId="2" fillId="0" borderId="27" xfId="15" applyNumberFormat="1" applyFont="1" applyBorder="1" applyAlignment="1">
      <alignment horizontal="center"/>
    </xf>
    <xf numFmtId="177" fontId="2" fillId="0" borderId="27" xfId="0" applyNumberFormat="1" applyFont="1" applyBorder="1" applyAlignment="1">
      <alignment horizontal="center"/>
    </xf>
    <xf numFmtId="177" fontId="1" fillId="0" borderId="2" xfId="0" applyNumberFormat="1" applyFont="1" applyBorder="1" applyAlignment="1">
      <alignment horizontal="center" vertical="top" wrapText="1"/>
    </xf>
    <xf numFmtId="181" fontId="7" fillId="0" borderId="28" xfId="15" applyNumberFormat="1" applyFont="1" applyBorder="1" applyAlignment="1">
      <alignment horizontal="center"/>
    </xf>
    <xf numFmtId="3" fontId="2" fillId="0" borderId="7" xfId="0" applyNumberFormat="1" applyFont="1" applyBorder="1" applyAlignment="1">
      <alignment horizontal="center" vertical="top" wrapText="1"/>
    </xf>
    <xf numFmtId="3" fontId="0" fillId="0" borderId="0" xfId="0" applyNumberFormat="1" applyAlignment="1">
      <alignment/>
    </xf>
    <xf numFmtId="10" fontId="0" fillId="0" borderId="0" xfId="0" applyNumberFormat="1" applyAlignment="1">
      <alignment/>
    </xf>
    <xf numFmtId="1" fontId="2" fillId="0" borderId="10" xfId="24" applyNumberFormat="1" applyFont="1" applyBorder="1" applyAlignment="1">
      <alignment horizontal="center" vertical="top" wrapText="1"/>
    </xf>
    <xf numFmtId="1" fontId="2" fillId="0" borderId="11" xfId="24" applyNumberFormat="1" applyFont="1" applyBorder="1" applyAlignment="1">
      <alignment horizontal="center" vertical="top" wrapText="1"/>
    </xf>
    <xf numFmtId="1" fontId="2" fillId="0" borderId="16" xfId="0" applyNumberFormat="1" applyFont="1" applyBorder="1" applyAlignment="1">
      <alignment horizontal="center" vertical="top" wrapText="1"/>
    </xf>
    <xf numFmtId="1" fontId="2" fillId="0" borderId="17" xfId="0" applyNumberFormat="1" applyFont="1" applyBorder="1" applyAlignment="1">
      <alignment horizontal="center" vertical="top" wrapText="1"/>
    </xf>
    <xf numFmtId="3" fontId="1" fillId="0" borderId="11"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3" fontId="2" fillId="0" borderId="13"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2" fillId="0" borderId="26" xfId="15" applyNumberFormat="1" applyFont="1" applyBorder="1" applyAlignment="1">
      <alignment horizontal="center" vertical="top" wrapText="1"/>
    </xf>
    <xf numFmtId="0" fontId="0" fillId="0" borderId="0" xfId="0" applyAlignment="1">
      <alignment/>
    </xf>
    <xf numFmtId="169" fontId="2" fillId="0" borderId="2" xfId="0" applyNumberFormat="1" applyFont="1" applyBorder="1" applyAlignment="1">
      <alignment horizontal="center" vertical="center" wrapText="1"/>
    </xf>
    <xf numFmtId="169" fontId="8" fillId="0" borderId="1" xfId="0" applyNumberFormat="1" applyFont="1" applyBorder="1" applyAlignment="1">
      <alignment horizontal="center" vertical="center" wrapText="1"/>
    </xf>
    <xf numFmtId="169" fontId="1" fillId="0" borderId="2" xfId="0" applyNumberFormat="1" applyFont="1" applyBorder="1" applyAlignment="1">
      <alignment horizontal="center" vertical="center" wrapText="1"/>
    </xf>
    <xf numFmtId="169" fontId="2" fillId="0" borderId="25" xfId="0" applyNumberFormat="1" applyFont="1" applyBorder="1" applyAlignment="1">
      <alignment horizontal="center" vertical="center" wrapText="1"/>
    </xf>
    <xf numFmtId="169" fontId="1" fillId="0" borderId="25" xfId="0" applyNumberFormat="1"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30" xfId="0" applyNumberFormat="1" applyFont="1" applyBorder="1" applyAlignment="1">
      <alignment horizontal="center" vertical="center" wrapText="1"/>
    </xf>
    <xf numFmtId="169" fontId="2" fillId="0" borderId="31" xfId="0" applyNumberFormat="1" applyFont="1" applyBorder="1" applyAlignment="1">
      <alignment horizontal="center" vertical="center" wrapText="1"/>
    </xf>
    <xf numFmtId="169" fontId="2" fillId="0" borderId="7" xfId="0" applyNumberFormat="1" applyFont="1" applyBorder="1" applyAlignment="1">
      <alignment horizontal="center" vertical="center" wrapText="1"/>
    </xf>
    <xf numFmtId="169" fontId="1" fillId="0" borderId="7" xfId="0" applyNumberFormat="1" applyFont="1" applyBorder="1" applyAlignment="1">
      <alignment horizontal="center" vertical="center" wrapText="1"/>
    </xf>
    <xf numFmtId="177" fontId="2" fillId="0" borderId="29" xfId="0" applyNumberFormat="1" applyFont="1" applyBorder="1" applyAlignment="1">
      <alignment horizontal="right" vertical="center" wrapText="1"/>
    </xf>
    <xf numFmtId="177" fontId="2" fillId="0" borderId="1" xfId="0" applyNumberFormat="1" applyFont="1" applyBorder="1" applyAlignment="1">
      <alignment horizontal="right" vertical="center" wrapText="1"/>
    </xf>
    <xf numFmtId="177" fontId="2" fillId="0" borderId="30"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177" fontId="2" fillId="0" borderId="31" xfId="0" applyNumberFormat="1" applyFont="1" applyBorder="1" applyAlignment="1">
      <alignment horizontal="right" vertical="center" wrapText="1"/>
    </xf>
    <xf numFmtId="177" fontId="2" fillId="0" borderId="7" xfId="0" applyNumberFormat="1" applyFont="1" applyBorder="1" applyAlignment="1">
      <alignment horizontal="right" vertical="center" wrapText="1"/>
    </xf>
    <xf numFmtId="169" fontId="2" fillId="0" borderId="29" xfId="0" applyNumberFormat="1" applyFont="1" applyBorder="1" applyAlignment="1">
      <alignment horizontal="center" vertical="center" wrapText="1"/>
    </xf>
    <xf numFmtId="169" fontId="2" fillId="0" borderId="6" xfId="0" applyNumberFormat="1" applyFont="1" applyBorder="1" applyAlignment="1">
      <alignment horizontal="center" vertical="center" wrapText="1"/>
    </xf>
    <xf numFmtId="1" fontId="2" fillId="0" borderId="5" xfId="0" applyNumberFormat="1" applyFont="1" applyBorder="1" applyAlignment="1">
      <alignment horizontal="right" vertical="top" wrapText="1"/>
    </xf>
    <xf numFmtId="0" fontId="2" fillId="0" borderId="2" xfId="0" applyFont="1" applyBorder="1" applyAlignment="1">
      <alignment horizontal="right" vertical="top" wrapText="1"/>
    </xf>
    <xf numFmtId="0" fontId="1" fillId="0" borderId="2" xfId="0" applyFont="1" applyBorder="1" applyAlignment="1">
      <alignment horizontal="right" vertical="top" wrapText="1"/>
    </xf>
    <xf numFmtId="0" fontId="2" fillId="0" borderId="32" xfId="0" applyFont="1" applyBorder="1" applyAlignment="1">
      <alignment horizontal="right" vertical="top" wrapText="1"/>
    </xf>
    <xf numFmtId="3" fontId="2" fillId="0" borderId="5" xfId="0" applyNumberFormat="1" applyFont="1" applyBorder="1" applyAlignment="1">
      <alignment horizontal="right" vertical="top" wrapText="1"/>
    </xf>
    <xf numFmtId="3" fontId="2" fillId="0" borderId="33" xfId="0" applyNumberFormat="1" applyFont="1" applyBorder="1" applyAlignment="1">
      <alignment horizontal="right" vertical="top" wrapText="1"/>
    </xf>
    <xf numFmtId="177" fontId="2" fillId="0" borderId="7" xfId="0" applyNumberFormat="1" applyFont="1" applyBorder="1" applyAlignment="1">
      <alignment horizontal="right" vertical="top" wrapText="1"/>
    </xf>
    <xf numFmtId="177" fontId="2" fillId="0" borderId="34" xfId="0" applyNumberFormat="1" applyFont="1" applyBorder="1" applyAlignment="1">
      <alignment horizontal="right" vertical="top" wrapText="1"/>
    </xf>
    <xf numFmtId="0" fontId="2" fillId="0" borderId="5" xfId="0" applyFont="1" applyBorder="1" applyAlignment="1">
      <alignment horizontal="right" vertical="top" wrapText="1"/>
    </xf>
    <xf numFmtId="0" fontId="1" fillId="0" borderId="5" xfId="0" applyFont="1" applyBorder="1" applyAlignment="1">
      <alignment horizontal="right" vertical="top" wrapText="1"/>
    </xf>
    <xf numFmtId="0" fontId="2" fillId="0" borderId="33" xfId="0" applyFont="1" applyBorder="1" applyAlignment="1">
      <alignment horizontal="right" vertical="top" wrapText="1"/>
    </xf>
    <xf numFmtId="177" fontId="2" fillId="0" borderId="9"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3" fontId="2" fillId="0" borderId="2" xfId="0" applyNumberFormat="1" applyFont="1" applyBorder="1" applyAlignment="1">
      <alignment horizontal="right" vertical="top" wrapText="1"/>
    </xf>
    <xf numFmtId="3" fontId="2" fillId="0" borderId="32" xfId="0" applyNumberFormat="1" applyFont="1" applyBorder="1" applyAlignment="1">
      <alignment horizontal="right" vertical="top" wrapText="1"/>
    </xf>
    <xf numFmtId="3" fontId="1" fillId="0" borderId="2" xfId="0" applyNumberFormat="1" applyFont="1" applyBorder="1" applyAlignment="1">
      <alignment horizontal="right" vertical="top" wrapText="1"/>
    </xf>
    <xf numFmtId="1" fontId="2" fillId="0" borderId="1" xfId="24" applyNumberFormat="1" applyFont="1" applyBorder="1" applyAlignment="1">
      <alignment horizontal="right" vertical="top" wrapText="1"/>
    </xf>
    <xf numFmtId="1" fontId="2" fillId="0" borderId="35" xfId="24" applyNumberFormat="1" applyFont="1" applyBorder="1" applyAlignment="1">
      <alignment horizontal="right" vertical="top" wrapText="1"/>
    </xf>
    <xf numFmtId="1" fontId="2" fillId="0" borderId="2" xfId="24" applyNumberFormat="1" applyFont="1" applyBorder="1" applyAlignment="1">
      <alignment horizontal="right" vertical="top" wrapText="1"/>
    </xf>
    <xf numFmtId="1" fontId="2" fillId="0" borderId="32" xfId="24" applyNumberFormat="1" applyFont="1" applyBorder="1" applyAlignment="1">
      <alignment horizontal="right" vertical="top" wrapText="1"/>
    </xf>
    <xf numFmtId="1" fontId="2" fillId="0" borderId="2" xfId="0" applyNumberFormat="1" applyFont="1" applyBorder="1" applyAlignment="1">
      <alignment horizontal="right" vertical="top" wrapText="1"/>
    </xf>
    <xf numFmtId="1" fontId="2" fillId="0" borderId="32" xfId="0" applyNumberFormat="1" applyFont="1" applyBorder="1" applyAlignment="1">
      <alignment horizontal="right" vertical="top" wrapText="1"/>
    </xf>
    <xf numFmtId="1" fontId="2" fillId="0" borderId="7" xfId="24" applyNumberFormat="1" applyFont="1" applyBorder="1" applyAlignment="1">
      <alignment horizontal="right" vertical="top" wrapText="1"/>
    </xf>
    <xf numFmtId="1" fontId="2" fillId="0" borderId="7" xfId="0" applyNumberFormat="1" applyFont="1" applyBorder="1" applyAlignment="1">
      <alignment horizontal="right" vertical="top" wrapText="1"/>
    </xf>
    <xf numFmtId="1" fontId="2" fillId="0" borderId="34" xfId="0" applyNumberFormat="1" applyFont="1" applyBorder="1" applyAlignment="1">
      <alignment horizontal="right" vertical="top" wrapText="1"/>
    </xf>
    <xf numFmtId="177" fontId="2" fillId="0" borderId="29" xfId="0" applyNumberFormat="1" applyFont="1" applyBorder="1" applyAlignment="1">
      <alignment horizontal="right" vertical="top" wrapText="1"/>
    </xf>
    <xf numFmtId="177" fontId="2" fillId="0" borderId="1" xfId="0" applyNumberFormat="1" applyFont="1" applyBorder="1" applyAlignment="1">
      <alignment horizontal="right" vertical="top" wrapText="1"/>
    </xf>
    <xf numFmtId="177" fontId="2" fillId="0" borderId="35" xfId="0" applyNumberFormat="1" applyFont="1" applyBorder="1" applyAlignment="1">
      <alignment horizontal="right" vertical="top" wrapText="1"/>
    </xf>
    <xf numFmtId="177" fontId="2" fillId="0" borderId="30" xfId="0" applyNumberFormat="1" applyFont="1" applyBorder="1" applyAlignment="1">
      <alignment horizontal="right" vertical="top" wrapText="1"/>
    </xf>
    <xf numFmtId="177" fontId="2" fillId="0" borderId="2" xfId="0" applyNumberFormat="1" applyFont="1" applyBorder="1" applyAlignment="1">
      <alignment horizontal="right" vertical="top" wrapText="1"/>
    </xf>
    <xf numFmtId="177" fontId="2" fillId="0" borderId="32" xfId="0" applyNumberFormat="1" applyFont="1" applyBorder="1" applyAlignment="1">
      <alignment horizontal="right" vertical="top" wrapText="1"/>
    </xf>
    <xf numFmtId="0" fontId="2" fillId="0" borderId="30" xfId="0" applyFont="1" applyBorder="1" applyAlignment="1">
      <alignment horizontal="right" vertical="top" wrapText="1"/>
    </xf>
    <xf numFmtId="177" fontId="2" fillId="0" borderId="31" xfId="0" applyNumberFormat="1" applyFont="1" applyBorder="1" applyAlignment="1">
      <alignment horizontal="right" vertical="top" wrapText="1"/>
    </xf>
    <xf numFmtId="3" fontId="2" fillId="0" borderId="6" xfId="0" applyNumberFormat="1" applyFont="1" applyBorder="1" applyAlignment="1">
      <alignment horizontal="right" vertical="top" wrapText="1"/>
    </xf>
    <xf numFmtId="3" fontId="2" fillId="0" borderId="36" xfId="0" applyNumberFormat="1" applyFont="1" applyBorder="1" applyAlignment="1">
      <alignment horizontal="right" vertical="top" wrapText="1"/>
    </xf>
    <xf numFmtId="177" fontId="2" fillId="0" borderId="6" xfId="0" applyNumberFormat="1" applyFont="1" applyBorder="1" applyAlignment="1">
      <alignment horizontal="right" vertical="top" wrapText="1"/>
    </xf>
    <xf numFmtId="177" fontId="2" fillId="0" borderId="36" xfId="0" applyNumberFormat="1" applyFont="1" applyBorder="1" applyAlignment="1">
      <alignment horizontal="right" vertical="top" wrapText="1"/>
    </xf>
    <xf numFmtId="3" fontId="2" fillId="0" borderId="9" xfId="0" applyNumberFormat="1" applyFont="1" applyBorder="1" applyAlignment="1">
      <alignment horizontal="right" vertical="top" wrapText="1"/>
    </xf>
    <xf numFmtId="0" fontId="2" fillId="0" borderId="37" xfId="0" applyFont="1" applyBorder="1" applyAlignment="1">
      <alignment horizontal="center" vertical="top" wrapText="1"/>
    </xf>
    <xf numFmtId="0" fontId="2" fillId="3" borderId="38" xfId="0" applyFont="1" applyFill="1" applyBorder="1" applyAlignment="1">
      <alignment horizontal="center" vertical="top" wrapText="1"/>
    </xf>
    <xf numFmtId="0" fontId="2" fillId="4" borderId="39" xfId="0" applyFont="1" applyFill="1" applyBorder="1" applyAlignment="1">
      <alignment horizontal="left" vertical="top" wrapText="1"/>
    </xf>
    <xf numFmtId="3" fontId="2" fillId="4" borderId="40" xfId="0" applyNumberFormat="1" applyFont="1" applyFill="1" applyBorder="1" applyAlignment="1">
      <alignment horizontal="center" vertical="top" wrapText="1"/>
    </xf>
    <xf numFmtId="0" fontId="3" fillId="2" borderId="41" xfId="0" applyFont="1" applyFill="1" applyBorder="1" applyAlignment="1">
      <alignment horizontal="left" vertical="top" wrapText="1"/>
    </xf>
    <xf numFmtId="0" fontId="2" fillId="4" borderId="42" xfId="0" applyFont="1" applyFill="1" applyBorder="1" applyAlignment="1">
      <alignment horizontal="left" vertical="top" wrapText="1"/>
    </xf>
    <xf numFmtId="3" fontId="2" fillId="4" borderId="43" xfId="0" applyNumberFormat="1" applyFont="1" applyFill="1" applyBorder="1" applyAlignment="1">
      <alignment horizontal="center" vertical="top" wrapText="1"/>
    </xf>
    <xf numFmtId="3" fontId="2" fillId="4" borderId="44" xfId="0" applyNumberFormat="1" applyFont="1" applyFill="1" applyBorder="1" applyAlignment="1">
      <alignment horizontal="center" vertical="top" wrapText="1"/>
    </xf>
    <xf numFmtId="3" fontId="2" fillId="0" borderId="45" xfId="0" applyNumberFormat="1" applyFont="1" applyBorder="1" applyAlignment="1">
      <alignment horizontal="center" vertical="top" wrapText="1"/>
    </xf>
    <xf numFmtId="3" fontId="2" fillId="0" borderId="46" xfId="0" applyNumberFormat="1" applyFont="1" applyBorder="1" applyAlignment="1">
      <alignment horizontal="center" vertical="top" wrapText="1"/>
    </xf>
    <xf numFmtId="177" fontId="2" fillId="0" borderId="47" xfId="0" applyNumberFormat="1" applyFont="1" applyBorder="1" applyAlignment="1">
      <alignment horizontal="center"/>
    </xf>
    <xf numFmtId="181" fontId="7" fillId="0" borderId="48" xfId="15" applyNumberFormat="1" applyFont="1" applyBorder="1" applyAlignment="1">
      <alignment horizontal="center"/>
    </xf>
    <xf numFmtId="177" fontId="2" fillId="0" borderId="49" xfId="0" applyNumberFormat="1" applyFont="1" applyBorder="1" applyAlignment="1">
      <alignment horizontal="center" vertical="top" wrapText="1"/>
    </xf>
    <xf numFmtId="3" fontId="2" fillId="0" borderId="50" xfId="0" applyNumberFormat="1" applyFont="1" applyBorder="1" applyAlignment="1">
      <alignment horizontal="center" vertical="top" wrapText="1"/>
    </xf>
    <xf numFmtId="0" fontId="2" fillId="0" borderId="46" xfId="0" applyFont="1" applyBorder="1" applyAlignment="1">
      <alignment horizontal="center" vertical="top" wrapText="1"/>
    </xf>
    <xf numFmtId="177" fontId="2" fillId="0" borderId="51" xfId="0" applyNumberFormat="1" applyFont="1" applyBorder="1" applyAlignment="1">
      <alignment horizontal="center" vertical="top" wrapText="1"/>
    </xf>
    <xf numFmtId="0" fontId="2" fillId="0" borderId="50" xfId="0" applyFont="1" applyBorder="1" applyAlignment="1">
      <alignment horizontal="center" vertical="top" wrapText="1"/>
    </xf>
    <xf numFmtId="177" fontId="2" fillId="0" borderId="52" xfId="0" applyNumberFormat="1" applyFont="1" applyBorder="1" applyAlignment="1">
      <alignment horizontal="center" vertical="top" wrapText="1"/>
    </xf>
    <xf numFmtId="3" fontId="2" fillId="4" borderId="53" xfId="0" applyNumberFormat="1" applyFont="1" applyFill="1" applyBorder="1" applyAlignment="1">
      <alignment horizontal="center" vertical="top" wrapText="1"/>
    </xf>
    <xf numFmtId="3" fontId="2" fillId="4" borderId="54" xfId="0" applyNumberFormat="1" applyFont="1" applyFill="1" applyBorder="1" applyAlignment="1">
      <alignment horizontal="center" vertical="top" wrapText="1"/>
    </xf>
    <xf numFmtId="0" fontId="2" fillId="0" borderId="46" xfId="0" applyFont="1" applyBorder="1" applyAlignment="1">
      <alignment horizontal="right" vertical="top" wrapText="1"/>
    </xf>
    <xf numFmtId="177" fontId="2" fillId="0" borderId="51" xfId="0" applyNumberFormat="1" applyFont="1" applyBorder="1" applyAlignment="1">
      <alignment horizontal="right" vertical="top" wrapText="1"/>
    </xf>
    <xf numFmtId="3" fontId="2" fillId="0" borderId="50" xfId="0" applyNumberFormat="1" applyFont="1" applyBorder="1" applyAlignment="1">
      <alignment horizontal="right" vertical="top" wrapText="1"/>
    </xf>
    <xf numFmtId="0" fontId="2" fillId="0" borderId="50" xfId="0" applyFont="1" applyBorder="1" applyAlignment="1">
      <alignment horizontal="right" vertical="top" wrapText="1"/>
    </xf>
    <xf numFmtId="3" fontId="2" fillId="0" borderId="52" xfId="0" applyNumberFormat="1" applyFont="1" applyBorder="1" applyAlignment="1">
      <alignment horizontal="right" vertical="top" wrapText="1"/>
    </xf>
    <xf numFmtId="177" fontId="2" fillId="0" borderId="46" xfId="0" applyNumberFormat="1" applyFont="1" applyBorder="1" applyAlignment="1">
      <alignment horizontal="center" vertical="top" wrapText="1"/>
    </xf>
    <xf numFmtId="3" fontId="2" fillId="0" borderId="49" xfId="0" applyNumberFormat="1" applyFont="1" applyBorder="1" applyAlignment="1">
      <alignment horizontal="center" vertical="top" wrapText="1"/>
    </xf>
    <xf numFmtId="3" fontId="2" fillId="0" borderId="55" xfId="0" applyNumberFormat="1" applyFont="1" applyBorder="1" applyAlignment="1">
      <alignment horizontal="center" vertical="top" wrapText="1"/>
    </xf>
    <xf numFmtId="3" fontId="2" fillId="0" borderId="55" xfId="15" applyNumberFormat="1" applyFont="1" applyBorder="1" applyAlignment="1">
      <alignment horizontal="center" vertical="top" wrapText="1"/>
    </xf>
    <xf numFmtId="179" fontId="2" fillId="0" borderId="55" xfId="15" applyNumberFormat="1" applyFont="1" applyBorder="1" applyAlignment="1">
      <alignment vertical="top" wrapText="1"/>
    </xf>
    <xf numFmtId="0" fontId="2" fillId="0" borderId="56" xfId="0" applyFont="1" applyBorder="1" applyAlignment="1">
      <alignment horizontal="center" vertical="top" wrapText="1"/>
    </xf>
    <xf numFmtId="0" fontId="1" fillId="0" borderId="56" xfId="0" applyFont="1" applyBorder="1" applyAlignment="1">
      <alignment horizontal="center" vertical="top" wrapText="1"/>
    </xf>
    <xf numFmtId="0" fontId="2" fillId="0" borderId="57" xfId="0" applyFont="1" applyBorder="1" applyAlignment="1">
      <alignment horizontal="center" vertical="top" wrapText="1"/>
    </xf>
    <xf numFmtId="169" fontId="7" fillId="0" borderId="0" xfId="0" applyNumberFormat="1" applyFont="1" applyBorder="1" applyAlignment="1">
      <alignment horizontal="center" vertical="center"/>
    </xf>
    <xf numFmtId="169" fontId="2" fillId="0" borderId="45" xfId="0" applyNumberFormat="1" applyFont="1" applyBorder="1" applyAlignment="1">
      <alignment horizontal="center" vertical="center" wrapText="1"/>
    </xf>
    <xf numFmtId="169" fontId="2" fillId="0" borderId="46" xfId="0" applyNumberFormat="1" applyFont="1" applyBorder="1" applyAlignment="1">
      <alignment horizontal="center" vertical="center" wrapText="1"/>
    </xf>
    <xf numFmtId="169" fontId="2" fillId="0" borderId="58" xfId="0" applyNumberFormat="1" applyFont="1" applyBorder="1" applyAlignment="1">
      <alignment horizontal="center" vertical="center" wrapText="1"/>
    </xf>
    <xf numFmtId="169" fontId="2" fillId="0" borderId="51" xfId="0" applyNumberFormat="1" applyFont="1" applyBorder="1" applyAlignment="1">
      <alignment horizontal="center" vertical="center" wrapText="1"/>
    </xf>
    <xf numFmtId="177" fontId="2" fillId="0" borderId="45" xfId="0" applyNumberFormat="1" applyFont="1" applyBorder="1" applyAlignment="1">
      <alignment horizontal="right" vertical="center" wrapText="1"/>
    </xf>
    <xf numFmtId="177" fontId="2" fillId="0" borderId="46" xfId="0" applyNumberFormat="1" applyFont="1" applyBorder="1" applyAlignment="1">
      <alignment horizontal="right" vertical="center" wrapText="1"/>
    </xf>
    <xf numFmtId="177" fontId="2" fillId="0" borderId="51" xfId="0" applyNumberFormat="1" applyFont="1" applyBorder="1" applyAlignment="1">
      <alignment horizontal="right" vertical="center" wrapText="1"/>
    </xf>
    <xf numFmtId="169" fontId="2" fillId="0" borderId="49" xfId="0" applyNumberFormat="1" applyFont="1" applyBorder="1" applyAlignment="1">
      <alignment horizontal="center" vertical="center" wrapText="1"/>
    </xf>
    <xf numFmtId="1" fontId="2" fillId="0" borderId="50" xfId="0" applyNumberFormat="1" applyFont="1" applyBorder="1" applyAlignment="1">
      <alignment horizontal="right" vertical="top" wrapText="1"/>
    </xf>
    <xf numFmtId="177" fontId="2" fillId="0" borderId="52" xfId="0" applyNumberFormat="1" applyFont="1" applyBorder="1" applyAlignment="1">
      <alignment horizontal="right" vertical="top" wrapText="1"/>
    </xf>
    <xf numFmtId="0" fontId="9" fillId="0" borderId="0" xfId="0" applyFont="1" applyFill="1" applyBorder="1" applyAlignment="1">
      <alignment horizontal="left" vertical="top" wrapText="1"/>
    </xf>
    <xf numFmtId="0" fontId="12" fillId="0" borderId="0" xfId="0" applyFont="1" applyAlignment="1">
      <alignment/>
    </xf>
    <xf numFmtId="0" fontId="15" fillId="0" borderId="0" xfId="0" applyFont="1" applyAlignment="1">
      <alignment horizontal="left" indent="2"/>
    </xf>
    <xf numFmtId="0" fontId="2" fillId="2" borderId="59"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61" xfId="0" applyFont="1" applyFill="1" applyBorder="1" applyAlignment="1">
      <alignment horizontal="left" vertical="top" wrapText="1"/>
    </xf>
    <xf numFmtId="1" fontId="2" fillId="2" borderId="62" xfId="24" applyNumberFormat="1" applyFont="1" applyFill="1" applyBorder="1" applyAlignment="1">
      <alignment horizontal="left"/>
    </xf>
    <xf numFmtId="0" fontId="3" fillId="2" borderId="63" xfId="0" applyFont="1" applyFill="1" applyBorder="1" applyAlignment="1">
      <alignment horizontal="left" vertical="top" wrapText="1"/>
    </xf>
    <xf numFmtId="3" fontId="2" fillId="0" borderId="64" xfId="0" applyNumberFormat="1" applyFont="1" applyBorder="1" applyAlignment="1">
      <alignment horizontal="center" vertical="top" wrapText="1"/>
    </xf>
    <xf numFmtId="179" fontId="2" fillId="0" borderId="65" xfId="15" applyNumberFormat="1" applyFont="1" applyBorder="1" applyAlignment="1">
      <alignment/>
    </xf>
    <xf numFmtId="0" fontId="2" fillId="0" borderId="66" xfId="0" applyFont="1" applyBorder="1" applyAlignment="1">
      <alignment horizontal="center" vertical="top" wrapText="1"/>
    </xf>
    <xf numFmtId="0" fontId="2" fillId="0" borderId="67" xfId="0" applyFont="1" applyBorder="1" applyAlignment="1">
      <alignment horizontal="center" vertical="top" wrapText="1"/>
    </xf>
    <xf numFmtId="1" fontId="2" fillId="0" borderId="68" xfId="24" applyNumberFormat="1" applyFont="1" applyBorder="1" applyAlignment="1">
      <alignment horizontal="center"/>
    </xf>
    <xf numFmtId="1" fontId="2" fillId="0" borderId="69" xfId="24" applyNumberFormat="1" applyFont="1" applyBorder="1" applyAlignment="1">
      <alignment horizontal="center"/>
    </xf>
    <xf numFmtId="177" fontId="2" fillId="0" borderId="69" xfId="0" applyNumberFormat="1" applyFont="1" applyBorder="1" applyAlignment="1">
      <alignment horizontal="center"/>
    </xf>
    <xf numFmtId="177" fontId="2" fillId="0" borderId="65" xfId="0" applyNumberFormat="1" applyFont="1" applyBorder="1" applyAlignment="1">
      <alignment horizontal="center"/>
    </xf>
    <xf numFmtId="177" fontId="2" fillId="0" borderId="66" xfId="0" applyNumberFormat="1" applyFont="1" applyBorder="1" applyAlignment="1">
      <alignment horizontal="center" vertical="top" wrapText="1"/>
    </xf>
    <xf numFmtId="177" fontId="2" fillId="0" borderId="70" xfId="0" applyNumberFormat="1" applyFont="1" applyBorder="1" applyAlignment="1">
      <alignment horizontal="center"/>
    </xf>
    <xf numFmtId="181" fontId="7" fillId="0" borderId="71" xfId="15" applyNumberFormat="1" applyFont="1" applyBorder="1" applyAlignment="1">
      <alignment horizontal="center"/>
    </xf>
    <xf numFmtId="177" fontId="2" fillId="0" borderId="71" xfId="0" applyNumberFormat="1" applyFont="1" applyBorder="1" applyAlignment="1">
      <alignment horizontal="center" vertical="top" wrapText="1"/>
    </xf>
    <xf numFmtId="179" fontId="2" fillId="0" borderId="72" xfId="0" applyNumberFormat="1" applyFont="1" applyBorder="1" applyAlignment="1">
      <alignment horizontal="center" vertical="top" wrapText="1"/>
    </xf>
    <xf numFmtId="3" fontId="2" fillId="0" borderId="72" xfId="0" applyNumberFormat="1" applyFont="1" applyBorder="1" applyAlignment="1">
      <alignment horizontal="center" vertical="top" wrapText="1"/>
    </xf>
    <xf numFmtId="3" fontId="2" fillId="0" borderId="73" xfId="0" applyNumberFormat="1" applyFont="1" applyBorder="1" applyAlignment="1">
      <alignment horizontal="center" vertical="top" wrapText="1"/>
    </xf>
    <xf numFmtId="179" fontId="2" fillId="0" borderId="65" xfId="15" applyNumberFormat="1" applyFont="1" applyBorder="1" applyAlignment="1">
      <alignment/>
    </xf>
    <xf numFmtId="179" fontId="2" fillId="0" borderId="74" xfId="15" applyNumberFormat="1" applyFont="1" applyBorder="1" applyAlignment="1">
      <alignment horizontal="center"/>
    </xf>
    <xf numFmtId="179" fontId="2" fillId="0" borderId="75" xfId="15" applyNumberFormat="1" applyFont="1" applyBorder="1" applyAlignment="1">
      <alignment/>
    </xf>
    <xf numFmtId="179" fontId="0" fillId="0" borderId="75" xfId="15" applyNumberFormat="1" applyBorder="1" applyAlignment="1">
      <alignment/>
    </xf>
    <xf numFmtId="1" fontId="2" fillId="0" borderId="76" xfId="24" applyNumberFormat="1" applyFont="1" applyBorder="1" applyAlignment="1">
      <alignment horizontal="center"/>
    </xf>
    <xf numFmtId="1" fontId="2" fillId="0" borderId="77" xfId="24" applyNumberFormat="1" applyFont="1" applyBorder="1" applyAlignment="1">
      <alignment horizontal="center"/>
    </xf>
    <xf numFmtId="177" fontId="2" fillId="0" borderId="77" xfId="15" applyNumberFormat="1" applyFont="1" applyBorder="1" applyAlignment="1">
      <alignment horizontal="center"/>
    </xf>
    <xf numFmtId="177" fontId="2" fillId="0" borderId="77" xfId="0" applyNumberFormat="1" applyFont="1" applyBorder="1" applyAlignment="1">
      <alignment horizontal="center"/>
    </xf>
    <xf numFmtId="177" fontId="2" fillId="0" borderId="75" xfId="15" applyNumberFormat="1" applyFont="1" applyBorder="1" applyAlignment="1">
      <alignment horizontal="center"/>
    </xf>
    <xf numFmtId="177" fontId="2" fillId="0" borderId="75" xfId="0" applyNumberFormat="1" applyFont="1" applyBorder="1" applyAlignment="1">
      <alignment horizontal="center"/>
    </xf>
    <xf numFmtId="177" fontId="2" fillId="0" borderId="78" xfId="15" applyNumberFormat="1" applyFont="1" applyBorder="1" applyAlignment="1">
      <alignment horizontal="center"/>
    </xf>
    <xf numFmtId="177" fontId="2" fillId="0" borderId="78" xfId="0" applyNumberFormat="1" applyFont="1" applyBorder="1" applyAlignment="1">
      <alignment horizontal="center"/>
    </xf>
    <xf numFmtId="181" fontId="7" fillId="0" borderId="6" xfId="15" applyNumberFormat="1" applyFont="1" applyBorder="1" applyAlignment="1">
      <alignment horizontal="center"/>
    </xf>
    <xf numFmtId="179" fontId="2" fillId="0" borderId="75" xfId="15" applyNumberFormat="1" applyFont="1" applyBorder="1" applyAlignment="1">
      <alignment/>
    </xf>
    <xf numFmtId="179" fontId="2" fillId="0" borderId="79" xfId="15" applyNumberFormat="1" applyFont="1" applyBorder="1" applyAlignment="1">
      <alignment horizontal="center"/>
    </xf>
    <xf numFmtId="0" fontId="2" fillId="4" borderId="80" xfId="0" applyFont="1" applyFill="1" applyBorder="1" applyAlignment="1">
      <alignment horizontal="left" vertical="top" wrapText="1"/>
    </xf>
    <xf numFmtId="0" fontId="2" fillId="2" borderId="81" xfId="0" applyFont="1" applyFill="1" applyBorder="1" applyAlignment="1">
      <alignment horizontal="left" vertical="top" wrapText="1"/>
    </xf>
    <xf numFmtId="0" fontId="3" fillId="2" borderId="82" xfId="0" applyFont="1" applyFill="1" applyBorder="1" applyAlignment="1">
      <alignment horizontal="left" vertical="top" wrapText="1"/>
    </xf>
    <xf numFmtId="0" fontId="3" fillId="2" borderId="83" xfId="0" applyFont="1" applyFill="1" applyBorder="1" applyAlignment="1">
      <alignment horizontal="left" vertical="top" wrapText="1"/>
    </xf>
    <xf numFmtId="3" fontId="2" fillId="4" borderId="84" xfId="0"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3" fontId="2" fillId="4" borderId="36" xfId="0" applyNumberFormat="1" applyFont="1" applyFill="1" applyBorder="1" applyAlignment="1">
      <alignment horizontal="center" vertical="top" wrapText="1"/>
    </xf>
    <xf numFmtId="3" fontId="2" fillId="0" borderId="29" xfId="0" applyNumberFormat="1" applyFont="1" applyBorder="1" applyAlignment="1">
      <alignment horizontal="right" vertical="top" wrapText="1"/>
    </xf>
    <xf numFmtId="3" fontId="2" fillId="0" borderId="35" xfId="0" applyNumberFormat="1" applyFont="1" applyBorder="1" applyAlignment="1">
      <alignment horizontal="right" vertical="top" wrapText="1"/>
    </xf>
    <xf numFmtId="3" fontId="2" fillId="0" borderId="30" xfId="0" applyNumberFormat="1" applyFont="1" applyBorder="1" applyAlignment="1">
      <alignment horizontal="right" vertical="top" wrapText="1"/>
    </xf>
    <xf numFmtId="1" fontId="2" fillId="0" borderId="29" xfId="24" applyNumberFormat="1" applyFont="1" applyBorder="1" applyAlignment="1">
      <alignment horizontal="right" vertical="top" wrapText="1"/>
    </xf>
    <xf numFmtId="1" fontId="2" fillId="0" borderId="30" xfId="24" applyNumberFormat="1" applyFont="1" applyBorder="1" applyAlignment="1">
      <alignment horizontal="right" vertical="top" wrapText="1"/>
    </xf>
    <xf numFmtId="1" fontId="2" fillId="0" borderId="31" xfId="24" applyNumberFormat="1" applyFont="1" applyBorder="1" applyAlignment="1">
      <alignment horizontal="right" vertical="top" wrapText="1"/>
    </xf>
    <xf numFmtId="3" fontId="2" fillId="0" borderId="84" xfId="0" applyNumberFormat="1" applyFont="1" applyBorder="1" applyAlignment="1">
      <alignment horizontal="right" vertical="top" wrapText="1"/>
    </xf>
    <xf numFmtId="177" fontId="2" fillId="0" borderId="84" xfId="0" applyNumberFormat="1" applyFont="1" applyBorder="1" applyAlignment="1">
      <alignment horizontal="right" vertical="top" wrapText="1"/>
    </xf>
    <xf numFmtId="3" fontId="2" fillId="0" borderId="85" xfId="0" applyNumberFormat="1" applyFont="1" applyBorder="1" applyAlignment="1">
      <alignment horizontal="right" vertical="top" wrapText="1"/>
    </xf>
    <xf numFmtId="0" fontId="2" fillId="0" borderId="85" xfId="0" applyFont="1" applyBorder="1" applyAlignment="1">
      <alignment horizontal="right" vertical="top" wrapText="1"/>
    </xf>
    <xf numFmtId="3" fontId="2" fillId="0" borderId="86" xfId="0" applyNumberFormat="1" applyFont="1" applyBorder="1" applyAlignment="1">
      <alignment horizontal="right" vertical="top" wrapText="1"/>
    </xf>
    <xf numFmtId="3" fontId="2" fillId="0" borderId="87" xfId="0" applyNumberFormat="1" applyFont="1" applyBorder="1" applyAlignment="1">
      <alignment horizontal="right" vertical="top" wrapText="1"/>
    </xf>
    <xf numFmtId="182" fontId="2" fillId="4" borderId="84" xfId="0" applyNumberFormat="1" applyFont="1" applyFill="1" applyBorder="1" applyAlignment="1">
      <alignment horizontal="right" vertical="top" wrapText="1"/>
    </xf>
    <xf numFmtId="182" fontId="2" fillId="4" borderId="6" xfId="0" applyNumberFormat="1" applyFont="1" applyFill="1" applyBorder="1" applyAlignment="1">
      <alignment horizontal="right" vertical="top" wrapText="1"/>
    </xf>
    <xf numFmtId="182" fontId="2" fillId="4" borderId="36" xfId="0" applyNumberFormat="1" applyFont="1" applyFill="1" applyBorder="1" applyAlignment="1">
      <alignment horizontal="right" vertical="top" wrapText="1"/>
    </xf>
    <xf numFmtId="0" fontId="2" fillId="0" borderId="30" xfId="0" applyFont="1" applyFill="1" applyBorder="1" applyAlignment="1">
      <alignment horizontal="right" vertical="top" wrapText="1"/>
    </xf>
    <xf numFmtId="0" fontId="2" fillId="0" borderId="2" xfId="0" applyFont="1" applyFill="1" applyBorder="1" applyAlignment="1">
      <alignment horizontal="right" vertical="top" wrapText="1"/>
    </xf>
    <xf numFmtId="0" fontId="2" fillId="0" borderId="32" xfId="0" applyFont="1" applyFill="1" applyBorder="1" applyAlignment="1">
      <alignment horizontal="right" vertical="top" wrapText="1"/>
    </xf>
    <xf numFmtId="177" fontId="2" fillId="0" borderId="88" xfId="0" applyNumberFormat="1" applyFont="1" applyFill="1" applyBorder="1" applyAlignment="1">
      <alignment horizontal="right" vertical="top" wrapText="1"/>
    </xf>
    <xf numFmtId="177" fontId="2" fillId="0" borderId="89" xfId="0" applyNumberFormat="1" applyFont="1" applyFill="1" applyBorder="1" applyAlignment="1">
      <alignment horizontal="right" vertical="top" wrapText="1"/>
    </xf>
    <xf numFmtId="177" fontId="2" fillId="0" borderId="90" xfId="0" applyNumberFormat="1" applyFont="1" applyFill="1" applyBorder="1" applyAlignment="1">
      <alignment horizontal="right" vertical="top" wrapText="1"/>
    </xf>
    <xf numFmtId="0" fontId="0" fillId="0" borderId="88" xfId="0" applyBorder="1" applyAlignment="1">
      <alignment horizontal="right"/>
    </xf>
    <xf numFmtId="0" fontId="0" fillId="0" borderId="89" xfId="0" applyBorder="1" applyAlignment="1">
      <alignment horizontal="right"/>
    </xf>
    <xf numFmtId="0" fontId="0" fillId="0" borderId="90" xfId="0" applyBorder="1" applyAlignment="1">
      <alignment horizontal="right"/>
    </xf>
    <xf numFmtId="3" fontId="2" fillId="0" borderId="30" xfId="0" applyNumberFormat="1" applyFont="1" applyFill="1" applyBorder="1" applyAlignment="1">
      <alignment horizontal="right" vertical="top" wrapText="1"/>
    </xf>
    <xf numFmtId="3" fontId="2" fillId="0" borderId="2" xfId="0" applyNumberFormat="1" applyFont="1" applyFill="1" applyBorder="1" applyAlignment="1">
      <alignment horizontal="right" vertical="top" wrapText="1"/>
    </xf>
    <xf numFmtId="3" fontId="2" fillId="0" borderId="32" xfId="0" applyNumberFormat="1" applyFont="1" applyFill="1" applyBorder="1" applyAlignment="1">
      <alignment horizontal="right" vertical="top" wrapText="1"/>
    </xf>
    <xf numFmtId="3" fontId="2" fillId="0" borderId="31" xfId="0" applyNumberFormat="1" applyFont="1" applyBorder="1" applyAlignment="1">
      <alignment horizontal="right" vertical="top" wrapText="1"/>
    </xf>
    <xf numFmtId="3" fontId="2" fillId="0" borderId="7" xfId="0" applyNumberFormat="1" applyFont="1" applyBorder="1" applyAlignment="1">
      <alignment horizontal="right" vertical="top" wrapText="1"/>
    </xf>
    <xf numFmtId="3" fontId="2" fillId="0" borderId="34" xfId="0" applyNumberFormat="1" applyFont="1" applyBorder="1" applyAlignment="1">
      <alignment horizontal="right" vertical="top" wrapText="1"/>
    </xf>
    <xf numFmtId="3" fontId="2" fillId="0" borderId="29" xfId="0" applyNumberFormat="1" applyFont="1" applyFill="1" applyBorder="1" applyAlignment="1">
      <alignment horizontal="right" vertical="top" wrapText="1"/>
    </xf>
    <xf numFmtId="3" fontId="2" fillId="0" borderId="1" xfId="0" applyNumberFormat="1" applyFont="1" applyFill="1" applyBorder="1" applyAlignment="1">
      <alignment horizontal="right" vertical="top" wrapText="1"/>
    </xf>
    <xf numFmtId="3" fontId="2" fillId="0" borderId="35" xfId="0" applyNumberFormat="1" applyFont="1" applyFill="1" applyBorder="1" applyAlignment="1">
      <alignment horizontal="right" vertical="top" wrapText="1"/>
    </xf>
    <xf numFmtId="0" fontId="12" fillId="0" borderId="0" xfId="0" applyFont="1" applyAlignment="1">
      <alignment/>
    </xf>
    <xf numFmtId="3" fontId="2" fillId="4" borderId="7" xfId="0" applyNumberFormat="1" applyFont="1" applyFill="1" applyBorder="1" applyAlignment="1">
      <alignment horizontal="right" vertical="top" wrapText="1"/>
    </xf>
    <xf numFmtId="3" fontId="2" fillId="4" borderId="51" xfId="0" applyNumberFormat="1" applyFont="1" applyFill="1" applyBorder="1" applyAlignment="1">
      <alignment horizontal="right" vertical="top" wrapText="1"/>
    </xf>
    <xf numFmtId="3" fontId="2" fillId="4" borderId="84" xfId="0" applyNumberFormat="1" applyFont="1" applyFill="1" applyBorder="1" applyAlignment="1">
      <alignment horizontal="right" vertical="top" wrapText="1"/>
    </xf>
    <xf numFmtId="3" fontId="2" fillId="4" borderId="6" xfId="0" applyNumberFormat="1" applyFont="1" applyFill="1" applyBorder="1" applyAlignment="1">
      <alignment horizontal="right" vertical="top" wrapText="1"/>
    </xf>
    <xf numFmtId="3" fontId="2" fillId="4" borderId="36" xfId="0" applyNumberFormat="1" applyFont="1" applyFill="1" applyBorder="1" applyAlignment="1">
      <alignment horizontal="right" vertical="top" wrapText="1"/>
    </xf>
    <xf numFmtId="3" fontId="2" fillId="0" borderId="91" xfId="0" applyNumberFormat="1" applyFont="1" applyBorder="1" applyAlignment="1">
      <alignment horizontal="right" vertical="top" wrapText="1"/>
    </xf>
    <xf numFmtId="3" fontId="2" fillId="0" borderId="76" xfId="0" applyNumberFormat="1" applyFont="1" applyBorder="1" applyAlignment="1">
      <alignment horizontal="right" vertical="top" wrapText="1"/>
    </xf>
    <xf numFmtId="3" fontId="2" fillId="0" borderId="92" xfId="0" applyNumberFormat="1" applyFont="1" applyBorder="1" applyAlignment="1">
      <alignment horizontal="right" vertical="top" wrapText="1"/>
    </xf>
    <xf numFmtId="3" fontId="2" fillId="0" borderId="93" xfId="0" applyNumberFormat="1" applyFont="1" applyBorder="1" applyAlignment="1">
      <alignment horizontal="right" vertical="top" wrapText="1"/>
    </xf>
    <xf numFmtId="3" fontId="2" fillId="0" borderId="75" xfId="0" applyNumberFormat="1" applyFont="1" applyBorder="1" applyAlignment="1">
      <alignment horizontal="right" vertical="top" wrapText="1"/>
    </xf>
    <xf numFmtId="3" fontId="2" fillId="0" borderId="94" xfId="0" applyNumberFormat="1" applyFont="1" applyBorder="1" applyAlignment="1">
      <alignment horizontal="right" vertical="top" wrapText="1"/>
    </xf>
    <xf numFmtId="3" fontId="1" fillId="0" borderId="75" xfId="0" applyNumberFormat="1" applyFont="1" applyBorder="1" applyAlignment="1">
      <alignment horizontal="right" vertical="top" wrapText="1"/>
    </xf>
    <xf numFmtId="3" fontId="2" fillId="0" borderId="95" xfId="0" applyNumberFormat="1" applyFont="1" applyBorder="1" applyAlignment="1">
      <alignment horizontal="right" vertical="top" wrapText="1"/>
    </xf>
    <xf numFmtId="3" fontId="2" fillId="0" borderId="79" xfId="0" applyNumberFormat="1" applyFont="1" applyBorder="1" applyAlignment="1">
      <alignment horizontal="right" vertical="top" wrapText="1"/>
    </xf>
    <xf numFmtId="3" fontId="1" fillId="0" borderId="79" xfId="0" applyNumberFormat="1" applyFont="1" applyBorder="1" applyAlignment="1">
      <alignment horizontal="right" vertical="top" wrapText="1"/>
    </xf>
    <xf numFmtId="3" fontId="2" fillId="0" borderId="96" xfId="0" applyNumberFormat="1" applyFont="1" applyBorder="1" applyAlignment="1">
      <alignment horizontal="right" vertical="top" wrapText="1"/>
    </xf>
    <xf numFmtId="3" fontId="2" fillId="0" borderId="97" xfId="0" applyNumberFormat="1" applyFont="1" applyBorder="1" applyAlignment="1">
      <alignment horizontal="right" vertical="top" wrapText="1"/>
    </xf>
    <xf numFmtId="3" fontId="2" fillId="0" borderId="40" xfId="0" applyNumberFormat="1" applyFont="1" applyBorder="1" applyAlignment="1">
      <alignment horizontal="right" vertical="top" wrapText="1"/>
    </xf>
    <xf numFmtId="3" fontId="2" fillId="0" borderId="98" xfId="0" applyNumberFormat="1" applyFont="1" applyBorder="1" applyAlignment="1">
      <alignment horizontal="right" vertical="top" wrapText="1"/>
    </xf>
    <xf numFmtId="3" fontId="2" fillId="0" borderId="99" xfId="0" applyNumberFormat="1" applyFont="1" applyBorder="1" applyAlignment="1">
      <alignment horizontal="right" vertical="top" wrapText="1"/>
    </xf>
    <xf numFmtId="3" fontId="2" fillId="0" borderId="100" xfId="0" applyNumberFormat="1" applyFont="1" applyBorder="1" applyAlignment="1">
      <alignment horizontal="right" vertical="top" wrapText="1"/>
    </xf>
    <xf numFmtId="3" fontId="2" fillId="0" borderId="101" xfId="0" applyNumberFormat="1" applyFont="1" applyBorder="1" applyAlignment="1">
      <alignment horizontal="right" vertical="top" wrapText="1"/>
    </xf>
    <xf numFmtId="3" fontId="0" fillId="0" borderId="89" xfId="0" applyNumberFormat="1" applyFont="1" applyBorder="1" applyAlignment="1">
      <alignment horizontal="right"/>
    </xf>
    <xf numFmtId="3" fontId="0" fillId="0" borderId="90" xfId="0" applyNumberFormat="1" applyFont="1" applyBorder="1" applyAlignment="1">
      <alignment horizontal="right"/>
    </xf>
    <xf numFmtId="0" fontId="15" fillId="0" borderId="0" xfId="0" applyFont="1" applyFill="1" applyBorder="1" applyAlignment="1">
      <alignment horizontal="left" vertical="top"/>
    </xf>
    <xf numFmtId="3" fontId="2" fillId="0" borderId="102" xfId="0" applyNumberFormat="1" applyFont="1" applyBorder="1" applyAlignment="1">
      <alignment horizontal="center" vertical="top" wrapText="1"/>
    </xf>
    <xf numFmtId="3" fontId="18" fillId="0" borderId="2" xfId="0" applyNumberFormat="1" applyFont="1" applyBorder="1" applyAlignment="1">
      <alignment horizontal="center" vertical="center" wrapText="1"/>
    </xf>
    <xf numFmtId="3" fontId="18" fillId="0" borderId="103" xfId="0" applyNumberFormat="1" applyFont="1" applyBorder="1" applyAlignment="1">
      <alignment horizontal="center" vertical="center" wrapText="1"/>
    </xf>
    <xf numFmtId="3" fontId="18" fillId="0" borderId="40" xfId="0" applyNumberFormat="1" applyFont="1" applyBorder="1" applyAlignment="1">
      <alignment horizontal="center" vertical="center" wrapText="1"/>
    </xf>
    <xf numFmtId="3" fontId="18" fillId="0" borderId="104" xfId="0" applyNumberFormat="1" applyFont="1" applyBorder="1" applyAlignment="1">
      <alignment horizontal="center" vertical="center" wrapText="1"/>
    </xf>
    <xf numFmtId="3" fontId="18" fillId="0" borderId="100" xfId="0" applyNumberFormat="1" applyFont="1" applyBorder="1" applyAlignment="1">
      <alignment horizontal="center" vertical="center" wrapText="1"/>
    </xf>
    <xf numFmtId="3" fontId="18" fillId="0" borderId="105"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8" fillId="0" borderId="103" xfId="0" applyNumberFormat="1" applyFont="1" applyBorder="1" applyAlignment="1">
      <alignment horizontal="center" vertical="center" wrapText="1"/>
    </xf>
    <xf numFmtId="3" fontId="18" fillId="0" borderId="106" xfId="0" applyNumberFormat="1" applyFont="1" applyBorder="1" applyAlignment="1">
      <alignment horizontal="center" vertical="center" wrapText="1"/>
    </xf>
    <xf numFmtId="3" fontId="18" fillId="0" borderId="107" xfId="0" applyNumberFormat="1" applyFont="1" applyBorder="1" applyAlignment="1">
      <alignment horizontal="center" vertical="center" wrapText="1"/>
    </xf>
    <xf numFmtId="3" fontId="18" fillId="0" borderId="89" xfId="0" applyNumberFormat="1" applyFont="1" applyBorder="1" applyAlignment="1">
      <alignment horizontal="center" vertical="center" wrapText="1"/>
    </xf>
    <xf numFmtId="3" fontId="18" fillId="0" borderId="5" xfId="0" applyNumberFormat="1" applyFont="1" applyBorder="1" applyAlignment="1">
      <alignment horizontal="center" vertical="center" wrapText="1"/>
    </xf>
    <xf numFmtId="3" fontId="18" fillId="0" borderId="26" xfId="0" applyNumberFormat="1" applyFont="1" applyBorder="1" applyAlignment="1">
      <alignment horizontal="center" vertical="center" wrapText="1"/>
    </xf>
    <xf numFmtId="177" fontId="18" fillId="0" borderId="108" xfId="0" applyNumberFormat="1" applyFont="1" applyBorder="1" applyAlignment="1">
      <alignment horizontal="center" vertical="center" wrapText="1"/>
    </xf>
    <xf numFmtId="3" fontId="18" fillId="0" borderId="6" xfId="0" applyNumberFormat="1" applyFont="1" applyBorder="1" applyAlignment="1">
      <alignment horizontal="center" vertical="top" wrapText="1"/>
    </xf>
    <xf numFmtId="3" fontId="18" fillId="0" borderId="36" xfId="0" applyNumberFormat="1" applyFont="1" applyBorder="1" applyAlignment="1">
      <alignment horizontal="center" vertical="top" wrapText="1"/>
    </xf>
    <xf numFmtId="177" fontId="18" fillId="0" borderId="109" xfId="0" applyNumberFormat="1" applyFont="1" applyBorder="1" applyAlignment="1">
      <alignment horizontal="center" vertical="top" wrapText="1"/>
    </xf>
    <xf numFmtId="177" fontId="18" fillId="0" borderId="110" xfId="0" applyNumberFormat="1" applyFont="1" applyBorder="1" applyAlignment="1">
      <alignment horizontal="center" vertical="top" wrapText="1"/>
    </xf>
    <xf numFmtId="3" fontId="18" fillId="0" borderId="2" xfId="0" applyNumberFormat="1" applyFont="1" applyBorder="1" applyAlignment="1">
      <alignment horizontal="right" vertical="center" wrapText="1"/>
    </xf>
    <xf numFmtId="3" fontId="18" fillId="0" borderId="103" xfId="0" applyNumberFormat="1" applyFont="1" applyBorder="1" applyAlignment="1">
      <alignment horizontal="right" vertical="center" wrapText="1"/>
    </xf>
    <xf numFmtId="3" fontId="18" fillId="4" borderId="111" xfId="0" applyNumberFormat="1" applyFont="1" applyFill="1" applyBorder="1" applyAlignment="1">
      <alignment horizontal="right" vertical="center" wrapText="1"/>
    </xf>
    <xf numFmtId="3" fontId="18" fillId="4" borderId="112" xfId="0" applyNumberFormat="1" applyFont="1" applyFill="1" applyBorder="1" applyAlignment="1">
      <alignment horizontal="right" vertical="center" wrapText="1"/>
    </xf>
    <xf numFmtId="3" fontId="18" fillId="4" borderId="113" xfId="0" applyNumberFormat="1" applyFont="1" applyFill="1" applyBorder="1" applyAlignment="1">
      <alignment horizontal="right" vertical="center" wrapText="1"/>
    </xf>
    <xf numFmtId="3" fontId="18" fillId="0" borderId="5" xfId="0" applyNumberFormat="1" applyFont="1" applyBorder="1" applyAlignment="1">
      <alignment horizontal="right" vertical="center" wrapText="1"/>
    </xf>
    <xf numFmtId="3" fontId="18" fillId="0" borderId="114" xfId="0" applyNumberFormat="1" applyFont="1" applyBorder="1" applyAlignment="1">
      <alignment horizontal="right" vertical="center" wrapText="1"/>
    </xf>
    <xf numFmtId="3" fontId="18" fillId="0" borderId="100" xfId="0" applyNumberFormat="1" applyFont="1" applyBorder="1" applyAlignment="1">
      <alignment horizontal="right" vertical="center" wrapText="1"/>
    </xf>
    <xf numFmtId="3" fontId="18" fillId="0" borderId="105" xfId="0" applyNumberFormat="1" applyFont="1" applyBorder="1" applyAlignment="1">
      <alignment horizontal="right" vertical="center" wrapText="1"/>
    </xf>
    <xf numFmtId="3" fontId="18" fillId="0" borderId="111" xfId="0" applyNumberFormat="1" applyFont="1" applyBorder="1" applyAlignment="1">
      <alignment horizontal="right" vertical="center" wrapText="1"/>
    </xf>
    <xf numFmtId="3" fontId="18" fillId="0" borderId="112" xfId="0" applyNumberFormat="1" applyFont="1" applyBorder="1" applyAlignment="1">
      <alignment horizontal="right" vertical="center" wrapText="1"/>
    </xf>
    <xf numFmtId="3" fontId="18" fillId="0" borderId="113" xfId="0" applyNumberFormat="1" applyFont="1" applyBorder="1" applyAlignment="1">
      <alignment horizontal="right" vertical="center" wrapText="1"/>
    </xf>
    <xf numFmtId="3" fontId="18" fillId="0" borderId="40" xfId="0" applyNumberFormat="1" applyFont="1" applyBorder="1" applyAlignment="1">
      <alignment horizontal="right" vertical="center" wrapText="1"/>
    </xf>
    <xf numFmtId="3" fontId="18" fillId="0" borderId="104" xfId="0" applyNumberFormat="1" applyFont="1" applyBorder="1" applyAlignment="1">
      <alignment horizontal="right" vertical="center" wrapText="1"/>
    </xf>
    <xf numFmtId="0" fontId="2" fillId="0" borderId="25" xfId="0" applyFont="1" applyBorder="1" applyAlignment="1">
      <alignment horizontal="right" vertical="top" wrapText="1"/>
    </xf>
    <xf numFmtId="0" fontId="2" fillId="0" borderId="115" xfId="0" applyFont="1" applyBorder="1" applyAlignment="1">
      <alignment horizontal="right" vertical="top" wrapText="1"/>
    </xf>
    <xf numFmtId="1" fontId="2" fillId="0" borderId="1" xfId="0" applyNumberFormat="1" applyFont="1" applyBorder="1" applyAlignment="1">
      <alignment horizontal="right" vertical="top" wrapText="1"/>
    </xf>
    <xf numFmtId="1" fontId="2" fillId="0" borderId="35" xfId="0" applyNumberFormat="1" applyFont="1" applyBorder="1" applyAlignment="1">
      <alignment horizontal="right" vertical="top" wrapText="1"/>
    </xf>
    <xf numFmtId="1" fontId="2" fillId="0" borderId="33" xfId="0" applyNumberFormat="1" applyFont="1" applyBorder="1" applyAlignment="1">
      <alignment horizontal="right" vertical="top" wrapText="1"/>
    </xf>
    <xf numFmtId="1" fontId="1" fillId="0" borderId="2" xfId="0" applyNumberFormat="1" applyFont="1" applyBorder="1" applyAlignment="1">
      <alignment horizontal="right" vertical="top" wrapText="1"/>
    </xf>
    <xf numFmtId="1" fontId="2" fillId="0" borderId="2" xfId="15" applyNumberFormat="1" applyFont="1" applyBorder="1" applyAlignment="1">
      <alignment horizontal="right" vertical="top" wrapText="1"/>
    </xf>
    <xf numFmtId="1" fontId="1" fillId="0" borderId="2" xfId="15" applyNumberFormat="1" applyFont="1" applyBorder="1" applyAlignment="1">
      <alignment horizontal="right" vertical="top" wrapText="1"/>
    </xf>
    <xf numFmtId="1" fontId="2" fillId="0" borderId="32" xfId="15" applyNumberFormat="1" applyFont="1" applyBorder="1" applyAlignment="1">
      <alignment horizontal="right" vertical="top" wrapText="1"/>
    </xf>
    <xf numFmtId="3" fontId="1" fillId="0" borderId="5" xfId="0" applyNumberFormat="1" applyFont="1" applyBorder="1" applyAlignment="1">
      <alignment horizontal="right" vertical="top" wrapText="1"/>
    </xf>
    <xf numFmtId="178" fontId="2" fillId="0" borderId="1" xfId="0" applyNumberFormat="1" applyFont="1" applyBorder="1" applyAlignment="1">
      <alignment horizontal="right" vertical="top" wrapText="1"/>
    </xf>
    <xf numFmtId="178" fontId="2" fillId="0" borderId="35" xfId="0" applyNumberFormat="1" applyFont="1" applyBorder="1" applyAlignment="1">
      <alignment horizontal="right" vertical="top" wrapText="1"/>
    </xf>
    <xf numFmtId="178" fontId="2" fillId="0" borderId="2" xfId="0" applyNumberFormat="1" applyFont="1" applyBorder="1" applyAlignment="1">
      <alignment horizontal="right" vertical="top" wrapText="1"/>
    </xf>
    <xf numFmtId="178" fontId="2" fillId="0" borderId="32" xfId="0" applyNumberFormat="1" applyFont="1" applyBorder="1" applyAlignment="1">
      <alignment horizontal="right" vertical="top" wrapText="1"/>
    </xf>
    <xf numFmtId="178" fontId="1" fillId="0" borderId="2" xfId="0" applyNumberFormat="1" applyFont="1" applyBorder="1" applyAlignment="1">
      <alignment horizontal="right" vertical="top" wrapText="1"/>
    </xf>
    <xf numFmtId="178" fontId="2" fillId="0" borderId="2" xfId="15" applyNumberFormat="1" applyFont="1" applyBorder="1" applyAlignment="1">
      <alignment horizontal="right" vertical="top" wrapText="1"/>
    </xf>
    <xf numFmtId="178" fontId="1" fillId="0" borderId="2" xfId="15" applyNumberFormat="1" applyFont="1" applyBorder="1" applyAlignment="1">
      <alignment horizontal="right" vertical="top" wrapText="1"/>
    </xf>
    <xf numFmtId="178" fontId="2" fillId="0" borderId="32" xfId="15" applyNumberFormat="1" applyFont="1" applyBorder="1" applyAlignment="1">
      <alignment horizontal="right" vertical="top" wrapText="1"/>
    </xf>
    <xf numFmtId="3" fontId="2" fillId="0" borderId="5" xfId="15" applyNumberFormat="1" applyFont="1" applyBorder="1" applyAlignment="1">
      <alignment horizontal="right" vertical="top" wrapText="1"/>
    </xf>
    <xf numFmtId="3" fontId="2" fillId="0" borderId="33" xfId="15" applyNumberFormat="1" applyFont="1" applyBorder="1" applyAlignment="1">
      <alignment horizontal="right" vertical="top" wrapText="1"/>
    </xf>
    <xf numFmtId="3" fontId="2" fillId="0" borderId="25" xfId="0" applyNumberFormat="1" applyFont="1" applyBorder="1" applyAlignment="1">
      <alignment horizontal="right" vertical="top" wrapText="1"/>
    </xf>
    <xf numFmtId="3" fontId="2" fillId="0" borderId="115" xfId="0" applyNumberFormat="1" applyFont="1" applyBorder="1" applyAlignment="1">
      <alignment horizontal="right" vertical="top" wrapText="1"/>
    </xf>
    <xf numFmtId="0" fontId="10" fillId="0" borderId="0" xfId="0" applyFont="1" applyAlignment="1">
      <alignment horizontal="justify"/>
    </xf>
    <xf numFmtId="0" fontId="16" fillId="0" borderId="0" xfId="0" applyFont="1" applyAlignment="1">
      <alignment horizontal="justify"/>
    </xf>
    <xf numFmtId="0" fontId="19" fillId="0" borderId="0" xfId="0" applyFont="1" applyAlignment="1">
      <alignment horizontal="justify"/>
    </xf>
    <xf numFmtId="0" fontId="1" fillId="0" borderId="0" xfId="0" applyFont="1" applyAlignment="1">
      <alignment horizontal="justify"/>
    </xf>
    <xf numFmtId="0" fontId="20" fillId="0" borderId="0" xfId="0" applyFont="1" applyAlignment="1">
      <alignment horizontal="justify"/>
    </xf>
    <xf numFmtId="3" fontId="2" fillId="4" borderId="10" xfId="0" applyNumberFormat="1" applyFont="1" applyFill="1" applyBorder="1" applyAlignment="1">
      <alignment horizontal="center" vertical="top" wrapText="1"/>
    </xf>
    <xf numFmtId="3" fontId="2" fillId="4" borderId="116"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3" fontId="16" fillId="0" borderId="85" xfId="0" applyNumberFormat="1" applyFont="1" applyBorder="1" applyAlignment="1">
      <alignment horizontal="right" vertical="top" wrapText="1"/>
    </xf>
    <xf numFmtId="3" fontId="6" fillId="0" borderId="75" xfId="15" applyNumberFormat="1" applyFont="1" applyBorder="1" applyAlignment="1">
      <alignment/>
    </xf>
    <xf numFmtId="3" fontId="2" fillId="0" borderId="75" xfId="15" applyNumberFormat="1" applyFont="1" applyBorder="1" applyAlignment="1">
      <alignment/>
    </xf>
    <xf numFmtId="3" fontId="2" fillId="0" borderId="65" xfId="15" applyNumberFormat="1" applyFont="1" applyBorder="1" applyAlignment="1">
      <alignment/>
    </xf>
    <xf numFmtId="3" fontId="2" fillId="0" borderId="66" xfId="0" applyNumberFormat="1" applyFont="1" applyBorder="1" applyAlignment="1">
      <alignment horizontal="center" vertical="top" wrapText="1"/>
    </xf>
    <xf numFmtId="3" fontId="2" fillId="4" borderId="64" xfId="0" applyNumberFormat="1" applyFont="1" applyFill="1" applyBorder="1" applyAlignment="1">
      <alignment horizontal="center" vertical="top" wrapText="1"/>
    </xf>
    <xf numFmtId="10" fontId="0" fillId="0" borderId="0" xfId="24" applyNumberFormat="1" applyAlignment="1">
      <alignment/>
    </xf>
    <xf numFmtId="3" fontId="2" fillId="0" borderId="0" xfId="0" applyNumberFormat="1" applyFont="1" applyBorder="1" applyAlignment="1">
      <alignment horizontal="center" vertical="top" wrapText="1"/>
    </xf>
    <xf numFmtId="3" fontId="0" fillId="0" borderId="117" xfId="0" applyNumberFormat="1" applyBorder="1" applyAlignment="1">
      <alignment/>
    </xf>
    <xf numFmtId="3" fontId="21" fillId="5" borderId="117" xfId="0" applyNumberFormat="1" applyFont="1" applyFill="1" applyBorder="1" applyAlignment="1">
      <alignment horizontal="center" vertical="top" wrapText="1"/>
    </xf>
    <xf numFmtId="3" fontId="2" fillId="0" borderId="117" xfId="0" applyNumberFormat="1" applyFont="1" applyBorder="1" applyAlignment="1">
      <alignment horizontal="center" vertical="top" wrapText="1"/>
    </xf>
    <xf numFmtId="0" fontId="21" fillId="5" borderId="118" xfId="0" applyFont="1" applyFill="1" applyBorder="1" applyAlignment="1">
      <alignment horizontal="center" vertical="top" wrapText="1"/>
    </xf>
    <xf numFmtId="3" fontId="2" fillId="5" borderId="119" xfId="0" applyNumberFormat="1" applyFont="1" applyFill="1" applyBorder="1" applyAlignment="1">
      <alignment horizontal="center" vertical="top" wrapText="1"/>
    </xf>
    <xf numFmtId="3" fontId="22" fillId="0" borderId="117" xfId="0" applyNumberFormat="1" applyFont="1" applyBorder="1" applyAlignment="1">
      <alignment horizontal="right"/>
    </xf>
    <xf numFmtId="3" fontId="22" fillId="0" borderId="0" xfId="0" applyNumberFormat="1" applyFont="1" applyAlignment="1">
      <alignment horizontal="right"/>
    </xf>
    <xf numFmtId="3" fontId="22" fillId="0" borderId="0" xfId="15" applyNumberFormat="1" applyFont="1" applyAlignment="1">
      <alignment horizontal="right"/>
    </xf>
    <xf numFmtId="9" fontId="2" fillId="0" borderId="0" xfId="24" applyFont="1" applyBorder="1" applyAlignment="1">
      <alignment horizontal="center" vertical="top" wrapText="1"/>
    </xf>
    <xf numFmtId="174" fontId="2" fillId="0" borderId="0" xfId="24" applyNumberFormat="1" applyFont="1" applyBorder="1" applyAlignment="1">
      <alignment horizontal="center" vertical="top" wrapText="1"/>
    </xf>
    <xf numFmtId="10" fontId="2" fillId="0" borderId="0" xfId="24" applyNumberFormat="1" applyFont="1" applyBorder="1" applyAlignment="1">
      <alignment horizontal="right"/>
    </xf>
    <xf numFmtId="3" fontId="23" fillId="0" borderId="1" xfId="0" applyNumberFormat="1" applyFont="1" applyBorder="1" applyAlignment="1">
      <alignment horizontal="center" vertical="top" wrapText="1"/>
    </xf>
    <xf numFmtId="0" fontId="2" fillId="2" borderId="41" xfId="0" applyFont="1" applyFill="1" applyBorder="1" applyAlignment="1">
      <alignment horizontal="left" vertical="top" wrapText="1"/>
    </xf>
    <xf numFmtId="4" fontId="2" fillId="0" borderId="1" xfId="0" applyNumberFormat="1" applyFont="1" applyBorder="1" applyAlignment="1">
      <alignment horizontal="center" vertical="top" wrapText="1"/>
    </xf>
    <xf numFmtId="2" fontId="24" fillId="0" borderId="0" xfId="0" applyNumberFormat="1" applyFont="1" applyBorder="1" applyAlignment="1">
      <alignment horizontal="right"/>
    </xf>
    <xf numFmtId="2" fontId="24" fillId="0" borderId="0" xfId="0" applyNumberFormat="1" applyFont="1" applyAlignment="1">
      <alignment horizontal="right"/>
    </xf>
    <xf numFmtId="2" fontId="24" fillId="0" borderId="0" xfId="0" applyNumberFormat="1" applyFont="1" applyFill="1" applyBorder="1" applyAlignment="1">
      <alignment horizontal="right"/>
    </xf>
    <xf numFmtId="174" fontId="2" fillId="0" borderId="1" xfId="24" applyNumberFormat="1" applyFont="1" applyBorder="1" applyAlignment="1">
      <alignment horizontal="center" vertical="top" wrapText="1"/>
    </xf>
    <xf numFmtId="0" fontId="0" fillId="0" borderId="21" xfId="0" applyBorder="1" applyAlignment="1">
      <alignment/>
    </xf>
    <xf numFmtId="0" fontId="0" fillId="0" borderId="0" xfId="0" applyBorder="1" applyAlignment="1">
      <alignment/>
    </xf>
    <xf numFmtId="44" fontId="0" fillId="0" borderId="0" xfId="20" applyBorder="1" applyAlignment="1">
      <alignment/>
    </xf>
    <xf numFmtId="0" fontId="0" fillId="0" borderId="19" xfId="0" applyBorder="1" applyAlignment="1">
      <alignment/>
    </xf>
    <xf numFmtId="174" fontId="0" fillId="0" borderId="0" xfId="24" applyNumberFormat="1" applyBorder="1" applyAlignment="1">
      <alignment/>
    </xf>
    <xf numFmtId="9" fontId="29" fillId="0" borderId="0" xfId="24" applyFont="1" applyBorder="1" applyAlignment="1">
      <alignment/>
    </xf>
    <xf numFmtId="9" fontId="0" fillId="0" borderId="0" xfId="24" applyBorder="1" applyAlignment="1">
      <alignment/>
    </xf>
    <xf numFmtId="44" fontId="0" fillId="0" borderId="0" xfId="20" applyAlignment="1">
      <alignment/>
    </xf>
    <xf numFmtId="44" fontId="28" fillId="0" borderId="0" xfId="20" applyFont="1" applyBorder="1" applyAlignment="1">
      <alignment/>
    </xf>
    <xf numFmtId="9" fontId="0" fillId="0" borderId="19" xfId="0" applyNumberFormat="1" applyBorder="1" applyAlignment="1">
      <alignment/>
    </xf>
    <xf numFmtId="190" fontId="0" fillId="0" borderId="120" xfId="20" applyNumberFormat="1" applyBorder="1" applyAlignment="1">
      <alignment/>
    </xf>
    <xf numFmtId="3" fontId="0" fillId="0" borderId="121" xfId="0" applyNumberFormat="1" applyBorder="1" applyAlignment="1">
      <alignment/>
    </xf>
    <xf numFmtId="3" fontId="13" fillId="0" borderId="122" xfId="22" applyNumberFormat="1" applyBorder="1" applyAlignment="1">
      <alignment/>
    </xf>
    <xf numFmtId="0" fontId="7" fillId="0" borderId="0" xfId="0" applyFont="1" applyAlignment="1">
      <alignment/>
    </xf>
    <xf numFmtId="0" fontId="2" fillId="0" borderId="0" xfId="0" applyFont="1" applyFill="1" applyBorder="1" applyAlignment="1">
      <alignment horizontal="center" vertical="top" wrapText="1"/>
    </xf>
    <xf numFmtId="0" fontId="2" fillId="0" borderId="117" xfId="0" applyFont="1" applyFill="1" applyBorder="1" applyAlignment="1">
      <alignment horizontal="center" vertical="top" wrapText="1"/>
    </xf>
    <xf numFmtId="0" fontId="2" fillId="0" borderId="7" xfId="0" applyFont="1" applyBorder="1" applyAlignment="1">
      <alignment horizontal="center" vertical="top" wrapText="1"/>
    </xf>
    <xf numFmtId="0" fontId="1" fillId="0" borderId="7" xfId="0" applyFont="1" applyBorder="1" applyAlignment="1">
      <alignment horizontal="center" vertical="top" wrapText="1"/>
    </xf>
    <xf numFmtId="0" fontId="2" fillId="0" borderId="51" xfId="0" applyFont="1" applyBorder="1" applyAlignment="1">
      <alignment horizontal="center" vertical="top" wrapText="1"/>
    </xf>
    <xf numFmtId="0" fontId="0" fillId="0" borderId="123" xfId="0" applyFont="1" applyBorder="1" applyAlignment="1">
      <alignment horizontal="left" vertical="center" wrapText="1"/>
    </xf>
    <xf numFmtId="0" fontId="0" fillId="0" borderId="124" xfId="0" applyFont="1" applyFill="1" applyBorder="1" applyAlignment="1">
      <alignment horizontal="left" vertical="center" wrapText="1"/>
    </xf>
    <xf numFmtId="0" fontId="2" fillId="5" borderId="125" xfId="0" applyFont="1" applyFill="1" applyBorder="1" applyAlignment="1">
      <alignment horizontal="center" vertical="top" wrapText="1"/>
    </xf>
    <xf numFmtId="3" fontId="21" fillId="5" borderId="125" xfId="0" applyNumberFormat="1" applyFont="1" applyFill="1" applyBorder="1" applyAlignment="1">
      <alignment horizontal="center" vertical="top" wrapText="1"/>
    </xf>
    <xf numFmtId="9" fontId="2" fillId="0" borderId="125" xfId="24" applyFont="1" applyBorder="1" applyAlignment="1">
      <alignment horizontal="center" vertical="top" wrapText="1"/>
    </xf>
    <xf numFmtId="0" fontId="2" fillId="3" borderId="126" xfId="0" applyFont="1" applyFill="1" applyBorder="1" applyAlignment="1">
      <alignment horizontal="center" vertical="top" wrapText="1"/>
    </xf>
    <xf numFmtId="4" fontId="2" fillId="0" borderId="45" xfId="0" applyNumberFormat="1" applyFont="1" applyBorder="1" applyAlignment="1">
      <alignment horizontal="center" vertical="top" wrapText="1"/>
    </xf>
    <xf numFmtId="174" fontId="2" fillId="0" borderId="45" xfId="24" applyNumberFormat="1" applyFont="1" applyBorder="1" applyAlignment="1">
      <alignment horizontal="center" vertical="top" wrapText="1"/>
    </xf>
    <xf numFmtId="3" fontId="23" fillId="0" borderId="45" xfId="0" applyNumberFormat="1" applyFont="1" applyBorder="1" applyAlignment="1">
      <alignment horizontal="center" vertical="top" wrapText="1"/>
    </xf>
    <xf numFmtId="0" fontId="0" fillId="0" borderId="0" xfId="0" applyAlignment="1">
      <alignment vertical="center" wrapText="1"/>
    </xf>
    <xf numFmtId="0" fontId="32" fillId="0" borderId="0" xfId="0" applyFont="1" applyAlignment="1">
      <alignment horizontal="right" vertical="center" wrapText="1"/>
    </xf>
    <xf numFmtId="14" fontId="32" fillId="0" borderId="0" xfId="0" applyNumberFormat="1" applyFont="1" applyAlignment="1">
      <alignment horizontal="left" vertical="center" wrapText="1"/>
    </xf>
    <xf numFmtId="0" fontId="0" fillId="0" borderId="127" xfId="0" applyFont="1" applyBorder="1" applyAlignment="1">
      <alignment horizontal="left" vertical="center" wrapText="1"/>
    </xf>
    <xf numFmtId="0" fontId="7" fillId="0" borderId="128"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124" xfId="0" applyFont="1" applyBorder="1" applyAlignment="1">
      <alignment horizontal="left" vertical="center" wrapText="1"/>
    </xf>
    <xf numFmtId="14" fontId="0" fillId="0" borderId="131" xfId="0" applyNumberFormat="1" applyFont="1" applyBorder="1" applyAlignment="1">
      <alignment horizontal="left" vertical="center" wrapText="1"/>
    </xf>
    <xf numFmtId="0" fontId="0" fillId="0" borderId="131" xfId="0" applyFont="1" applyBorder="1" applyAlignment="1">
      <alignment horizontal="left" vertical="center" wrapText="1"/>
    </xf>
    <xf numFmtId="0" fontId="0" fillId="0" borderId="130" xfId="0" applyFont="1" applyBorder="1" applyAlignment="1">
      <alignment horizontal="justify" vertical="center" wrapText="1"/>
    </xf>
    <xf numFmtId="0" fontId="0" fillId="0" borderId="132" xfId="0" applyFont="1" applyBorder="1" applyAlignment="1">
      <alignment horizontal="left" vertical="center" wrapText="1"/>
    </xf>
    <xf numFmtId="0" fontId="13" fillId="0" borderId="132" xfId="22" applyBorder="1" applyAlignment="1">
      <alignment vertical="center" wrapText="1"/>
    </xf>
    <xf numFmtId="0" fontId="0" fillId="0" borderId="132" xfId="0" applyFont="1" applyBorder="1" applyAlignment="1">
      <alignment vertical="center" wrapText="1"/>
    </xf>
    <xf numFmtId="0" fontId="13" fillId="0" borderId="132" xfId="22" applyFill="1" applyBorder="1" applyAlignment="1">
      <alignment horizontal="justify" vertical="center" wrapText="1"/>
    </xf>
    <xf numFmtId="0" fontId="0" fillId="0" borderId="132" xfId="0" applyBorder="1" applyAlignment="1">
      <alignment vertical="center" wrapText="1"/>
    </xf>
    <xf numFmtId="0" fontId="0" fillId="0" borderId="132" xfId="0" applyNumberFormat="1" applyBorder="1" applyAlignment="1">
      <alignment vertical="center" wrapText="1"/>
    </xf>
    <xf numFmtId="0" fontId="13" fillId="0" borderId="132" xfId="22" applyNumberFormat="1" applyBorder="1" applyAlignment="1">
      <alignment vertical="center" wrapText="1"/>
    </xf>
    <xf numFmtId="0" fontId="0" fillId="0" borderId="133" xfId="0" applyBorder="1" applyAlignment="1">
      <alignment vertical="center" wrapText="1"/>
    </xf>
    <xf numFmtId="0" fontId="35" fillId="0" borderId="0" xfId="0" applyFont="1" applyAlignment="1">
      <alignment vertical="center"/>
    </xf>
    <xf numFmtId="0" fontId="36" fillId="0" borderId="0" xfId="0" applyFont="1" applyAlignment="1">
      <alignment vertical="center" wrapText="1"/>
    </xf>
    <xf numFmtId="0" fontId="0" fillId="0" borderId="0" xfId="0" applyAlignment="1">
      <alignment horizontal="left" vertical="center" wrapText="1"/>
    </xf>
    <xf numFmtId="0" fontId="29" fillId="0" borderId="134"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37" fillId="0" borderId="136" xfId="0" applyFont="1" applyBorder="1" applyAlignment="1">
      <alignment horizontal="center" vertical="center" wrapText="1"/>
    </xf>
    <xf numFmtId="0" fontId="0" fillId="0" borderId="0" xfId="0" applyFont="1" applyAlignment="1">
      <alignment vertical="center" wrapText="1"/>
    </xf>
    <xf numFmtId="0" fontId="0" fillId="0" borderId="137" xfId="0" applyFill="1" applyBorder="1" applyAlignment="1">
      <alignment vertical="center" wrapText="1"/>
    </xf>
    <xf numFmtId="0" fontId="0" fillId="0" borderId="0" xfId="0" applyBorder="1" applyAlignment="1">
      <alignment vertical="center" wrapText="1"/>
    </xf>
    <xf numFmtId="9" fontId="29" fillId="6" borderId="138" xfId="0" applyNumberFormat="1" applyFont="1" applyFill="1" applyBorder="1" applyAlignment="1">
      <alignment horizontal="center" vertical="center" wrapText="1"/>
    </xf>
    <xf numFmtId="9" fontId="0" fillId="0" borderId="137" xfId="0" applyNumberFormat="1" applyBorder="1" applyAlignment="1">
      <alignment horizontal="center" vertical="center" wrapText="1"/>
    </xf>
    <xf numFmtId="0" fontId="0" fillId="0" borderId="121" xfId="0" applyBorder="1" applyAlignment="1">
      <alignment horizontal="center" vertical="center" wrapText="1"/>
    </xf>
    <xf numFmtId="9" fontId="0" fillId="2" borderId="137" xfId="0" applyNumberFormat="1" applyFont="1" applyFill="1" applyBorder="1" applyAlignment="1">
      <alignment horizontal="center" vertical="center" wrapText="1"/>
    </xf>
    <xf numFmtId="0" fontId="38" fillId="0" borderId="27" xfId="0" applyFont="1" applyFill="1" applyBorder="1" applyAlignment="1">
      <alignment horizontal="center" vertical="center" wrapText="1"/>
    </xf>
    <xf numFmtId="0" fontId="0" fillId="0" borderId="27" xfId="0" applyFill="1" applyBorder="1" applyAlignment="1">
      <alignment vertical="center" wrapText="1"/>
    </xf>
    <xf numFmtId="0" fontId="0" fillId="0" borderId="19" xfId="0" applyBorder="1" applyAlignment="1">
      <alignment vertical="center" wrapText="1"/>
    </xf>
    <xf numFmtId="9" fontId="29" fillId="6" borderId="139" xfId="0" applyNumberFormat="1" applyFont="1" applyFill="1" applyBorder="1" applyAlignment="1">
      <alignment horizontal="center" vertical="center" wrapText="1"/>
    </xf>
    <xf numFmtId="9" fontId="0" fillId="0" borderId="27" xfId="0" applyNumberFormat="1" applyBorder="1" applyAlignment="1">
      <alignment horizontal="center" vertical="center" wrapText="1"/>
    </xf>
    <xf numFmtId="0" fontId="0" fillId="0" borderId="122" xfId="0" applyBorder="1" applyAlignment="1">
      <alignment horizontal="center" vertical="center" wrapText="1"/>
    </xf>
    <xf numFmtId="9" fontId="0" fillId="2" borderId="27" xfId="0" applyNumberFormat="1" applyFont="1" applyFill="1" applyBorder="1" applyAlignment="1">
      <alignment horizontal="center" vertical="center" wrapText="1"/>
    </xf>
    <xf numFmtId="0" fontId="39" fillId="0" borderId="0" xfId="0" applyFont="1" applyAlignment="1">
      <alignment horizontal="center" vertical="center" wrapText="1"/>
    </xf>
    <xf numFmtId="0" fontId="7" fillId="0" borderId="21" xfId="0" applyFont="1" applyFill="1" applyBorder="1" applyAlignment="1">
      <alignment vertical="center" wrapText="1"/>
    </xf>
    <xf numFmtId="0" fontId="0" fillId="0" borderId="140" xfId="0" applyBorder="1" applyAlignment="1">
      <alignment vertical="center" wrapText="1"/>
    </xf>
    <xf numFmtId="1" fontId="0" fillId="0" borderId="140" xfId="23" applyNumberFormat="1" applyFont="1" applyBorder="1" applyAlignment="1">
      <alignment horizontal="center" vertical="center" wrapText="1"/>
      <protection/>
    </xf>
    <xf numFmtId="9" fontId="0" fillId="2" borderId="136" xfId="24" applyNumberFormat="1" applyFont="1" applyFill="1" applyBorder="1" applyAlignment="1">
      <alignment horizontal="center" vertical="center" wrapText="1"/>
    </xf>
    <xf numFmtId="0" fontId="7" fillId="0" borderId="26" xfId="0" applyFont="1" applyBorder="1" applyAlignment="1">
      <alignment horizontal="left" vertical="center" wrapText="1"/>
    </xf>
    <xf numFmtId="0" fontId="0" fillId="0" borderId="138" xfId="0" applyBorder="1" applyAlignment="1">
      <alignment vertical="center" wrapText="1"/>
    </xf>
    <xf numFmtId="9" fontId="0" fillId="0" borderId="0" xfId="24" applyNumberFormat="1" applyBorder="1" applyAlignment="1">
      <alignment horizontal="center" vertical="center" wrapText="1"/>
    </xf>
    <xf numFmtId="1" fontId="0" fillId="0" borderId="138" xfId="23" applyNumberFormat="1" applyFont="1" applyBorder="1" applyAlignment="1">
      <alignment horizontal="center" vertical="center" wrapText="1"/>
      <protection/>
    </xf>
    <xf numFmtId="9" fontId="0" fillId="2" borderId="137" xfId="24" applyNumberFormat="1" applyFont="1" applyFill="1" applyBorder="1" applyAlignment="1">
      <alignment horizontal="center" vertical="center" wrapText="1"/>
    </xf>
    <xf numFmtId="0" fontId="12" fillId="0" borderId="137" xfId="22" applyFont="1" applyBorder="1" applyAlignment="1">
      <alignment vertical="center" wrapText="1"/>
    </xf>
    <xf numFmtId="0" fontId="0" fillId="0" borderId="139" xfId="0" applyBorder="1" applyAlignment="1">
      <alignment vertical="center" wrapText="1"/>
    </xf>
    <xf numFmtId="9" fontId="0" fillId="0" borderId="19" xfId="24" applyBorder="1" applyAlignment="1">
      <alignment horizontal="center" vertical="center" wrapText="1"/>
    </xf>
    <xf numFmtId="0" fontId="0" fillId="0" borderId="139" xfId="23" applyFont="1" applyBorder="1" applyAlignment="1">
      <alignment horizontal="center" vertical="center" wrapText="1"/>
      <protection/>
    </xf>
    <xf numFmtId="9" fontId="0" fillId="2" borderId="27" xfId="24" applyNumberFormat="1" applyFont="1" applyFill="1" applyBorder="1" applyAlignment="1">
      <alignment horizontal="center" vertical="center" wrapText="1"/>
    </xf>
    <xf numFmtId="0" fontId="12" fillId="0" borderId="27" xfId="22" applyFont="1" applyBorder="1" applyAlignment="1">
      <alignment vertical="center" wrapText="1"/>
    </xf>
    <xf numFmtId="0" fontId="7" fillId="0" borderId="0" xfId="0" applyFont="1" applyFill="1" applyAlignment="1">
      <alignment horizontal="left" vertical="center" wrapText="1"/>
    </xf>
    <xf numFmtId="0" fontId="7" fillId="0" borderId="0" xfId="0" applyFont="1" applyAlignment="1">
      <alignment horizontal="right" vertical="center" wrapText="1"/>
    </xf>
    <xf numFmtId="174" fontId="41" fillId="7" borderId="26" xfId="24" applyNumberFormat="1" applyFont="1" applyFill="1" applyBorder="1" applyAlignment="1">
      <alignment horizontal="center" vertical="center" wrapText="1"/>
    </xf>
    <xf numFmtId="174" fontId="41" fillId="0" borderId="0" xfId="24" applyNumberFormat="1" applyFont="1" applyFill="1" applyBorder="1" applyAlignment="1">
      <alignment horizontal="center" vertical="center" wrapText="1"/>
    </xf>
    <xf numFmtId="174" fontId="7" fillId="0" borderId="26" xfId="0" applyNumberFormat="1" applyFont="1" applyBorder="1" applyAlignment="1">
      <alignment horizontal="center" vertical="center" wrapText="1"/>
    </xf>
    <xf numFmtId="174" fontId="7" fillId="0" borderId="0" xfId="0" applyNumberFormat="1" applyFont="1" applyBorder="1" applyAlignment="1">
      <alignment horizontal="center" vertical="center" wrapText="1"/>
    </xf>
    <xf numFmtId="0" fontId="33" fillId="0" borderId="0" xfId="0" applyFont="1" applyAlignment="1">
      <alignment vertical="center" wrapText="1"/>
    </xf>
    <xf numFmtId="0" fontId="35" fillId="0" borderId="0" xfId="0" applyFont="1" applyAlignment="1">
      <alignment vertical="center" wrapText="1"/>
    </xf>
    <xf numFmtId="0" fontId="7" fillId="0" borderId="0" xfId="0" applyFont="1" applyAlignment="1">
      <alignment vertical="center" wrapText="1"/>
    </xf>
    <xf numFmtId="0" fontId="0" fillId="0" borderId="0" xfId="0" applyFont="1" applyBorder="1" applyAlignment="1">
      <alignment horizontal="justify" vertical="center" wrapText="1"/>
    </xf>
    <xf numFmtId="0" fontId="0" fillId="0" borderId="0" xfId="0" applyAlignment="1">
      <alignment vertical="top" wrapText="1"/>
    </xf>
    <xf numFmtId="0" fontId="27" fillId="0" borderId="138" xfId="0" applyFont="1" applyBorder="1" applyAlignment="1">
      <alignment vertical="center" wrapText="1"/>
    </xf>
    <xf numFmtId="0" fontId="27" fillId="0" borderId="140" xfId="0" applyFont="1" applyBorder="1" applyAlignment="1">
      <alignment vertical="center" wrapText="1"/>
    </xf>
    <xf numFmtId="0" fontId="27" fillId="0" borderId="139" xfId="0" applyFont="1" applyBorder="1" applyAlignment="1">
      <alignment vertical="center" wrapText="1"/>
    </xf>
    <xf numFmtId="9" fontId="29" fillId="6" borderId="136" xfId="24" applyFont="1" applyFill="1" applyBorder="1" applyAlignment="1">
      <alignment horizontal="center" vertical="center" wrapText="1"/>
    </xf>
    <xf numFmtId="9" fontId="29" fillId="6" borderId="137" xfId="24" applyFont="1" applyFill="1" applyBorder="1" applyAlignment="1">
      <alignment horizontal="center" vertical="center" wrapText="1"/>
    </xf>
    <xf numFmtId="9" fontId="29" fillId="6" borderId="27" xfId="24" applyFont="1" applyFill="1" applyBorder="1" applyAlignment="1">
      <alignment horizontal="center" vertical="center" wrapText="1"/>
    </xf>
    <xf numFmtId="9" fontId="0" fillId="0" borderId="136" xfId="24" applyFont="1" applyFill="1" applyBorder="1" applyAlignment="1">
      <alignment horizontal="center" vertical="center" wrapText="1"/>
    </xf>
    <xf numFmtId="9" fontId="0" fillId="0" borderId="121" xfId="24" applyNumberFormat="1" applyBorder="1" applyAlignment="1">
      <alignment/>
    </xf>
    <xf numFmtId="0" fontId="0" fillId="0" borderId="141" xfId="0" applyBorder="1" applyAlignment="1">
      <alignment/>
    </xf>
    <xf numFmtId="0" fontId="0" fillId="0" borderId="142" xfId="0" applyBorder="1" applyAlignment="1">
      <alignment/>
    </xf>
    <xf numFmtId="0" fontId="0" fillId="0" borderId="143" xfId="0" applyBorder="1" applyAlignment="1">
      <alignment/>
    </xf>
    <xf numFmtId="0" fontId="0" fillId="0" borderId="144" xfId="0" applyBorder="1" applyAlignment="1">
      <alignment/>
    </xf>
    <xf numFmtId="0" fontId="0" fillId="0" borderId="70" xfId="0" applyBorder="1" applyAlignment="1">
      <alignmen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174" fontId="0" fillId="0" borderId="24" xfId="24" applyNumberFormat="1" applyBorder="1" applyAlignment="1">
      <alignment/>
    </xf>
    <xf numFmtId="0" fontId="0" fillId="0" borderId="148" xfId="0" applyBorder="1" applyAlignment="1">
      <alignment/>
    </xf>
    <xf numFmtId="0" fontId="25" fillId="0" borderId="141" xfId="0" applyFont="1" applyBorder="1" applyAlignment="1">
      <alignment/>
    </xf>
    <xf numFmtId="44" fontId="0" fillId="0" borderId="145" xfId="20" applyBorder="1" applyAlignment="1">
      <alignment/>
    </xf>
    <xf numFmtId="44" fontId="0" fillId="0" borderId="146" xfId="20" applyBorder="1" applyAlignment="1">
      <alignment/>
    </xf>
    <xf numFmtId="0" fontId="0" fillId="0" borderId="24" xfId="0" applyBorder="1" applyAlignment="1">
      <alignment/>
    </xf>
    <xf numFmtId="0" fontId="26" fillId="0" borderId="141" xfId="0" applyFont="1" applyBorder="1" applyAlignment="1">
      <alignment/>
    </xf>
    <xf numFmtId="0" fontId="27" fillId="0" borderId="145" xfId="0" applyFont="1" applyBorder="1" applyAlignment="1">
      <alignment/>
    </xf>
    <xf numFmtId="0" fontId="0" fillId="0" borderId="149" xfId="0" applyBorder="1" applyAlignment="1">
      <alignment/>
    </xf>
    <xf numFmtId="0" fontId="0" fillId="0" borderId="69" xfId="0" applyBorder="1" applyAlignment="1">
      <alignment/>
    </xf>
    <xf numFmtId="188" fontId="0" fillId="0" borderId="0" xfId="17" applyNumberFormat="1" applyFont="1" applyBorder="1" applyAlignment="1">
      <alignment/>
    </xf>
    <xf numFmtId="188" fontId="0" fillId="0" borderId="146" xfId="17" applyNumberFormat="1" applyFont="1" applyBorder="1" applyAlignment="1">
      <alignment/>
    </xf>
    <xf numFmtId="188" fontId="0" fillId="0" borderId="0" xfId="0" applyNumberFormat="1" applyBorder="1" applyAlignment="1">
      <alignment/>
    </xf>
    <xf numFmtId="188" fontId="0" fillId="0" borderId="146" xfId="0" applyNumberFormat="1" applyBorder="1" applyAlignment="1">
      <alignment/>
    </xf>
    <xf numFmtId="190" fontId="0" fillId="0" borderId="0" xfId="0" applyNumberFormat="1" applyBorder="1" applyAlignment="1">
      <alignment/>
    </xf>
    <xf numFmtId="43" fontId="0" fillId="0" borderId="0" xfId="0" applyNumberFormat="1" applyBorder="1" applyAlignment="1">
      <alignment/>
    </xf>
    <xf numFmtId="43" fontId="0" fillId="0" borderId="146" xfId="0" applyNumberFormat="1" applyBorder="1" applyAlignment="1">
      <alignment/>
    </xf>
    <xf numFmtId="0" fontId="28" fillId="0" borderId="0" xfId="0" applyFont="1" applyBorder="1" applyAlignment="1">
      <alignment/>
    </xf>
    <xf numFmtId="174" fontId="28" fillId="0" borderId="0" xfId="0" applyNumberFormat="1" applyFont="1" applyBorder="1" applyAlignment="1">
      <alignment/>
    </xf>
    <xf numFmtId="0" fontId="7" fillId="0" borderId="145" xfId="0" applyFont="1" applyBorder="1" applyAlignment="1">
      <alignment/>
    </xf>
    <xf numFmtId="0" fontId="7" fillId="0" borderId="0" xfId="0" applyFont="1" applyBorder="1" applyAlignment="1">
      <alignment/>
    </xf>
    <xf numFmtId="203" fontId="7" fillId="0" borderId="0" xfId="18" applyNumberFormat="1" applyFont="1" applyBorder="1" applyAlignment="1">
      <alignment/>
    </xf>
    <xf numFmtId="0" fontId="3" fillId="2" borderId="150" xfId="0" applyFont="1" applyFill="1" applyBorder="1" applyAlignment="1">
      <alignment horizontal="left" vertical="top" wrapText="1"/>
    </xf>
    <xf numFmtId="3" fontId="2" fillId="0" borderId="109" xfId="0" applyNumberFormat="1" applyFont="1" applyBorder="1" applyAlignment="1">
      <alignment horizontal="center" vertical="top" wrapText="1"/>
    </xf>
    <xf numFmtId="3" fontId="2" fillId="0" borderId="151" xfId="0" applyNumberFormat="1" applyFont="1" applyBorder="1" applyAlignment="1">
      <alignment horizontal="center" vertical="top" wrapText="1"/>
    </xf>
    <xf numFmtId="0" fontId="3" fillId="2" borderId="111" xfId="0" applyFont="1" applyFill="1" applyBorder="1" applyAlignment="1">
      <alignment horizontal="left" vertical="top" wrapText="1"/>
    </xf>
    <xf numFmtId="3" fontId="2" fillId="0" borderId="152" xfId="0" applyNumberFormat="1" applyFont="1" applyBorder="1" applyAlignment="1">
      <alignment horizontal="center" vertical="top" wrapText="1"/>
    </xf>
    <xf numFmtId="3" fontId="2" fillId="0" borderId="112" xfId="0" applyNumberFormat="1" applyFont="1" applyBorder="1" applyAlignment="1">
      <alignment horizontal="center" vertical="top" wrapText="1"/>
    </xf>
    <xf numFmtId="3" fontId="2" fillId="0" borderId="113" xfId="0" applyNumberFormat="1" applyFont="1" applyBorder="1" applyAlignment="1">
      <alignment horizontal="center" vertical="top" wrapText="1"/>
    </xf>
    <xf numFmtId="0" fontId="3" fillId="0" borderId="0" xfId="0" applyFont="1" applyAlignment="1">
      <alignment/>
    </xf>
    <xf numFmtId="0" fontId="17" fillId="0" borderId="0" xfId="22" applyFont="1" applyAlignment="1">
      <alignment horizontal="left" indent="2"/>
    </xf>
    <xf numFmtId="0" fontId="15" fillId="0" borderId="0" xfId="22" applyFont="1" applyAlignment="1">
      <alignment/>
    </xf>
    <xf numFmtId="0" fontId="43" fillId="0" borderId="0" xfId="0" applyFont="1" applyAlignment="1">
      <alignment horizontal="left" indent="2"/>
    </xf>
    <xf numFmtId="0" fontId="43" fillId="0" borderId="0" xfId="0" applyFont="1" applyAlignment="1">
      <alignment/>
    </xf>
    <xf numFmtId="0" fontId="0" fillId="0" borderId="153" xfId="0" applyFont="1" applyBorder="1" applyAlignment="1">
      <alignment vertical="center" wrapText="1"/>
    </xf>
    <xf numFmtId="0" fontId="0" fillId="0" borderId="154" xfId="0" applyFont="1" applyBorder="1" applyAlignment="1">
      <alignment vertical="center" wrapText="1"/>
    </xf>
    <xf numFmtId="190" fontId="0" fillId="0" borderId="146" xfId="0" applyNumberFormat="1" applyBorder="1" applyAlignment="1">
      <alignment/>
    </xf>
    <xf numFmtId="203" fontId="7" fillId="0" borderId="146" xfId="18" applyNumberFormat="1" applyFont="1" applyBorder="1" applyAlignment="1">
      <alignment/>
    </xf>
    <xf numFmtId="0" fontId="0" fillId="0" borderId="129" xfId="0" applyBorder="1" applyAlignment="1">
      <alignment horizontal="center" vertical="center" wrapText="1"/>
    </xf>
    <xf numFmtId="0" fontId="0" fillId="0" borderId="155" xfId="0" applyBorder="1" applyAlignment="1">
      <alignment horizontal="center" vertical="center" wrapText="1"/>
    </xf>
    <xf numFmtId="0" fontId="33" fillId="0" borderId="0" xfId="0" applyFont="1" applyAlignment="1">
      <alignment horizontal="center" vertical="center" wrapText="1"/>
    </xf>
    <xf numFmtId="0" fontId="0" fillId="0" borderId="129" xfId="0" applyFont="1" applyFill="1" applyBorder="1" applyAlignment="1">
      <alignment horizontal="left" vertical="top" wrapText="1"/>
    </xf>
    <xf numFmtId="0" fontId="0" fillId="0" borderId="123" xfId="0" applyFont="1" applyBorder="1" applyAlignment="1">
      <alignment horizontal="left" vertical="center" wrapText="1"/>
    </xf>
    <xf numFmtId="0" fontId="0" fillId="0" borderId="156" xfId="0" applyFont="1" applyBorder="1" applyAlignment="1">
      <alignment horizontal="left" vertical="center" wrapText="1"/>
    </xf>
    <xf numFmtId="0" fontId="40" fillId="0" borderId="0" xfId="0" applyFont="1" applyBorder="1" applyAlignment="1">
      <alignment horizontal="center" vertical="center" wrapText="1"/>
    </xf>
    <xf numFmtId="0" fontId="7" fillId="0" borderId="0" xfId="0" applyFont="1" applyFill="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7" fillId="0" borderId="136" xfId="0" applyFont="1" applyFill="1" applyBorder="1" applyAlignment="1">
      <alignment horizontal="left" vertical="center" wrapText="1"/>
    </xf>
    <xf numFmtId="0" fontId="7" fillId="0" borderId="157" xfId="0" applyFont="1" applyFill="1" applyBorder="1" applyAlignment="1">
      <alignment horizontal="left" vertical="center" wrapText="1"/>
    </xf>
    <xf numFmtId="0" fontId="36" fillId="0" borderId="120" xfId="0" applyFont="1" applyBorder="1" applyAlignment="1">
      <alignment vertical="center" wrapText="1"/>
    </xf>
    <xf numFmtId="0" fontId="36" fillId="0" borderId="24" xfId="0" applyFont="1" applyBorder="1" applyAlignment="1">
      <alignment vertical="center" wrapText="1"/>
    </xf>
    <xf numFmtId="0" fontId="36" fillId="0" borderId="158" xfId="0" applyFont="1" applyBorder="1" applyAlignment="1">
      <alignment horizontal="center" vertical="center" wrapText="1"/>
    </xf>
    <xf numFmtId="0" fontId="36" fillId="0" borderId="159" xfId="0" applyFont="1" applyBorder="1" applyAlignment="1">
      <alignment horizontal="center" vertical="center" wrapText="1"/>
    </xf>
    <xf numFmtId="0" fontId="36" fillId="0" borderId="160" xfId="0" applyFont="1" applyBorder="1" applyAlignment="1">
      <alignment horizontal="center" vertical="center" wrapText="1"/>
    </xf>
    <xf numFmtId="0" fontId="7" fillId="0" borderId="14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Alignment="1">
      <alignment horizontal="center"/>
    </xf>
    <xf numFmtId="0" fontId="0" fillId="0" borderId="0" xfId="0" applyAlignment="1">
      <alignment/>
    </xf>
    <xf numFmtId="0" fontId="43"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0" borderId="0" xfId="0" applyFont="1" applyAlignment="1">
      <alignment horizontal="justify"/>
    </xf>
    <xf numFmtId="0" fontId="12" fillId="0" borderId="0" xfId="0" applyFont="1" applyAlignment="1">
      <alignment/>
    </xf>
    <xf numFmtId="0" fontId="15"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wrapText="1"/>
    </xf>
    <xf numFmtId="0" fontId="3" fillId="2" borderId="0" xfId="0" applyFont="1" applyFill="1" applyBorder="1" applyAlignment="1">
      <alignment horizontal="left" vertical="top"/>
    </xf>
  </cellXfs>
  <cellStyles count="12">
    <cellStyle name="Normal" xfId="0"/>
    <cellStyle name="RowLevel_0" xfId="1"/>
    <cellStyle name="Comma" xfId="15"/>
    <cellStyle name="Comma [0]" xfId="16"/>
    <cellStyle name="Comma_ERR template for Microfinance" xfId="17"/>
    <cellStyle name="Currency" xfId="18"/>
    <cellStyle name="Currency [0]" xfId="19"/>
    <cellStyle name="Currency_ERR template for Microfinance" xfId="20"/>
    <cellStyle name="Followed Hyperlink" xfId="21"/>
    <cellStyle name="Hyperlink" xfId="22"/>
    <cellStyle name="Normal_Mongolia Rail ERR.IM Cleaned" xfId="23"/>
    <cellStyle name="Percent" xfId="24"/>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Economic Rate of Return (ERR) Given Uncertainty in Key Parameters
</a:t>
            </a:r>
            <a:r>
              <a:rPr lang="en-US" cap="none" sz="800" b="1" i="0" u="none" baseline="0">
                <a:latin typeface="Arial"/>
                <a:ea typeface="Arial"/>
                <a:cs typeface="Arial"/>
              </a:rPr>
              <a:t>(as of 7/12/2007)</a:t>
            </a:r>
          </a:p>
        </c:rich>
      </c:tx>
      <c:layout>
        <c:manualLayout>
          <c:xMode val="factor"/>
          <c:yMode val="factor"/>
          <c:x val="0.01725"/>
          <c:y val="-0.0165"/>
        </c:manualLayout>
      </c:layout>
      <c:spPr>
        <a:noFill/>
        <a:ln>
          <a:noFill/>
        </a:ln>
      </c:spPr>
    </c:title>
    <c:plotArea>
      <c:layout>
        <c:manualLayout>
          <c:xMode val="edge"/>
          <c:yMode val="edge"/>
          <c:x val="0.04725"/>
          <c:y val="0.11075"/>
          <c:w val="0.93825"/>
          <c:h val="0.858"/>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0.026798712384646636</c:v>
              </c:pt>
              <c:pt idx="10">
                <c:v>0.07626356725299323</c:v>
              </c:pt>
              <c:pt idx="20">
                <c:v>0.1257284221213398</c:v>
              </c:pt>
              <c:pt idx="30">
                <c:v>0.1751932769896864</c:v>
              </c:pt>
              <c:pt idx="40">
                <c:v>0.224658131858033</c:v>
              </c:pt>
              <c:pt idx="49">
                <c:v>0.26917650123954495</c:v>
              </c:pt>
            </c:strLit>
          </c:cat>
          <c:val>
            <c:numLit>
              <c:ptCount val="50"/>
              <c:pt idx="0">
                <c:v>13</c:v>
              </c:pt>
              <c:pt idx="1">
                <c:v>20</c:v>
              </c:pt>
              <c:pt idx="2">
                <c:v>20</c:v>
              </c:pt>
              <c:pt idx="3">
                <c:v>21</c:v>
              </c:pt>
              <c:pt idx="4">
                <c:v>34</c:v>
              </c:pt>
              <c:pt idx="5">
                <c:v>49</c:v>
              </c:pt>
              <c:pt idx="6">
                <c:v>64</c:v>
              </c:pt>
              <c:pt idx="7">
                <c:v>71</c:v>
              </c:pt>
              <c:pt idx="8">
                <c:v>101</c:v>
              </c:pt>
              <c:pt idx="9">
                <c:v>126</c:v>
              </c:pt>
              <c:pt idx="10">
                <c:v>132</c:v>
              </c:pt>
              <c:pt idx="11">
                <c:v>114</c:v>
              </c:pt>
              <c:pt idx="12">
                <c:v>148</c:v>
              </c:pt>
              <c:pt idx="13">
                <c:v>213</c:v>
              </c:pt>
              <c:pt idx="14">
                <c:v>226</c:v>
              </c:pt>
              <c:pt idx="15">
                <c:v>238</c:v>
              </c:pt>
              <c:pt idx="16">
                <c:v>255</c:v>
              </c:pt>
              <c:pt idx="17">
                <c:v>326</c:v>
              </c:pt>
              <c:pt idx="18">
                <c:v>304</c:v>
              </c:pt>
              <c:pt idx="19">
                <c:v>368</c:v>
              </c:pt>
              <c:pt idx="20">
                <c:v>382</c:v>
              </c:pt>
              <c:pt idx="21">
                <c:v>378</c:v>
              </c:pt>
              <c:pt idx="22">
                <c:v>454</c:v>
              </c:pt>
              <c:pt idx="23">
                <c:v>414</c:v>
              </c:pt>
              <c:pt idx="24">
                <c:v>415</c:v>
              </c:pt>
              <c:pt idx="25">
                <c:v>432</c:v>
              </c:pt>
              <c:pt idx="26">
                <c:v>435</c:v>
              </c:pt>
              <c:pt idx="27">
                <c:v>393</c:v>
              </c:pt>
              <c:pt idx="28">
                <c:v>412</c:v>
              </c:pt>
              <c:pt idx="29">
                <c:v>425</c:v>
              </c:pt>
              <c:pt idx="30">
                <c:v>397</c:v>
              </c:pt>
              <c:pt idx="31">
                <c:v>376</c:v>
              </c:pt>
              <c:pt idx="32">
                <c:v>289</c:v>
              </c:pt>
              <c:pt idx="33">
                <c:v>296</c:v>
              </c:pt>
              <c:pt idx="34">
                <c:v>284</c:v>
              </c:pt>
              <c:pt idx="35">
                <c:v>265</c:v>
              </c:pt>
              <c:pt idx="36">
                <c:v>214</c:v>
              </c:pt>
              <c:pt idx="37">
                <c:v>177</c:v>
              </c:pt>
              <c:pt idx="38">
                <c:v>154</c:v>
              </c:pt>
              <c:pt idx="39">
                <c:v>123</c:v>
              </c:pt>
              <c:pt idx="40">
                <c:v>105</c:v>
              </c:pt>
              <c:pt idx="41">
                <c:v>88</c:v>
              </c:pt>
              <c:pt idx="42">
                <c:v>65</c:v>
              </c:pt>
              <c:pt idx="43">
                <c:v>48</c:v>
              </c:pt>
              <c:pt idx="44">
                <c:v>41</c:v>
              </c:pt>
              <c:pt idx="45">
                <c:v>28</c:v>
              </c:pt>
              <c:pt idx="46">
                <c:v>15</c:v>
              </c:pt>
              <c:pt idx="47">
                <c:v>9</c:v>
              </c:pt>
              <c:pt idx="48">
                <c:v>8</c:v>
              </c:pt>
              <c:pt idx="49">
                <c:v>7</c:v>
              </c:pt>
            </c:numLit>
          </c:val>
        </c:ser>
        <c:overlap val="100"/>
        <c:gapWidth val="10"/>
        <c:axId val="18842429"/>
        <c:axId val="35364134"/>
      </c:barChart>
      <c:catAx>
        <c:axId val="18842429"/>
        <c:scaling>
          <c:orientation val="minMax"/>
        </c:scaling>
        <c:axPos val="b"/>
        <c:delete val="0"/>
        <c:numFmt formatCode="General" sourceLinked="1"/>
        <c:majorTickMark val="out"/>
        <c:minorTickMark val="none"/>
        <c:tickLblPos val="nextTo"/>
        <c:crossAx val="35364134"/>
        <c:crosses val="autoZero"/>
        <c:auto val="0"/>
        <c:lblOffset val="100"/>
        <c:tickLblSkip val="1"/>
        <c:tickMarkSkip val="5"/>
        <c:noMultiLvlLbl val="0"/>
      </c:catAx>
      <c:valAx>
        <c:axId val="35364134"/>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8842429"/>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Undiscounted annual net benefits of Financial Services Project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ERR!$C$45:$L$45</c:f>
              <c:numCache>
                <c:ptCount val="10"/>
                <c:pt idx="0">
                  <c:v>-21104.50737165004</c:v>
                </c:pt>
                <c:pt idx="1">
                  <c:v>1280.6610375715745</c:v>
                </c:pt>
                <c:pt idx="2">
                  <c:v>2120.2464826528308</c:v>
                </c:pt>
                <c:pt idx="3">
                  <c:v>3120.2269827596942</c:v>
                </c:pt>
                <c:pt idx="4">
                  <c:v>4304.844872382244</c:v>
                </c:pt>
                <c:pt idx="5">
                  <c:v>5701.6461568124505</c:v>
                </c:pt>
                <c:pt idx="6">
                  <c:v>7341.905079387423</c:v>
                </c:pt>
                <c:pt idx="7">
                  <c:v>9261.101227035284</c:v>
                </c:pt>
                <c:pt idx="8">
                  <c:v>11499.455506052229</c:v>
                </c:pt>
                <c:pt idx="9">
                  <c:v>14102.532068432734</c:v>
                </c:pt>
              </c:numCache>
            </c:numRef>
          </c:val>
        </c:ser>
        <c:axId val="49841751"/>
        <c:axId val="45922576"/>
      </c:areaChart>
      <c:catAx>
        <c:axId val="49841751"/>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5922576"/>
        <c:crosses val="autoZero"/>
        <c:auto val="1"/>
        <c:lblOffset val="100"/>
        <c:noMultiLvlLbl val="0"/>
      </c:catAx>
      <c:valAx>
        <c:axId val="45922576"/>
        <c:scaling>
          <c:orientation val="minMax"/>
        </c:scaling>
        <c:axPos val="l"/>
        <c:title>
          <c:tx>
            <c:rich>
              <a:bodyPr vert="horz" rot="-5400000" anchor="ctr"/>
              <a:lstStyle/>
              <a:p>
                <a:pPr algn="ctr">
                  <a:defRPr/>
                </a:pPr>
                <a:r>
                  <a:rPr lang="en-US" cap="none" sz="975" b="1" i="0" u="none" baseline="0">
                    <a:latin typeface="Arial"/>
                    <a:ea typeface="Arial"/>
                    <a:cs typeface="Arial"/>
                  </a:rPr>
                  <a:t>Thousands of US$</a:t>
                </a:r>
              </a:p>
            </c:rich>
          </c:tx>
          <c:layout/>
          <c:overlay val="0"/>
          <c:spPr>
            <a:noFill/>
            <a:ln>
              <a:noFill/>
            </a:ln>
          </c:spPr>
        </c:title>
        <c:majorGridlines/>
        <c:delete val="0"/>
        <c:numFmt formatCode="General" sourceLinked="1"/>
        <c:majorTickMark val="out"/>
        <c:minorTickMark val="none"/>
        <c:tickLblPos val="nextTo"/>
        <c:crossAx val="4984175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2581275</xdr:colOff>
      <xdr:row>5</xdr:row>
      <xdr:rowOff>95250</xdr:rowOff>
    </xdr:to>
    <xdr:pic>
      <xdr:nvPicPr>
        <xdr:cNvPr id="1" name="Picture 2"/>
        <xdr:cNvPicPr preferRelativeResize="1">
          <a:picLocks noChangeAspect="1"/>
        </xdr:cNvPicPr>
      </xdr:nvPicPr>
      <xdr:blipFill>
        <a:blip r:embed="rId1"/>
        <a:stretch>
          <a:fillRect/>
        </a:stretch>
      </xdr:blipFill>
      <xdr:spPr>
        <a:xfrm>
          <a:off x="0" y="161925"/>
          <a:ext cx="25812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26</xdr:row>
      <xdr:rowOff>19050</xdr:rowOff>
    </xdr:from>
    <xdr:to>
      <xdr:col>1</xdr:col>
      <xdr:colOff>2209800</xdr:colOff>
      <xdr:row>27</xdr:row>
      <xdr:rowOff>9525</xdr:rowOff>
    </xdr:to>
    <xdr:pic>
      <xdr:nvPicPr>
        <xdr:cNvPr id="1" name="Picture 1"/>
        <xdr:cNvPicPr preferRelativeResize="1">
          <a:picLocks noChangeAspect="1"/>
        </xdr:cNvPicPr>
      </xdr:nvPicPr>
      <xdr:blipFill>
        <a:blip r:embed="rId1"/>
        <a:stretch>
          <a:fillRect/>
        </a:stretch>
      </xdr:blipFill>
      <xdr:spPr>
        <a:xfrm>
          <a:off x="428625" y="962977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85725</xdr:rowOff>
    </xdr:from>
    <xdr:to>
      <xdr:col>6</xdr:col>
      <xdr:colOff>1123950</xdr:colOff>
      <xdr:row>1</xdr:row>
      <xdr:rowOff>238125</xdr:rowOff>
    </xdr:to>
    <xdr:pic>
      <xdr:nvPicPr>
        <xdr:cNvPr id="1" name="Picture 2"/>
        <xdr:cNvPicPr preferRelativeResize="1">
          <a:picLocks noChangeAspect="1"/>
        </xdr:cNvPicPr>
      </xdr:nvPicPr>
      <xdr:blipFill>
        <a:blip r:embed="rId1"/>
        <a:stretch>
          <a:fillRect/>
        </a:stretch>
      </xdr:blipFill>
      <xdr:spPr>
        <a:xfrm>
          <a:off x="8134350" y="247650"/>
          <a:ext cx="2162175" cy="152400"/>
        </a:xfrm>
        <a:prstGeom prst="rect">
          <a:avLst/>
        </a:prstGeom>
        <a:noFill/>
        <a:ln w="9525" cmpd="sng">
          <a:noFill/>
        </a:ln>
      </xdr:spPr>
    </xdr:pic>
    <xdr:clientData/>
  </xdr:twoCellAnchor>
  <xdr:twoCellAnchor>
    <xdr:from>
      <xdr:col>2</xdr:col>
      <xdr:colOff>1047750</xdr:colOff>
      <xdr:row>51</xdr:row>
      <xdr:rowOff>66675</xdr:rowOff>
    </xdr:from>
    <xdr:to>
      <xdr:col>5</xdr:col>
      <xdr:colOff>981075</xdr:colOff>
      <xdr:row>71</xdr:row>
      <xdr:rowOff>9525</xdr:rowOff>
    </xdr:to>
    <xdr:graphicFrame>
      <xdr:nvGraphicFramePr>
        <xdr:cNvPr id="2" name="Chart 7"/>
        <xdr:cNvGraphicFramePr/>
      </xdr:nvGraphicFramePr>
      <xdr:xfrm>
        <a:off x="2514600" y="11439525"/>
        <a:ext cx="6543675" cy="3181350"/>
      </xdr:xfrm>
      <a:graphic>
        <a:graphicData uri="http://schemas.openxmlformats.org/drawingml/2006/chart">
          <c:chart xmlns:c="http://schemas.openxmlformats.org/drawingml/2006/chart" r:id="rId2"/>
        </a:graphicData>
      </a:graphic>
    </xdr:graphicFrame>
    <xdr:clientData/>
  </xdr:twoCellAnchor>
  <xdr:twoCellAnchor>
    <xdr:from>
      <xdr:col>2</xdr:col>
      <xdr:colOff>866775</xdr:colOff>
      <xdr:row>26</xdr:row>
      <xdr:rowOff>47625</xdr:rowOff>
    </xdr:from>
    <xdr:to>
      <xdr:col>6</xdr:col>
      <xdr:colOff>38100</xdr:colOff>
      <xdr:row>49</xdr:row>
      <xdr:rowOff>95250</xdr:rowOff>
    </xdr:to>
    <xdr:graphicFrame>
      <xdr:nvGraphicFramePr>
        <xdr:cNvPr id="3" name="Chart 8"/>
        <xdr:cNvGraphicFramePr/>
      </xdr:nvGraphicFramePr>
      <xdr:xfrm>
        <a:off x="2333625" y="7372350"/>
        <a:ext cx="6877050" cy="3771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BREITB~1\LOCALS~1\Temp\12\Temporary%20Directory%204%20for%20Armenia%20for%20OGC%20Review.zip\Armenia_Irrigation_ERR_IM_Clean-v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WINDOWS\TEMP\Effectif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MES%20DOCUMENTS\EX-WORD\Mes%20documents\Frt%20Imprim&#233;s\SORTIE%20BUREA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iege_server1\AGHWACH\Documents%20and%20Settings\aghwach\Bureau\bulletin%20de%20pese&#2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Beta%20Version\Mongolia\mcc-err-mongolia-heal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erningcc\Local%20Settings\Temp\Temporary%20Directory%201%20for%20Arm_MCA_Assistance_Irrigation_ERRs_Zone_1_4_Oct_27_05.zip\Arm_MCA%20Assistance_Irrigation%20ERRs_Zone1_Oct%2027_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Updated%20files%20for%20Posting%206.20.08\mcc-err-armenia-watertomk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ssier%20SA\ONP\ONP%20-%20Projet%20Tanger\ONP%20-%20March&#233;%20de%20gros%20de%20Tanger\Synth&#232;se%20g&#233;n&#233;rale%20D&#233;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ANALYTIQUE2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info\sofia\WINDOWS\TEMP\Effectif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S%20DOCUMENTS\EX-WORD\Mes%20documents\effect%20r&#233;el%20CO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7">
        <row r="38">
          <cell r="A38" t="str">
            <v>Agence Comptable </v>
          </cell>
        </row>
        <row r="39">
          <cell r="A39" t="str">
            <v>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D.R. Sidi Ifni </v>
          </cell>
        </row>
        <row r="55">
          <cell r="A55" t="str">
            <v>D.R. Tanger</v>
          </cell>
        </row>
        <row r="56">
          <cell r="A56" t="str">
            <v>D.R. TanTan </v>
          </cell>
        </row>
        <row r="57">
          <cell r="A57" t="str">
            <v>D.R.H.A.G</v>
          </cell>
        </row>
        <row r="58">
          <cell r="A58" t="str">
            <v>Département Financier et Comptable</v>
          </cell>
        </row>
        <row r="59">
          <cell r="A59" t="str">
            <v>Départements des études générales </v>
          </cell>
        </row>
        <row r="60">
          <cell r="A60" t="str">
            <v>Direction d'Exploitation </v>
          </cell>
        </row>
        <row r="61">
          <cell r="A61" t="str">
            <v>Direction Générale</v>
          </cell>
        </row>
        <row r="62">
          <cell r="A62" t="str">
            <v>Division des Affaires Générales </v>
          </cell>
        </row>
        <row r="63">
          <cell r="A63" t="str">
            <v>Division des Systemes Informatiques </v>
          </cell>
        </row>
        <row r="64">
          <cell r="A64" t="str">
            <v>H.P. Asilah</v>
          </cell>
        </row>
        <row r="65">
          <cell r="A65" t="str">
            <v>H.P. Jebha</v>
          </cell>
        </row>
        <row r="66">
          <cell r="A66" t="str">
            <v>H.P. Jorf Lasfar</v>
          </cell>
        </row>
        <row r="67">
          <cell r="A67" t="str">
            <v>H.P. Oued Laou</v>
          </cell>
        </row>
        <row r="68">
          <cell r="A68" t="str">
            <v>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Service Personnel </v>
          </cell>
        </row>
        <row r="75">
          <cell r="A75" t="str">
            <v>Service Social </v>
          </cell>
        </row>
        <row r="76">
          <cell r="A76" t="str">
            <v>Village de pêche IMMSOUANE </v>
          </cell>
        </row>
        <row r="77">
          <cell r="A77" t="str">
            <v>Village de Pêche KALA-IRIS</v>
          </cell>
        </row>
        <row r="78">
          <cell r="A78" t="str">
            <v>Village de Pêche SOUIRIA K'DIMA</v>
          </cell>
        </row>
        <row r="79">
          <cell r="A79" t="str">
            <v>MPM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ERCALAIR"/>
      <sheetName val="TONER 1210"/>
      <sheetName val="feutre"/>
      <sheetName val="ETIQUETTE"/>
      <sheetName val="A3"/>
      <sheetName val="PAPIER A4 F"/>
      <sheetName val="AGRAFEUS F"/>
      <sheetName val="BLANCO OK F"/>
      <sheetName val="UHU OK F"/>
      <sheetName val="GOMME F"/>
      <sheetName val="SCOTCH F"/>
      <sheetName val="CARTONNEE F"/>
      <sheetName val="CHRONOS f"/>
      <sheetName val="BLEU f"/>
      <sheetName val="NOIR f"/>
      <sheetName val="ROUGE f"/>
      <sheetName val="BC 20 f"/>
      <sheetName val="50 VUES f"/>
      <sheetName val="20 VUES f"/>
      <sheetName val="T5825 f"/>
      <sheetName val="POSTIT f"/>
      <sheetName val="AGRAFE f"/>
      <sheetName val="BLOC NOTE f"/>
      <sheetName val="CAHIER150 f"/>
      <sheetName val="CRAYON f"/>
      <sheetName val="BULL f"/>
      <sheetName val="R DEPART f"/>
      <sheetName val="R ARRIVEE f"/>
      <sheetName val="3 MAINS f"/>
      <sheetName val="MAPQUEUR TABLEAU f"/>
      <sheetName val="FLURESCENT f"/>
      <sheetName val="TROMBONNE INOX f"/>
      <sheetName val="TROMB EN PLASTI f"/>
      <sheetName val="CISEAU f"/>
      <sheetName val="ROUL MAC f"/>
      <sheetName val="RABAT f"/>
      <sheetName val="REGLE f"/>
      <sheetName val="SPIRALE 6 f"/>
      <sheetName val="SPIRALE 8 f"/>
      <sheetName val="SPIRALE 10 f"/>
      <sheetName val="SPIRALE 12 f"/>
      <sheetName val="SPIRALE 14 f"/>
      <sheetName val="SPIRALE 20 f"/>
      <sheetName val="SPIRAL 25 f"/>
      <sheetName val="PARAPHEUR f"/>
      <sheetName val="PLAST GF"/>
      <sheetName val="PLAST P F"/>
      <sheetName val="DATEUR f"/>
      <sheetName val="ENCREUR ROUGE f"/>
      <sheetName val="ENCREUR BLEU f"/>
      <sheetName val="BOITE CARTON F"/>
      <sheetName val="EUROKOTTE f"/>
      <sheetName val="TRANSPARENT f"/>
      <sheetName val="MINISTRE f"/>
      <sheetName val="860 f"/>
      <sheetName val="TONER 390 f"/>
      <sheetName val="TONER C50 f"/>
      <sheetName val="TONER 385 f"/>
      <sheetName val="TONER250"/>
      <sheetName val="R FAX f"/>
      <sheetName val="CLASSEUR SUSP f"/>
      <sheetName val="CHEM SIGN f"/>
      <sheetName val="6317"/>
      <sheetName val="6112 f"/>
      <sheetName val="CHEMISE SANGLE f"/>
      <sheetName val="5621  1025 f"/>
      <sheetName val="BULLE SIMPLE f"/>
      <sheetName val="ROULEAU NADOR f"/>
      <sheetName val="TAILLE CRAYON"/>
      <sheetName val="POCHETTE PERFOREE 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ull pesee"/>
      <sheetName val="Feuil1"/>
      <sheetName val="A4 NON TOUCH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2">
        <row r="2">
          <cell r="B2" t="str">
            <v>Table 1: Economic Analysis - Irrigation Scheme 01 - Artashat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4">
        <row r="76">
          <cell r="D76">
            <v>0.5</v>
          </cell>
        </row>
        <row r="78">
          <cell r="D78">
            <v>1.31</v>
          </cell>
        </row>
      </sheetData>
      <sheetData sheetId="5">
        <row r="6">
          <cell r="F6">
            <v>0.125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énario 1"/>
      <sheetName val="Graph1"/>
      <sheetName val="Base"/>
      <sheetName val="Scénario 2"/>
      <sheetName val="Donné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AGENTS"/>
      <sheetName val="AGENT (2)"/>
      <sheetName val="AG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PC3100 (2)"/>
      <sheetName val="CPC3200 (2)"/>
      <sheetName val="CPC3300 (2)"/>
      <sheetName val="CPC3400 (2)"/>
      <sheetName val="CPC3500 (2)"/>
      <sheetName val="CPC5100 (2)"/>
      <sheetName val="CPC5300 (2)"/>
      <sheetName val="CPC5400 (2)"/>
      <sheetName val="CPC5500 (2)"/>
      <sheetName val="CPC5600 (2)"/>
      <sheetName val="CPC5700 (2)"/>
      <sheetName val="CPC5800 (2)"/>
      <sheetName val="CPC5900 (2)"/>
      <sheetName val="CPC7100 (2)"/>
      <sheetName val="CPC7200 (2)"/>
      <sheetName val="CPC7300 (2)"/>
      <sheetName val="CPC7400 (2)"/>
      <sheetName val="CPC 2001"/>
      <sheetName val="CPC01062002"/>
      <sheetName val="CPC06 20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7">
        <row r="38">
          <cell r="A38" t="str">
            <v>Agence Comptable </v>
          </cell>
        </row>
        <row r="39">
          <cell r="A39" t="str">
            <v>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D.R. Sidi Ifni </v>
          </cell>
        </row>
        <row r="55">
          <cell r="A55" t="str">
            <v>D.R. Tanger</v>
          </cell>
        </row>
        <row r="56">
          <cell r="A56" t="str">
            <v>D.R. TanTan </v>
          </cell>
        </row>
        <row r="57">
          <cell r="A57" t="str">
            <v>D.R.H.A.G</v>
          </cell>
        </row>
        <row r="58">
          <cell r="A58" t="str">
            <v>Département Financier et Comptable</v>
          </cell>
        </row>
        <row r="59">
          <cell r="A59" t="str">
            <v>Départements des études générales </v>
          </cell>
        </row>
        <row r="60">
          <cell r="A60" t="str">
            <v>Direction d'Exploitation </v>
          </cell>
        </row>
        <row r="61">
          <cell r="A61" t="str">
            <v>Direction Générale</v>
          </cell>
        </row>
        <row r="62">
          <cell r="A62" t="str">
            <v>Division des Affaires Générales </v>
          </cell>
        </row>
        <row r="63">
          <cell r="A63" t="str">
            <v>Division des Systemes Informatiques </v>
          </cell>
        </row>
        <row r="64">
          <cell r="A64" t="str">
            <v>H.P. Asilah</v>
          </cell>
        </row>
        <row r="65">
          <cell r="A65" t="str">
            <v>H.P. Jebha</v>
          </cell>
        </row>
        <row r="66">
          <cell r="A66" t="str">
            <v>H.P. Jorf Lasfar</v>
          </cell>
        </row>
        <row r="67">
          <cell r="A67" t="str">
            <v>H.P. Oued Laou</v>
          </cell>
        </row>
        <row r="68">
          <cell r="A68" t="str">
            <v>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Service Personnel </v>
          </cell>
        </row>
        <row r="75">
          <cell r="A75" t="str">
            <v>Service Social </v>
          </cell>
        </row>
        <row r="76">
          <cell r="A76" t="str">
            <v>Village de pêche IMMSOUANE </v>
          </cell>
        </row>
        <row r="77">
          <cell r="A77" t="str">
            <v>Village de Pêche KALA-IRIS</v>
          </cell>
        </row>
        <row r="78">
          <cell r="A78" t="str">
            <v>Village de Pêche SOUIRIA K'DIMA</v>
          </cell>
        </row>
        <row r="79">
          <cell r="A79" t="str">
            <v>MPM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E AGENTS"/>
      <sheetName val="AGENT (2)"/>
      <sheetName val="AG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und(Synth&#232;se!I29,0)"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xmarket.org/en/demand/demand.show.profile.asp?token=&amp;ett=304" TargetMode="External" /><Relationship Id="rId2" Type="http://schemas.openxmlformats.org/officeDocument/2006/relationships/hyperlink" Target="http://www.mixmarket.org/en/demand/demand.show.profile.asp?token=&amp;ett=304#%20&#160;.%20You%20will%20find%20the%20various%20audit%20reports%20and%20the%20references%20of%20listeners." TargetMode="External" /><Relationship Id="rId3" Type="http://schemas.openxmlformats.org/officeDocument/2006/relationships/hyperlink" Target="http://www.alamana.org/Al-Amana-en-chiffres/strategie1.ht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C66"/>
  <sheetViews>
    <sheetView showGridLines="0" workbookViewId="0" topLeftCell="A1">
      <selection activeCell="B12" sqref="B12"/>
    </sheetView>
  </sheetViews>
  <sheetFormatPr defaultColWidth="9.140625" defaultRowHeight="12.75"/>
  <cols>
    <col min="1" max="1" width="39.7109375" style="396" customWidth="1"/>
    <col min="2" max="2" width="106.421875" style="396" customWidth="1"/>
    <col min="3" max="16384" width="9.140625" style="396" customWidth="1"/>
  </cols>
  <sheetData>
    <row r="1" spans="2:3" ht="12.75">
      <c r="B1" s="397" t="s">
        <v>53</v>
      </c>
      <c r="C1" s="398"/>
    </row>
    <row r="2" ht="20.25" customHeight="1">
      <c r="B2" s="519" t="s">
        <v>90</v>
      </c>
    </row>
    <row r="3" ht="12.75">
      <c r="B3" s="519"/>
    </row>
    <row r="4" ht="12.75">
      <c r="B4" s="519"/>
    </row>
    <row r="5" ht="12.75">
      <c r="B5" s="519"/>
    </row>
    <row r="6" ht="12.75">
      <c r="B6" s="519"/>
    </row>
    <row r="7" ht="13.5" thickBot="1"/>
    <row r="8" spans="1:2" ht="18" customHeight="1" thickBot="1" thickTop="1">
      <c r="A8" s="399" t="s">
        <v>54</v>
      </c>
      <c r="B8" s="400" t="s">
        <v>96</v>
      </c>
    </row>
    <row r="9" spans="1:2" ht="18" customHeight="1" thickTop="1">
      <c r="A9" s="401" t="s">
        <v>55</v>
      </c>
      <c r="B9" s="402" t="s">
        <v>56</v>
      </c>
    </row>
    <row r="10" spans="1:2" ht="18" customHeight="1">
      <c r="A10" s="403" t="s">
        <v>57</v>
      </c>
      <c r="B10" s="404">
        <v>39275</v>
      </c>
    </row>
    <row r="11" spans="1:2" ht="18" customHeight="1">
      <c r="A11" s="403" t="s">
        <v>58</v>
      </c>
      <c r="B11" s="405" t="s">
        <v>91</v>
      </c>
    </row>
    <row r="12" spans="1:2" ht="113.25" customHeight="1">
      <c r="A12" s="401" t="s">
        <v>59</v>
      </c>
      <c r="B12" s="406" t="s">
        <v>2</v>
      </c>
    </row>
    <row r="13" spans="1:2" ht="18" customHeight="1">
      <c r="A13" s="521" t="s">
        <v>60</v>
      </c>
      <c r="B13" s="513" t="s">
        <v>93</v>
      </c>
    </row>
    <row r="14" spans="1:2" ht="18" customHeight="1">
      <c r="A14" s="522"/>
      <c r="B14" s="514" t="s">
        <v>92</v>
      </c>
    </row>
    <row r="15" spans="1:2" ht="18" customHeight="1">
      <c r="A15" s="521" t="s">
        <v>61</v>
      </c>
      <c r="B15" s="513" t="s">
        <v>95</v>
      </c>
    </row>
    <row r="16" spans="1:2" ht="18" customHeight="1">
      <c r="A16" s="522"/>
      <c r="B16" s="514" t="s">
        <v>94</v>
      </c>
    </row>
    <row r="17" spans="1:2" ht="18" customHeight="1">
      <c r="A17" s="388" t="s">
        <v>62</v>
      </c>
      <c r="B17" s="405" t="s">
        <v>97</v>
      </c>
    </row>
    <row r="18" spans="1:2" ht="6.75" customHeight="1">
      <c r="A18" s="387"/>
      <c r="B18" s="407"/>
    </row>
    <row r="19" spans="1:2" ht="12.75">
      <c r="A19" s="520" t="s">
        <v>63</v>
      </c>
      <c r="B19" s="408" t="s">
        <v>59</v>
      </c>
    </row>
    <row r="20" spans="1:2" ht="25.5">
      <c r="A20" s="520"/>
      <c r="B20" s="409" t="s">
        <v>64</v>
      </c>
    </row>
    <row r="21" spans="1:2" ht="12.75">
      <c r="A21" s="520"/>
      <c r="B21" s="407"/>
    </row>
    <row r="22" spans="1:2" ht="12.75">
      <c r="A22" s="520"/>
      <c r="B22" s="410" t="s">
        <v>65</v>
      </c>
    </row>
    <row r="23" spans="1:2" ht="25.5">
      <c r="A23" s="520"/>
      <c r="B23" s="411" t="s">
        <v>66</v>
      </c>
    </row>
    <row r="24" spans="1:2" ht="12.75">
      <c r="A24" s="520"/>
      <c r="B24" s="411"/>
    </row>
    <row r="25" spans="1:2" ht="12.75">
      <c r="A25" s="520"/>
      <c r="B25" s="408" t="s">
        <v>43</v>
      </c>
    </row>
    <row r="26" spans="1:2" ht="12.75">
      <c r="A26" s="520"/>
      <c r="B26" s="412" t="s">
        <v>67</v>
      </c>
    </row>
    <row r="27" spans="1:2" ht="12.75">
      <c r="A27" s="520"/>
      <c r="B27" s="411"/>
    </row>
    <row r="28" spans="1:2" ht="12.75">
      <c r="A28" s="520"/>
      <c r="B28" s="408" t="s">
        <v>84</v>
      </c>
    </row>
    <row r="29" spans="1:2" ht="12.75">
      <c r="A29" s="520"/>
      <c r="B29" s="412" t="s">
        <v>170</v>
      </c>
    </row>
    <row r="30" spans="1:2" ht="12.75">
      <c r="A30" s="520"/>
      <c r="B30" s="412"/>
    </row>
    <row r="31" spans="1:2" ht="12.75">
      <c r="A31" s="520"/>
      <c r="B31" s="413" t="s">
        <v>166</v>
      </c>
    </row>
    <row r="32" spans="1:2" ht="12.75">
      <c r="A32" s="520"/>
      <c r="B32" s="412" t="s">
        <v>178</v>
      </c>
    </row>
    <row r="33" spans="1:2" ht="12.75">
      <c r="A33" s="520"/>
      <c r="B33" s="412"/>
    </row>
    <row r="34" spans="1:2" ht="12.75">
      <c r="A34" s="520"/>
      <c r="B34" s="413" t="s">
        <v>167</v>
      </c>
    </row>
    <row r="35" spans="1:2" ht="12.75">
      <c r="A35" s="520"/>
      <c r="B35" s="412" t="s">
        <v>171</v>
      </c>
    </row>
    <row r="36" spans="1:2" ht="6.75" customHeight="1">
      <c r="A36" s="517"/>
      <c r="B36" s="411"/>
    </row>
    <row r="37" spans="1:2" ht="12.75">
      <c r="A37" s="517"/>
      <c r="B37" s="408" t="s">
        <v>168</v>
      </c>
    </row>
    <row r="38" spans="1:2" ht="12.75">
      <c r="A38" s="517"/>
      <c r="B38" s="412" t="s">
        <v>179</v>
      </c>
    </row>
    <row r="39" spans="1:2" ht="12.75">
      <c r="A39" s="517"/>
      <c r="B39" s="411"/>
    </row>
    <row r="40" spans="1:2" ht="12.75">
      <c r="A40" s="517"/>
      <c r="B40" s="408" t="s">
        <v>10</v>
      </c>
    </row>
    <row r="41" spans="1:2" ht="12.75">
      <c r="A41" s="517"/>
      <c r="B41" s="412" t="s">
        <v>180</v>
      </c>
    </row>
    <row r="42" spans="1:2" ht="12.75">
      <c r="A42" s="517"/>
      <c r="B42" s="411"/>
    </row>
    <row r="43" spans="1:2" ht="12.75">
      <c r="A43" s="517"/>
      <c r="B43" s="408" t="s">
        <v>174</v>
      </c>
    </row>
    <row r="44" spans="1:2" ht="12.75">
      <c r="A44" s="517"/>
      <c r="B44" s="412" t="s">
        <v>175</v>
      </c>
    </row>
    <row r="45" spans="1:2" ht="12.75">
      <c r="A45" s="517"/>
      <c r="B45" s="411"/>
    </row>
    <row r="46" spans="1:2" ht="12.75">
      <c r="A46" s="517"/>
      <c r="B46" s="408" t="s">
        <v>11</v>
      </c>
    </row>
    <row r="47" spans="1:2" ht="12.75">
      <c r="A47" s="517"/>
      <c r="B47" s="412" t="s">
        <v>172</v>
      </c>
    </row>
    <row r="48" spans="1:2" ht="12.75">
      <c r="A48" s="517"/>
      <c r="B48" s="411"/>
    </row>
    <row r="49" spans="1:2" ht="12.75">
      <c r="A49" s="517"/>
      <c r="B49" s="408" t="s">
        <v>12</v>
      </c>
    </row>
    <row r="50" spans="1:2" ht="12.75">
      <c r="A50" s="517"/>
      <c r="B50" s="412" t="s">
        <v>173</v>
      </c>
    </row>
    <row r="51" spans="1:2" ht="12.75">
      <c r="A51" s="517"/>
      <c r="B51" s="411"/>
    </row>
    <row r="52" spans="1:2" ht="12.75">
      <c r="A52" s="517"/>
      <c r="B52" s="408" t="s">
        <v>13</v>
      </c>
    </row>
    <row r="53" spans="1:2" ht="12.75">
      <c r="A53" s="517"/>
      <c r="B53" s="412" t="s">
        <v>176</v>
      </c>
    </row>
    <row r="54" spans="1:2" ht="12.75">
      <c r="A54" s="517"/>
      <c r="B54" s="411"/>
    </row>
    <row r="55" spans="1:2" ht="12.75">
      <c r="A55" s="517"/>
      <c r="B55" s="408" t="s">
        <v>14</v>
      </c>
    </row>
    <row r="56" spans="1:2" ht="12.75">
      <c r="A56" s="517"/>
      <c r="B56" s="412" t="s">
        <v>177</v>
      </c>
    </row>
    <row r="57" spans="1:2" ht="12.75">
      <c r="A57" s="517"/>
      <c r="B57" s="411"/>
    </row>
    <row r="58" spans="1:2" ht="12.75">
      <c r="A58" s="517"/>
      <c r="B58" s="408" t="s">
        <v>3</v>
      </c>
    </row>
    <row r="59" spans="1:2" ht="12.75">
      <c r="A59" s="517"/>
      <c r="B59" s="412" t="s">
        <v>181</v>
      </c>
    </row>
    <row r="60" spans="1:2" ht="12.75">
      <c r="A60" s="517"/>
      <c r="B60" s="411"/>
    </row>
    <row r="61" spans="1:2" ht="12.75">
      <c r="A61" s="517"/>
      <c r="B61" s="408" t="s">
        <v>169</v>
      </c>
    </row>
    <row r="62" spans="1:2" ht="12.75">
      <c r="A62" s="517"/>
      <c r="B62" s="412" t="s">
        <v>182</v>
      </c>
    </row>
    <row r="63" spans="1:2" ht="12.75">
      <c r="A63" s="517"/>
      <c r="B63" s="411"/>
    </row>
    <row r="64" spans="1:2" ht="12.75">
      <c r="A64" s="517"/>
      <c r="B64" s="408" t="s">
        <v>4</v>
      </c>
    </row>
    <row r="65" spans="1:2" ht="25.5">
      <c r="A65" s="517"/>
      <c r="B65" s="412" t="s">
        <v>183</v>
      </c>
    </row>
    <row r="66" spans="1:2" ht="6.75" customHeight="1" thickBot="1">
      <c r="A66" s="518"/>
      <c r="B66" s="414"/>
    </row>
    <row r="67" ht="13.5" thickTop="1"/>
  </sheetData>
  <mergeCells count="5">
    <mergeCell ref="A36:A66"/>
    <mergeCell ref="B2:B6"/>
    <mergeCell ref="A19:A35"/>
    <mergeCell ref="A15:A16"/>
    <mergeCell ref="A13:A14"/>
  </mergeCells>
  <hyperlinks>
    <hyperlink ref="B22" location="'ERR &amp; Sensitivity Analysis'!A1" display="ERR &amp; Sensitivity Analysis"/>
    <hyperlink ref="B19" location="'Project Description'!A1" display="Project Description"/>
    <hyperlink ref="B25" location="ERR!A1" display="ERR"/>
    <hyperlink ref="B28" location="Summary!A1" display="Summary"/>
    <hyperlink ref="B31" location="'Al Amana'!A1" display="Al Amana"/>
    <hyperlink ref="B34" location="'Zakoura MC '!A1" display="Zakoura MC"/>
    <hyperlink ref="B37" location="'Fondep MC'!A1" display="Fondep MC"/>
    <hyperlink ref="B40" location="FBPMC!A1" display="FBPMC"/>
    <hyperlink ref="B43" location="'AL Karama'!A1" display="Al Karama"/>
    <hyperlink ref="B46" location="'AMSSF MC'!A1" display="AMSSF MC"/>
    <hyperlink ref="B49" location="ARDI!A1" display="ARDI"/>
    <hyperlink ref="B52" location="AIMC!A1" display="AIMC"/>
    <hyperlink ref="B55" location="INMAA!A1" display="INMAA"/>
    <hyperlink ref="B58" location="AMOS!A1" display="AMOS"/>
    <hyperlink ref="B61" location="'ATIL MC'!A1" display="ATIL MC"/>
    <hyperlink ref="B64" location="FMCN!A1" display="FMCN"/>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2:F46"/>
  <sheetViews>
    <sheetView workbookViewId="0" topLeftCell="A1">
      <selection activeCell="A1" sqref="A1"/>
    </sheetView>
  </sheetViews>
  <sheetFormatPr defaultColWidth="9.140625" defaultRowHeight="12.75"/>
  <cols>
    <col min="1" max="1" width="52.14062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5</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213" t="s">
        <v>112</v>
      </c>
      <c r="B6" s="256">
        <v>2702011</v>
      </c>
      <c r="C6" s="257">
        <v>4335836.79</v>
      </c>
      <c r="D6" s="257">
        <v>5434905.95</v>
      </c>
      <c r="E6" s="257">
        <v>10305250.26</v>
      </c>
      <c r="F6" s="258">
        <v>14704742.9</v>
      </c>
    </row>
    <row r="7" spans="1:6" ht="21.75" customHeight="1">
      <c r="A7" s="214" t="s">
        <v>120</v>
      </c>
      <c r="B7" s="259">
        <v>8468000</v>
      </c>
      <c r="C7" s="260">
        <v>12795500</v>
      </c>
      <c r="D7" s="260">
        <v>19752000</v>
      </c>
      <c r="E7" s="260">
        <v>24512500</v>
      </c>
      <c r="F7" s="261">
        <v>51368000</v>
      </c>
    </row>
    <row r="8" spans="1:6" ht="21.75" customHeight="1">
      <c r="A8" s="215" t="s">
        <v>7</v>
      </c>
      <c r="B8" s="262">
        <v>593000</v>
      </c>
      <c r="C8" s="263">
        <v>767500</v>
      </c>
      <c r="D8" s="263">
        <v>1185000</v>
      </c>
      <c r="E8" s="263">
        <v>1470500</v>
      </c>
      <c r="F8" s="264">
        <v>3082080</v>
      </c>
    </row>
    <row r="9" spans="1:6" ht="21.75" customHeight="1">
      <c r="A9" s="215" t="s">
        <v>114</v>
      </c>
      <c r="B9" s="262">
        <v>5081000</v>
      </c>
      <c r="C9" s="263">
        <v>7421500</v>
      </c>
      <c r="D9" s="263">
        <v>11456000</v>
      </c>
      <c r="E9" s="265">
        <v>14217500</v>
      </c>
      <c r="F9" s="264">
        <v>29793439.999999996</v>
      </c>
    </row>
    <row r="10" spans="1:6" ht="21.75" customHeight="1">
      <c r="A10" s="215" t="s">
        <v>115</v>
      </c>
      <c r="B10" s="262">
        <v>0</v>
      </c>
      <c r="C10" s="263">
        <v>0</v>
      </c>
      <c r="D10" s="263">
        <v>0</v>
      </c>
      <c r="E10" s="265">
        <v>0</v>
      </c>
      <c r="F10" s="264">
        <v>0</v>
      </c>
    </row>
    <row r="11" spans="1:6" ht="21.75" customHeight="1" thickBot="1">
      <c r="A11" s="215" t="s">
        <v>113</v>
      </c>
      <c r="B11" s="266">
        <v>2794000</v>
      </c>
      <c r="C11" s="267">
        <v>4606000</v>
      </c>
      <c r="D11" s="267">
        <v>7111000</v>
      </c>
      <c r="E11" s="268">
        <v>8824500</v>
      </c>
      <c r="F11" s="269">
        <v>18492480</v>
      </c>
    </row>
    <row r="12" spans="1:6" ht="21.75" customHeight="1">
      <c r="A12" s="214" t="s">
        <v>122</v>
      </c>
      <c r="B12" s="270">
        <v>2611</v>
      </c>
      <c r="C12" s="271">
        <v>3315</v>
      </c>
      <c r="D12" s="271">
        <v>4119</v>
      </c>
      <c r="E12" s="271">
        <v>6279</v>
      </c>
      <c r="F12" s="272">
        <v>8080</v>
      </c>
    </row>
    <row r="13" spans="1:6" ht="21.75" customHeight="1">
      <c r="A13" s="215" t="s">
        <v>7</v>
      </c>
      <c r="B13" s="222">
        <v>185</v>
      </c>
      <c r="C13" s="106">
        <v>198</v>
      </c>
      <c r="D13" s="106">
        <v>288.33</v>
      </c>
      <c r="E13" s="106">
        <v>379</v>
      </c>
      <c r="F13" s="107">
        <v>566</v>
      </c>
    </row>
    <row r="14" spans="1:6" ht="21.75" customHeight="1">
      <c r="A14" s="215" t="s">
        <v>114</v>
      </c>
      <c r="B14" s="222">
        <v>1564</v>
      </c>
      <c r="C14" s="106">
        <v>1922</v>
      </c>
      <c r="D14" s="106">
        <v>2471.4</v>
      </c>
      <c r="E14" s="106">
        <v>3641</v>
      </c>
      <c r="F14" s="107">
        <v>4848</v>
      </c>
    </row>
    <row r="15" spans="1:6" ht="21.75" customHeight="1">
      <c r="A15" s="215" t="s">
        <v>115</v>
      </c>
      <c r="B15" s="222">
        <v>104</v>
      </c>
      <c r="C15" s="106">
        <v>165</v>
      </c>
      <c r="D15" s="106">
        <v>164.76</v>
      </c>
      <c r="E15" s="106">
        <v>313</v>
      </c>
      <c r="F15" s="107">
        <v>324</v>
      </c>
    </row>
    <row r="16" spans="1:6" ht="21.75" customHeight="1" thickBot="1">
      <c r="A16" s="215" t="s">
        <v>113</v>
      </c>
      <c r="B16" s="273">
        <v>758</v>
      </c>
      <c r="C16" s="274">
        <v>1030.45</v>
      </c>
      <c r="D16" s="274">
        <v>1194.51</v>
      </c>
      <c r="E16" s="274">
        <v>1946.17</v>
      </c>
      <c r="F16" s="275">
        <v>2342.8</v>
      </c>
    </row>
    <row r="17" spans="1:6" ht="21.75" customHeight="1">
      <c r="A17" s="214" t="s">
        <v>116</v>
      </c>
      <c r="B17" s="220">
        <v>30</v>
      </c>
      <c r="C17" s="105">
        <v>30</v>
      </c>
      <c r="D17" s="105">
        <v>24.22</v>
      </c>
      <c r="E17" s="105">
        <v>21.703</v>
      </c>
      <c r="F17" s="221">
        <v>21.703</v>
      </c>
    </row>
    <row r="18" spans="1:6" ht="21.75" customHeight="1">
      <c r="A18" s="215" t="s">
        <v>7</v>
      </c>
      <c r="B18" s="121">
        <v>30</v>
      </c>
      <c r="C18" s="122">
        <v>30</v>
      </c>
      <c r="D18" s="122">
        <v>30</v>
      </c>
      <c r="E18" s="122">
        <v>24</v>
      </c>
      <c r="F18" s="123">
        <v>24</v>
      </c>
    </row>
    <row r="19" spans="1:6" ht="21.75" customHeight="1">
      <c r="A19" s="215" t="s">
        <v>114</v>
      </c>
      <c r="B19" s="124">
        <v>30</v>
      </c>
      <c r="C19" s="94">
        <v>30</v>
      </c>
      <c r="D19" s="94" t="s">
        <v>16</v>
      </c>
      <c r="E19" s="95" t="s">
        <v>16</v>
      </c>
      <c r="F19" s="96" t="s">
        <v>16</v>
      </c>
    </row>
    <row r="20" spans="1:6" ht="21.75" customHeight="1">
      <c r="A20" s="215" t="s">
        <v>115</v>
      </c>
      <c r="B20" s="124"/>
      <c r="C20" s="94"/>
      <c r="D20" s="94"/>
      <c r="E20" s="95"/>
      <c r="F20" s="96"/>
    </row>
    <row r="21" spans="1:6" ht="21.75" customHeight="1" thickBot="1">
      <c r="A21" s="215" t="s">
        <v>113</v>
      </c>
      <c r="B21" s="124">
        <v>30</v>
      </c>
      <c r="C21" s="94">
        <v>30</v>
      </c>
      <c r="D21" s="94">
        <v>30</v>
      </c>
      <c r="E21" s="95">
        <v>24</v>
      </c>
      <c r="F21" s="96">
        <v>24</v>
      </c>
    </row>
    <row r="22" spans="1:6" ht="21.75" customHeight="1">
      <c r="A22" s="10" t="s">
        <v>133</v>
      </c>
      <c r="B22" s="220">
        <v>8</v>
      </c>
      <c r="C22" s="105">
        <v>8</v>
      </c>
      <c r="D22" s="105">
        <v>8</v>
      </c>
      <c r="E22" s="105">
        <v>8</v>
      </c>
      <c r="F22" s="221">
        <v>8</v>
      </c>
    </row>
    <row r="23" spans="1:6" ht="21.75" customHeight="1">
      <c r="A23" s="215" t="s">
        <v>7</v>
      </c>
      <c r="B23" s="121">
        <v>8</v>
      </c>
      <c r="C23" s="122">
        <v>8</v>
      </c>
      <c r="D23" s="122">
        <v>8</v>
      </c>
      <c r="E23" s="122">
        <v>8</v>
      </c>
      <c r="F23" s="123">
        <v>8</v>
      </c>
    </row>
    <row r="24" spans="1:6" ht="21.75" customHeight="1">
      <c r="A24" s="215" t="s">
        <v>114</v>
      </c>
      <c r="B24" s="124">
        <v>8</v>
      </c>
      <c r="C24" s="94">
        <v>8</v>
      </c>
      <c r="D24" s="94">
        <v>8</v>
      </c>
      <c r="E24" s="95">
        <v>8</v>
      </c>
      <c r="F24" s="96">
        <v>8</v>
      </c>
    </row>
    <row r="25" spans="1:6" ht="21.75" customHeight="1">
      <c r="A25" s="215" t="s">
        <v>115</v>
      </c>
      <c r="B25" s="124"/>
      <c r="C25" s="94"/>
      <c r="D25" s="94"/>
      <c r="E25" s="95"/>
      <c r="F25" s="96"/>
    </row>
    <row r="26" spans="1:6" ht="21.75" customHeight="1" thickBot="1">
      <c r="A26" s="215" t="s">
        <v>113</v>
      </c>
      <c r="B26" s="124">
        <v>8</v>
      </c>
      <c r="C26" s="94">
        <v>8</v>
      </c>
      <c r="D26" s="94">
        <v>8</v>
      </c>
      <c r="E26" s="95">
        <v>8</v>
      </c>
      <c r="F26" s="96">
        <v>8</v>
      </c>
    </row>
    <row r="27" spans="1:6" ht="21.75" customHeight="1" thickBot="1">
      <c r="A27" s="214" t="s">
        <v>126</v>
      </c>
      <c r="B27" s="226"/>
      <c r="C27" s="126"/>
      <c r="D27" s="126"/>
      <c r="E27" s="126"/>
      <c r="F27" s="127"/>
    </row>
    <row r="28" spans="1:6" ht="21.75" customHeight="1" thickBot="1">
      <c r="A28" s="214" t="s">
        <v>127</v>
      </c>
      <c r="B28" s="227"/>
      <c r="C28" s="128"/>
      <c r="D28" s="128"/>
      <c r="E28" s="128"/>
      <c r="F28" s="129"/>
    </row>
    <row r="29" spans="1:6" ht="21.75" customHeight="1">
      <c r="A29" s="214" t="s">
        <v>117</v>
      </c>
      <c r="B29" s="342">
        <v>1105423</v>
      </c>
      <c r="C29" s="106">
        <v>1398930.95</v>
      </c>
      <c r="D29" s="106">
        <v>1770370.14</v>
      </c>
      <c r="E29" s="108">
        <v>2304125.66</v>
      </c>
      <c r="F29" s="107">
        <v>3719594.7</v>
      </c>
    </row>
    <row r="30" spans="1:6" ht="21.75" customHeight="1">
      <c r="A30" s="215" t="s">
        <v>7</v>
      </c>
      <c r="B30" s="222"/>
      <c r="C30" s="276"/>
      <c r="D30" s="276"/>
      <c r="E30" s="276"/>
      <c r="F30" s="277"/>
    </row>
    <row r="31" spans="1:6" ht="21.75" customHeight="1">
      <c r="A31" s="215" t="s">
        <v>114</v>
      </c>
      <c r="B31" s="222"/>
      <c r="C31" s="106"/>
      <c r="D31" s="106"/>
      <c r="E31" s="108"/>
      <c r="F31" s="107"/>
    </row>
    <row r="32" spans="1:6" ht="21.75" customHeight="1">
      <c r="A32" s="215" t="s">
        <v>115</v>
      </c>
      <c r="B32" s="228"/>
      <c r="C32" s="97"/>
      <c r="D32" s="97"/>
      <c r="E32" s="97"/>
      <c r="F32" s="98"/>
    </row>
    <row r="33" spans="1:6" ht="21.75" customHeight="1" thickBot="1">
      <c r="A33" s="215" t="s">
        <v>113</v>
      </c>
      <c r="B33" s="247"/>
      <c r="C33" s="248"/>
      <c r="D33" s="248"/>
      <c r="E33" s="248"/>
      <c r="F33" s="249"/>
    </row>
    <row r="34" spans="1:6" ht="21.75" customHeight="1">
      <c r="A34" s="214" t="s">
        <v>118</v>
      </c>
      <c r="B34" s="228">
        <f>B6/B12</f>
        <v>1034.8567598621219</v>
      </c>
      <c r="C34" s="97">
        <f>C6/C12</f>
        <v>1307.9447330316743</v>
      </c>
      <c r="D34" s="97">
        <f>D6/D12</f>
        <v>1319.4721898519058</v>
      </c>
      <c r="E34" s="97">
        <f>E6/E12</f>
        <v>1641.2247587195413</v>
      </c>
      <c r="F34" s="98">
        <f>F6/F12</f>
        <v>1819.8939232673267</v>
      </c>
    </row>
    <row r="35" spans="1:6" ht="21.75" customHeight="1">
      <c r="A35" s="215" t="s">
        <v>7</v>
      </c>
      <c r="B35" s="222"/>
      <c r="C35" s="106"/>
      <c r="D35" s="106"/>
      <c r="E35" s="108"/>
      <c r="F35" s="107"/>
    </row>
    <row r="36" spans="1:6" ht="21.75" customHeight="1">
      <c r="A36" s="215" t="s">
        <v>114</v>
      </c>
      <c r="B36" s="222"/>
      <c r="C36" s="106"/>
      <c r="D36" s="106"/>
      <c r="E36" s="108"/>
      <c r="F36" s="107"/>
    </row>
    <row r="37" spans="1:6" ht="21.75" customHeight="1">
      <c r="A37" s="215" t="s">
        <v>115</v>
      </c>
      <c r="B37" s="228"/>
      <c r="C37" s="97"/>
      <c r="D37" s="97"/>
      <c r="E37" s="97"/>
      <c r="F37" s="98"/>
    </row>
    <row r="38" spans="1:6" ht="21.75" customHeight="1" thickBot="1">
      <c r="A38" s="216" t="s">
        <v>113</v>
      </c>
      <c r="B38" s="230"/>
      <c r="C38" s="130"/>
      <c r="D38" s="130"/>
      <c r="E38" s="130"/>
      <c r="F38" s="231"/>
    </row>
    <row r="39" spans="1:6" ht="17.25" thickTop="1">
      <c r="A39" s="9"/>
      <c r="B39" s="61"/>
      <c r="C39" s="61"/>
      <c r="D39" s="61"/>
      <c r="E39" s="61"/>
      <c r="F39" s="61"/>
    </row>
    <row r="40" ht="15.75">
      <c r="A40" s="175" t="s">
        <v>18</v>
      </c>
    </row>
    <row r="41" spans="1:6" s="175" customFormat="1" ht="15.75">
      <c r="A41" s="538" t="s">
        <v>144</v>
      </c>
      <c r="B41" s="538"/>
      <c r="C41" s="538"/>
      <c r="D41" s="538"/>
      <c r="E41" s="538"/>
      <c r="F41" s="538"/>
    </row>
    <row r="42" spans="1:6" s="175" customFormat="1" ht="15.75">
      <c r="A42" s="538" t="s">
        <v>145</v>
      </c>
      <c r="B42" s="538"/>
      <c r="C42" s="538"/>
      <c r="D42" s="538"/>
      <c r="E42" s="538"/>
      <c r="F42" s="538"/>
    </row>
    <row r="43" spans="1:6" s="253" customFormat="1" ht="12.75">
      <c r="A43" s="512" t="s">
        <v>146</v>
      </c>
      <c r="B43" s="512"/>
      <c r="C43" s="512"/>
      <c r="D43" s="512"/>
      <c r="E43" s="512"/>
      <c r="F43" s="512"/>
    </row>
    <row r="44" spans="1:6" s="253" customFormat="1" ht="12.75">
      <c r="A44" s="512" t="s">
        <v>124</v>
      </c>
      <c r="B44" s="512"/>
      <c r="C44" s="512"/>
      <c r="D44" s="512"/>
      <c r="E44" s="512"/>
      <c r="F44" s="512"/>
    </row>
    <row r="45" spans="1:6" ht="12.75">
      <c r="A45" s="538" t="s">
        <v>147</v>
      </c>
      <c r="B45" s="538"/>
      <c r="C45" s="538"/>
      <c r="D45" s="538"/>
      <c r="E45" s="538"/>
      <c r="F45" s="538"/>
    </row>
    <row r="46" spans="1:6" ht="12.75">
      <c r="A46" s="538" t="s">
        <v>148</v>
      </c>
      <c r="B46" s="538"/>
      <c r="C46" s="538"/>
      <c r="D46" s="538"/>
      <c r="E46" s="538"/>
      <c r="F46" s="538"/>
    </row>
  </sheetData>
  <mergeCells count="6">
    <mergeCell ref="A45:F45"/>
    <mergeCell ref="A46:F46"/>
    <mergeCell ref="A2:F2"/>
    <mergeCell ref="A3:F3"/>
    <mergeCell ref="A41:F41"/>
    <mergeCell ref="A42:F4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2:F47"/>
  <sheetViews>
    <sheetView workbookViewId="0" topLeftCell="A1">
      <selection activeCell="A1" sqref="A1"/>
    </sheetView>
  </sheetViews>
  <sheetFormatPr defaultColWidth="9.140625" defaultRowHeight="12.75"/>
  <cols>
    <col min="1" max="1" width="50.57421875" style="0" customWidth="1"/>
    <col min="2" max="4" width="15.7109375" style="0" customWidth="1"/>
    <col min="5" max="5" width="17.140625" style="0" customWidth="1"/>
    <col min="6" max="6" width="18.0039062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11</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121</v>
      </c>
      <c r="B6" s="149">
        <v>17065295</v>
      </c>
      <c r="C6" s="149">
        <v>20759375</v>
      </c>
      <c r="D6" s="149">
        <v>27849536</v>
      </c>
      <c r="E6" s="149">
        <v>21610000</v>
      </c>
      <c r="F6" s="150">
        <v>33574000</v>
      </c>
    </row>
    <row r="7" spans="1:6" ht="21.75" customHeight="1">
      <c r="A7" s="10" t="s">
        <v>129</v>
      </c>
      <c r="B7" s="4">
        <v>26254300</v>
      </c>
      <c r="C7" s="4">
        <v>31937500</v>
      </c>
      <c r="D7" s="4">
        <v>42845440</v>
      </c>
      <c r="E7" s="4">
        <v>31978000</v>
      </c>
      <c r="F7" s="139">
        <v>80024690</v>
      </c>
    </row>
    <row r="8" spans="1:6" ht="21.75" customHeight="1">
      <c r="A8" s="11" t="s">
        <v>7</v>
      </c>
      <c r="B8" s="5"/>
      <c r="C8" s="5"/>
      <c r="D8" s="5"/>
      <c r="E8" s="5"/>
      <c r="F8" s="156"/>
    </row>
    <row r="9" spans="1:6" ht="21.75" customHeight="1">
      <c r="A9" s="11" t="s">
        <v>114</v>
      </c>
      <c r="B9" s="6"/>
      <c r="C9" s="6"/>
      <c r="D9" s="6"/>
      <c r="E9" s="7"/>
      <c r="F9" s="145"/>
    </row>
    <row r="10" spans="1:6" ht="21.75" customHeight="1">
      <c r="A10" s="11" t="s">
        <v>115</v>
      </c>
      <c r="B10" s="6"/>
      <c r="C10" s="6"/>
      <c r="D10" s="6"/>
      <c r="E10" s="7"/>
      <c r="F10" s="145"/>
    </row>
    <row r="11" spans="1:6" ht="21.75" customHeight="1" thickBot="1">
      <c r="A11" s="11" t="s">
        <v>113</v>
      </c>
      <c r="B11" s="6"/>
      <c r="C11" s="6"/>
      <c r="D11" s="6"/>
      <c r="E11" s="7"/>
      <c r="F11" s="145"/>
    </row>
    <row r="12" spans="1:6" ht="21.75" customHeight="1">
      <c r="A12" s="10" t="s">
        <v>122</v>
      </c>
      <c r="B12" s="4">
        <v>6183</v>
      </c>
      <c r="C12" s="4">
        <v>6886</v>
      </c>
      <c r="D12" s="4">
        <v>9301</v>
      </c>
      <c r="E12" s="4">
        <v>12974</v>
      </c>
      <c r="F12" s="139">
        <v>16599</v>
      </c>
    </row>
    <row r="13" spans="1:6" ht="21.75" customHeight="1">
      <c r="A13" s="11" t="s">
        <v>7</v>
      </c>
      <c r="B13" s="5"/>
      <c r="C13" s="5"/>
      <c r="D13" s="5"/>
      <c r="E13" s="5"/>
      <c r="F13" s="156"/>
    </row>
    <row r="14" spans="1:6" ht="21.75" customHeight="1">
      <c r="A14" s="11" t="s">
        <v>114</v>
      </c>
      <c r="B14" s="6"/>
      <c r="C14" s="6"/>
      <c r="D14" s="6"/>
      <c r="E14" s="7"/>
      <c r="F14" s="145"/>
    </row>
    <row r="15" spans="1:6" ht="21.75" customHeight="1">
      <c r="A15" s="11" t="s">
        <v>115</v>
      </c>
      <c r="B15" s="6"/>
      <c r="C15" s="6"/>
      <c r="D15" s="6"/>
      <c r="E15" s="7"/>
      <c r="F15" s="145"/>
    </row>
    <row r="16" spans="1:6" ht="21.75" customHeight="1" thickBot="1">
      <c r="A16" s="11" t="s">
        <v>113</v>
      </c>
      <c r="B16" s="6"/>
      <c r="C16" s="6"/>
      <c r="D16" s="6"/>
      <c r="E16" s="7"/>
      <c r="F16" s="145"/>
    </row>
    <row r="17" spans="1:6" ht="21.75" customHeight="1">
      <c r="A17" s="10" t="s">
        <v>116</v>
      </c>
      <c r="B17" s="4">
        <v>30</v>
      </c>
      <c r="C17" s="4">
        <v>30</v>
      </c>
      <c r="D17" s="4">
        <v>30</v>
      </c>
      <c r="E17" s="4">
        <v>27</v>
      </c>
      <c r="F17" s="139">
        <v>27</v>
      </c>
    </row>
    <row r="18" spans="1:6" ht="21.75" customHeight="1">
      <c r="A18" s="11" t="s">
        <v>7</v>
      </c>
      <c r="B18" s="5"/>
      <c r="C18" s="5"/>
      <c r="D18" s="5"/>
      <c r="E18" s="5"/>
      <c r="F18" s="156"/>
    </row>
    <row r="19" spans="1:6" ht="21.75" customHeight="1">
      <c r="A19" s="11" t="s">
        <v>114</v>
      </c>
      <c r="B19" s="6"/>
      <c r="C19" s="6"/>
      <c r="D19" s="6"/>
      <c r="E19" s="7"/>
      <c r="F19" s="145"/>
    </row>
    <row r="20" spans="1:6" ht="21.75" customHeight="1">
      <c r="A20" s="11" t="s">
        <v>115</v>
      </c>
      <c r="B20" s="6"/>
      <c r="C20" s="6"/>
      <c r="D20" s="6"/>
      <c r="E20" s="7"/>
      <c r="F20" s="145"/>
    </row>
    <row r="21" spans="1:6" ht="21.75" customHeight="1" thickBot="1">
      <c r="A21" s="11" t="s">
        <v>113</v>
      </c>
      <c r="B21" s="6"/>
      <c r="C21" s="6"/>
      <c r="D21" s="6"/>
      <c r="E21" s="7"/>
      <c r="F21" s="145"/>
    </row>
    <row r="22" spans="1:6" ht="21.75" customHeight="1">
      <c r="A22" s="10" t="s">
        <v>133</v>
      </c>
      <c r="B22" s="4">
        <v>6</v>
      </c>
      <c r="C22" s="4">
        <v>6</v>
      </c>
      <c r="D22" s="4">
        <v>6</v>
      </c>
      <c r="E22" s="4">
        <v>9</v>
      </c>
      <c r="F22" s="139">
        <v>9</v>
      </c>
    </row>
    <row r="23" spans="1:6" ht="21.75" customHeight="1">
      <c r="A23" s="11" t="s">
        <v>7</v>
      </c>
      <c r="B23" s="5"/>
      <c r="C23" s="5"/>
      <c r="D23" s="5"/>
      <c r="E23" s="5"/>
      <c r="F23" s="156"/>
    </row>
    <row r="24" spans="1:6" ht="21.75" customHeight="1">
      <c r="A24" s="11" t="s">
        <v>114</v>
      </c>
      <c r="B24" s="6"/>
      <c r="C24" s="6"/>
      <c r="D24" s="6"/>
      <c r="E24" s="7"/>
      <c r="F24" s="145"/>
    </row>
    <row r="25" spans="1:6" ht="21.75" customHeight="1">
      <c r="A25" s="11" t="s">
        <v>115</v>
      </c>
      <c r="B25" s="6"/>
      <c r="C25" s="6"/>
      <c r="D25" s="6"/>
      <c r="E25" s="7"/>
      <c r="F25" s="145"/>
    </row>
    <row r="26" spans="1:6" ht="21.75" customHeight="1" thickBot="1">
      <c r="A26" s="11" t="s">
        <v>113</v>
      </c>
      <c r="B26" s="6"/>
      <c r="C26" s="6"/>
      <c r="D26" s="6"/>
      <c r="E26" s="7"/>
      <c r="F26" s="145"/>
    </row>
    <row r="27" spans="1:6" ht="21.75" customHeight="1" thickBot="1">
      <c r="A27" s="10" t="s">
        <v>126</v>
      </c>
      <c r="B27" s="14"/>
      <c r="C27" s="14"/>
      <c r="D27" s="14"/>
      <c r="E27" s="14"/>
      <c r="F27" s="157"/>
    </row>
    <row r="28" spans="1:6" ht="21.75" customHeight="1" thickBot="1">
      <c r="A28" s="10" t="s">
        <v>127</v>
      </c>
      <c r="B28" s="15"/>
      <c r="C28" s="15"/>
      <c r="D28" s="15"/>
      <c r="E28" s="15"/>
      <c r="F28" s="143"/>
    </row>
    <row r="29" spans="1:6" ht="21.75" customHeight="1">
      <c r="A29" s="10" t="s">
        <v>132</v>
      </c>
      <c r="B29" s="4">
        <v>2219866</v>
      </c>
      <c r="C29" s="4">
        <v>3187424</v>
      </c>
      <c r="D29" s="4">
        <v>4893829</v>
      </c>
      <c r="E29" s="4">
        <v>6933797</v>
      </c>
      <c r="F29" s="139">
        <v>8940160</v>
      </c>
    </row>
    <row r="30" spans="1:6" ht="21.75" customHeight="1">
      <c r="A30" s="11" t="s">
        <v>7</v>
      </c>
      <c r="B30" s="6"/>
      <c r="C30" s="6"/>
      <c r="D30" s="6"/>
      <c r="E30" s="7"/>
      <c r="F30" s="145"/>
    </row>
    <row r="31" spans="1:6" ht="21.75" customHeight="1">
      <c r="A31" s="11" t="s">
        <v>114</v>
      </c>
      <c r="B31" s="6"/>
      <c r="C31" s="6"/>
      <c r="D31" s="6"/>
      <c r="E31" s="7"/>
      <c r="F31" s="145"/>
    </row>
    <row r="32" spans="1:6" ht="21.75" customHeight="1">
      <c r="A32" s="11" t="s">
        <v>115</v>
      </c>
      <c r="B32" s="16"/>
      <c r="C32" s="16"/>
      <c r="D32" s="16"/>
      <c r="E32" s="16"/>
      <c r="F32" s="144"/>
    </row>
    <row r="33" spans="1:6" ht="21.75" customHeight="1" thickBot="1">
      <c r="A33" s="11" t="s">
        <v>113</v>
      </c>
      <c r="B33" s="17"/>
      <c r="C33" s="17"/>
      <c r="D33" s="17"/>
      <c r="E33" s="17"/>
      <c r="F33" s="146"/>
    </row>
    <row r="34" spans="1:6" ht="21.75" customHeight="1">
      <c r="A34" s="10" t="s">
        <v>118</v>
      </c>
      <c r="B34" s="12">
        <v>2000</v>
      </c>
      <c r="C34" s="12">
        <v>2000</v>
      </c>
      <c r="D34" s="12">
        <v>3500</v>
      </c>
      <c r="E34" s="13">
        <v>3500</v>
      </c>
      <c r="F34" s="147">
        <v>3500</v>
      </c>
    </row>
    <row r="35" spans="1:6" ht="21.75" customHeight="1">
      <c r="A35" s="11" t="s">
        <v>7</v>
      </c>
      <c r="B35" s="6"/>
      <c r="C35" s="6"/>
      <c r="D35" s="6"/>
      <c r="E35" s="7"/>
      <c r="F35" s="145"/>
    </row>
    <row r="36" spans="1:6" ht="21.75" customHeight="1">
      <c r="A36" s="11" t="s">
        <v>114</v>
      </c>
      <c r="B36" s="6"/>
      <c r="C36" s="6"/>
      <c r="D36" s="6"/>
      <c r="E36" s="7"/>
      <c r="F36" s="145"/>
    </row>
    <row r="37" spans="1:6" ht="21.75" customHeight="1">
      <c r="A37" s="11" t="s">
        <v>115</v>
      </c>
      <c r="B37" s="16"/>
      <c r="C37" s="16"/>
      <c r="D37" s="16"/>
      <c r="E37" s="16"/>
      <c r="F37" s="144"/>
    </row>
    <row r="38" spans="1:6" ht="21.75" customHeight="1" thickBot="1">
      <c r="A38" s="18" t="s">
        <v>113</v>
      </c>
      <c r="B38" s="19"/>
      <c r="C38" s="19"/>
      <c r="D38" s="19"/>
      <c r="E38" s="19"/>
      <c r="F38" s="148"/>
    </row>
    <row r="39" ht="17.25" thickTop="1">
      <c r="A39" s="9"/>
    </row>
    <row r="40" ht="15.75">
      <c r="A40" s="175" t="s">
        <v>17</v>
      </c>
    </row>
    <row r="41" spans="1:6" ht="15.75">
      <c r="A41" s="539" t="s">
        <v>149</v>
      </c>
      <c r="B41" s="539"/>
      <c r="C41" s="539"/>
      <c r="D41" s="539"/>
      <c r="E41" s="539"/>
      <c r="F41" s="539"/>
    </row>
    <row r="42" spans="1:6" ht="15.75">
      <c r="A42" s="539" t="s">
        <v>150</v>
      </c>
      <c r="B42" s="539"/>
      <c r="C42" s="539"/>
      <c r="D42" s="539"/>
      <c r="E42" s="539"/>
      <c r="F42" s="539"/>
    </row>
    <row r="43" spans="1:6" ht="15.75">
      <c r="A43" s="539" t="s">
        <v>151</v>
      </c>
      <c r="B43" s="539"/>
      <c r="C43" s="539"/>
      <c r="D43" s="539"/>
      <c r="E43" s="539"/>
      <c r="F43" s="539"/>
    </row>
    <row r="44" spans="1:6" ht="12.75">
      <c r="A44" s="253"/>
      <c r="B44" s="253"/>
      <c r="C44" s="253"/>
      <c r="D44" s="253"/>
      <c r="E44" s="253"/>
      <c r="F44" s="253"/>
    </row>
    <row r="45" spans="1:6" ht="12.75">
      <c r="A45" s="253"/>
      <c r="B45" s="253"/>
      <c r="C45" s="253"/>
      <c r="D45" s="253"/>
      <c r="E45" s="253"/>
      <c r="F45" s="253"/>
    </row>
    <row r="46" spans="1:6" ht="15.75">
      <c r="A46" s="539"/>
      <c r="B46" s="539"/>
      <c r="C46" s="539"/>
      <c r="D46" s="539"/>
      <c r="E46" s="539"/>
      <c r="F46" s="539"/>
    </row>
    <row r="47" spans="1:6" ht="15.75">
      <c r="A47" s="539"/>
      <c r="B47" s="539"/>
      <c r="C47" s="539"/>
      <c r="D47" s="539"/>
      <c r="E47" s="539"/>
      <c r="F47" s="539"/>
    </row>
  </sheetData>
  <mergeCells count="7">
    <mergeCell ref="A46:F46"/>
    <mergeCell ref="A47:F47"/>
    <mergeCell ref="A43:F43"/>
    <mergeCell ref="A2:F2"/>
    <mergeCell ref="A3:F3"/>
    <mergeCell ref="A41:F41"/>
    <mergeCell ref="A42:F4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G44"/>
  <sheetViews>
    <sheetView workbookViewId="0" topLeftCell="A1">
      <selection activeCell="A1" sqref="A1"/>
    </sheetView>
  </sheetViews>
  <sheetFormatPr defaultColWidth="9.140625" defaultRowHeight="12.75"/>
  <cols>
    <col min="1" max="1" width="49.57421875" style="0" customWidth="1"/>
    <col min="2" max="2" width="15.7109375" style="0" customWidth="1"/>
    <col min="3" max="3" width="17.00390625" style="0" customWidth="1"/>
    <col min="4" max="6" width="15.7109375" style="0" customWidth="1"/>
    <col min="7" max="16384" width="11.421875" style="0" customWidth="1"/>
  </cols>
  <sheetData>
    <row r="1" spans="3:6" ht="12.75">
      <c r="C1" s="61"/>
      <c r="D1" s="61"/>
      <c r="E1" s="61"/>
      <c r="F1" s="61"/>
    </row>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12</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149"/>
      <c r="C6" s="149">
        <v>4260794</v>
      </c>
      <c r="D6" s="149">
        <v>6153996</v>
      </c>
      <c r="E6" s="149">
        <v>20080897</v>
      </c>
      <c r="F6" s="150">
        <v>36292114</v>
      </c>
    </row>
    <row r="7" spans="1:7" ht="21.75" customHeight="1">
      <c r="A7" s="10" t="s">
        <v>120</v>
      </c>
      <c r="B7" s="4"/>
      <c r="C7" s="54">
        <v>8952000</v>
      </c>
      <c r="D7" s="54">
        <v>8001500</v>
      </c>
      <c r="E7" s="54">
        <v>50046500</v>
      </c>
      <c r="F7" s="158">
        <v>80536500</v>
      </c>
      <c r="G7" s="61"/>
    </row>
    <row r="8" spans="1:7" ht="21.75" customHeight="1">
      <c r="A8" s="11" t="s">
        <v>7</v>
      </c>
      <c r="B8" s="50"/>
      <c r="C8" s="71">
        <v>4296960</v>
      </c>
      <c r="D8" s="71">
        <v>3840720</v>
      </c>
      <c r="E8" s="71">
        <v>24022320</v>
      </c>
      <c r="F8" s="159">
        <v>37852155</v>
      </c>
      <c r="G8" s="61"/>
    </row>
    <row r="9" spans="1:7" ht="21.75" customHeight="1">
      <c r="A9" s="11" t="s">
        <v>114</v>
      </c>
      <c r="B9" s="50"/>
      <c r="C9" s="71">
        <v>1700880</v>
      </c>
      <c r="D9" s="71">
        <v>1520285</v>
      </c>
      <c r="E9" s="71">
        <v>9508835</v>
      </c>
      <c r="F9" s="159">
        <v>15301935</v>
      </c>
      <c r="G9" s="61"/>
    </row>
    <row r="10" spans="1:7" ht="21.75" customHeight="1">
      <c r="A10" s="11" t="s">
        <v>115</v>
      </c>
      <c r="B10" s="50"/>
      <c r="C10" s="50"/>
      <c r="D10" s="50"/>
      <c r="E10" s="51"/>
      <c r="F10" s="140"/>
      <c r="G10" s="61"/>
    </row>
    <row r="11" spans="1:7" ht="21.75" customHeight="1" thickBot="1">
      <c r="A11" s="11" t="s">
        <v>113</v>
      </c>
      <c r="B11" s="50"/>
      <c r="C11" s="50">
        <v>2954160</v>
      </c>
      <c r="D11" s="50">
        <v>2640495</v>
      </c>
      <c r="E11" s="50">
        <v>16515345</v>
      </c>
      <c r="F11" s="279">
        <v>27382410</v>
      </c>
      <c r="G11" s="61"/>
    </row>
    <row r="12" spans="1:6" ht="21.75" customHeight="1">
      <c r="A12" s="10" t="s">
        <v>122</v>
      </c>
      <c r="B12" s="4"/>
      <c r="C12" s="54">
        <v>4162</v>
      </c>
      <c r="D12" s="54">
        <v>3748</v>
      </c>
      <c r="E12" s="54">
        <v>11924</v>
      </c>
      <c r="F12" s="158">
        <v>17454</v>
      </c>
    </row>
    <row r="13" spans="1:6" ht="21.75" customHeight="1">
      <c r="A13" s="11" t="s">
        <v>7</v>
      </c>
      <c r="B13" s="5"/>
      <c r="C13" s="55">
        <v>1998</v>
      </c>
      <c r="D13" s="55">
        <v>1799</v>
      </c>
      <c r="E13" s="55">
        <v>5724</v>
      </c>
      <c r="F13" s="160">
        <v>8203</v>
      </c>
    </row>
    <row r="14" spans="1:6" ht="21.75" customHeight="1">
      <c r="A14" s="11" t="s">
        <v>114</v>
      </c>
      <c r="B14" s="6"/>
      <c r="C14" s="55">
        <v>791</v>
      </c>
      <c r="D14" s="55">
        <v>712</v>
      </c>
      <c r="E14" s="55">
        <v>2266</v>
      </c>
      <c r="F14" s="160">
        <v>3316</v>
      </c>
    </row>
    <row r="15" spans="1:6" ht="21.75" customHeight="1">
      <c r="A15" s="11" t="s">
        <v>115</v>
      </c>
      <c r="B15" s="6"/>
      <c r="C15" s="6">
        <v>0</v>
      </c>
      <c r="D15" s="6">
        <v>0</v>
      </c>
      <c r="E15" s="7">
        <v>0</v>
      </c>
      <c r="F15" s="145">
        <v>0</v>
      </c>
    </row>
    <row r="16" spans="1:6" ht="21.75" customHeight="1" thickBot="1">
      <c r="A16" s="11" t="s">
        <v>113</v>
      </c>
      <c r="B16" s="6"/>
      <c r="C16" s="6">
        <v>1374</v>
      </c>
      <c r="D16" s="6">
        <v>1237</v>
      </c>
      <c r="E16" s="7">
        <v>3935</v>
      </c>
      <c r="F16" s="145">
        <v>5934</v>
      </c>
    </row>
    <row r="17" spans="1:6" ht="21.75" customHeight="1">
      <c r="A17" s="10" t="s">
        <v>116</v>
      </c>
      <c r="B17" s="4"/>
      <c r="C17" s="4">
        <v>24</v>
      </c>
      <c r="D17" s="4">
        <v>24</v>
      </c>
      <c r="E17" s="4">
        <v>24</v>
      </c>
      <c r="F17" s="139">
        <v>24</v>
      </c>
    </row>
    <row r="18" spans="1:6" ht="21.75" customHeight="1">
      <c r="A18" s="11" t="s">
        <v>7</v>
      </c>
      <c r="B18" s="5"/>
      <c r="C18" s="5"/>
      <c r="D18" s="5"/>
      <c r="E18" s="5"/>
      <c r="F18" s="156"/>
    </row>
    <row r="19" spans="1:6" ht="21.75" customHeight="1">
      <c r="A19" s="11" t="s">
        <v>114</v>
      </c>
      <c r="B19" s="6"/>
      <c r="C19" s="6"/>
      <c r="D19" s="6"/>
      <c r="E19" s="7"/>
      <c r="F19" s="145"/>
    </row>
    <row r="20" spans="1:6" ht="21.75" customHeight="1">
      <c r="A20" s="11" t="s">
        <v>115</v>
      </c>
      <c r="B20" s="6"/>
      <c r="C20" s="6"/>
      <c r="D20" s="6"/>
      <c r="E20" s="7"/>
      <c r="F20" s="145"/>
    </row>
    <row r="21" spans="1:6" ht="21.75" customHeight="1" thickBot="1">
      <c r="A21" s="11" t="s">
        <v>113</v>
      </c>
      <c r="B21" s="6"/>
      <c r="C21" s="6"/>
      <c r="D21" s="6"/>
      <c r="E21" s="7"/>
      <c r="F21" s="145"/>
    </row>
    <row r="22" spans="1:6" ht="21.75" customHeight="1" thickBot="1">
      <c r="A22" s="10" t="s">
        <v>133</v>
      </c>
      <c r="B22" s="4"/>
      <c r="C22" s="4">
        <v>6</v>
      </c>
      <c r="D22" s="4">
        <v>6</v>
      </c>
      <c r="E22" s="4">
        <v>9</v>
      </c>
      <c r="F22" s="139">
        <v>9</v>
      </c>
    </row>
    <row r="23" spans="1:6" ht="21.75" customHeight="1" thickBot="1">
      <c r="A23" s="11" t="s">
        <v>7</v>
      </c>
      <c r="B23" s="5"/>
      <c r="C23" s="4">
        <v>6</v>
      </c>
      <c r="D23" s="4">
        <v>6</v>
      </c>
      <c r="E23" s="4">
        <v>9</v>
      </c>
      <c r="F23" s="139">
        <v>9</v>
      </c>
    </row>
    <row r="24" spans="1:6" ht="21.75" customHeight="1">
      <c r="A24" s="11" t="s">
        <v>114</v>
      </c>
      <c r="B24" s="6"/>
      <c r="C24" s="4">
        <v>6</v>
      </c>
      <c r="D24" s="4">
        <v>6</v>
      </c>
      <c r="E24" s="4">
        <v>9</v>
      </c>
      <c r="F24" s="139">
        <v>9</v>
      </c>
    </row>
    <row r="25" spans="1:6" ht="21.75" customHeight="1" thickBot="1">
      <c r="A25" s="11" t="s">
        <v>115</v>
      </c>
      <c r="B25" s="6"/>
      <c r="C25" s="6"/>
      <c r="D25" s="6"/>
      <c r="E25" s="7"/>
      <c r="F25" s="145"/>
    </row>
    <row r="26" spans="1:6" ht="21.75" customHeight="1" thickBot="1">
      <c r="A26" s="11" t="s">
        <v>113</v>
      </c>
      <c r="B26" s="6"/>
      <c r="C26" s="4">
        <v>6</v>
      </c>
      <c r="D26" s="4">
        <v>6</v>
      </c>
      <c r="E26" s="4">
        <v>9</v>
      </c>
      <c r="F26" s="139">
        <v>9</v>
      </c>
    </row>
    <row r="27" spans="1:6" ht="21.75" customHeight="1" thickBot="1">
      <c r="A27" s="10" t="s">
        <v>126</v>
      </c>
      <c r="B27" s="14"/>
      <c r="C27" s="14"/>
      <c r="D27" s="14"/>
      <c r="E27" s="14"/>
      <c r="F27" s="157"/>
    </row>
    <row r="28" spans="1:6" ht="21.75" customHeight="1" thickBot="1">
      <c r="A28" s="10" t="s">
        <v>127</v>
      </c>
      <c r="B28" s="15"/>
      <c r="C28" s="15"/>
      <c r="D28" s="15"/>
      <c r="E28" s="15"/>
      <c r="F28" s="143"/>
    </row>
    <row r="29" spans="1:6" ht="21.75" customHeight="1">
      <c r="A29" s="10" t="s">
        <v>117</v>
      </c>
      <c r="B29" s="12"/>
      <c r="C29" s="12">
        <v>3100000</v>
      </c>
      <c r="D29" s="12">
        <v>2900000</v>
      </c>
      <c r="E29" s="13">
        <v>3900000</v>
      </c>
      <c r="F29" s="147">
        <v>5655000</v>
      </c>
    </row>
    <row r="30" spans="1:6" ht="21.75" customHeight="1">
      <c r="A30" s="11" t="s">
        <v>7</v>
      </c>
      <c r="B30" s="6"/>
      <c r="C30" s="6"/>
      <c r="D30" s="6"/>
      <c r="E30" s="7"/>
      <c r="F30" s="145"/>
    </row>
    <row r="31" spans="1:6" ht="21.75" customHeight="1">
      <c r="A31" s="11" t="s">
        <v>114</v>
      </c>
      <c r="B31" s="6"/>
      <c r="C31" s="6"/>
      <c r="D31" s="6"/>
      <c r="E31" s="7"/>
      <c r="F31" s="145"/>
    </row>
    <row r="32" spans="1:6" ht="21.75" customHeight="1">
      <c r="A32" s="11" t="s">
        <v>115</v>
      </c>
      <c r="B32" s="16"/>
      <c r="C32" s="16"/>
      <c r="D32" s="16"/>
      <c r="E32" s="16"/>
      <c r="F32" s="144"/>
    </row>
    <row r="33" spans="1:6" ht="21.75" customHeight="1" thickBot="1">
      <c r="A33" s="11" t="s">
        <v>113</v>
      </c>
      <c r="B33" s="17"/>
      <c r="C33" s="17"/>
      <c r="D33" s="17"/>
      <c r="E33" s="17"/>
      <c r="F33" s="146"/>
    </row>
    <row r="34" spans="1:6" ht="21.75" customHeight="1">
      <c r="A34" s="10" t="s">
        <v>118</v>
      </c>
      <c r="B34" s="12"/>
      <c r="C34" s="12">
        <v>2151</v>
      </c>
      <c r="D34" s="12">
        <v>2135</v>
      </c>
      <c r="E34" s="13">
        <v>2077</v>
      </c>
      <c r="F34" s="147">
        <v>2351</v>
      </c>
    </row>
    <row r="35" spans="1:6" ht="21.75" customHeight="1">
      <c r="A35" s="11" t="s">
        <v>7</v>
      </c>
      <c r="B35" s="6"/>
      <c r="C35" s="12">
        <v>2151</v>
      </c>
      <c r="D35" s="12">
        <v>2135</v>
      </c>
      <c r="E35" s="13">
        <v>2077</v>
      </c>
      <c r="F35" s="147">
        <v>2351</v>
      </c>
    </row>
    <row r="36" spans="1:6" ht="21.75" customHeight="1">
      <c r="A36" s="11" t="s">
        <v>114</v>
      </c>
      <c r="B36" s="6"/>
      <c r="C36" s="12">
        <v>2151</v>
      </c>
      <c r="D36" s="12">
        <v>2135</v>
      </c>
      <c r="E36" s="13">
        <v>2077</v>
      </c>
      <c r="F36" s="147">
        <v>2351</v>
      </c>
    </row>
    <row r="37" spans="1:6" ht="21.75" customHeight="1">
      <c r="A37" s="11" t="s">
        <v>115</v>
      </c>
      <c r="B37" s="16"/>
      <c r="C37" s="16"/>
      <c r="D37" s="16"/>
      <c r="E37" s="16"/>
      <c r="F37" s="144"/>
    </row>
    <row r="38" spans="1:6" ht="21.75" customHeight="1" thickBot="1">
      <c r="A38" s="18" t="s">
        <v>113</v>
      </c>
      <c r="B38" s="19"/>
      <c r="C38" s="161">
        <v>2151</v>
      </c>
      <c r="D38" s="161">
        <v>2135</v>
      </c>
      <c r="E38" s="162">
        <v>2077</v>
      </c>
      <c r="F38" s="163">
        <v>2351</v>
      </c>
    </row>
    <row r="39" ht="17.25" thickTop="1">
      <c r="A39" s="9"/>
    </row>
    <row r="40" ht="15.75">
      <c r="A40" s="175" t="s">
        <v>17</v>
      </c>
    </row>
    <row r="41" spans="1:6" ht="15.75">
      <c r="A41" s="539" t="s">
        <v>149</v>
      </c>
      <c r="B41" s="539"/>
      <c r="C41" s="539"/>
      <c r="D41" s="539"/>
      <c r="E41" s="539"/>
      <c r="F41" s="539"/>
    </row>
    <row r="42" spans="1:6" ht="15.75">
      <c r="A42" s="539" t="s">
        <v>152</v>
      </c>
      <c r="B42" s="539"/>
      <c r="C42" s="539"/>
      <c r="D42" s="539"/>
      <c r="E42" s="539"/>
      <c r="F42" s="539"/>
    </row>
    <row r="43" spans="1:6" ht="15.75">
      <c r="A43" s="278"/>
      <c r="B43" s="278"/>
      <c r="C43" s="278"/>
      <c r="D43" s="278"/>
      <c r="E43" s="278"/>
      <c r="F43" s="278"/>
    </row>
    <row r="44" spans="1:6" ht="15.75">
      <c r="A44" s="539"/>
      <c r="B44" s="539"/>
      <c r="C44" s="539"/>
      <c r="D44" s="539"/>
      <c r="E44" s="539"/>
      <c r="F44" s="539"/>
    </row>
  </sheetData>
  <mergeCells count="5">
    <mergeCell ref="A44:F44"/>
    <mergeCell ref="A2:F2"/>
    <mergeCell ref="A3:F3"/>
    <mergeCell ref="A41:F41"/>
    <mergeCell ref="A42:F4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H43"/>
  <sheetViews>
    <sheetView workbookViewId="0" topLeftCell="A1">
      <selection activeCell="A1" sqref="A1"/>
    </sheetView>
  </sheetViews>
  <sheetFormatPr defaultColWidth="9.140625" defaultRowHeight="12.75"/>
  <cols>
    <col min="1" max="1" width="46.8515625" style="0" customWidth="1"/>
    <col min="2" max="6" width="15.7109375" style="0" customWidth="1"/>
    <col min="7" max="16384" width="11.421875" style="0" customWidth="1"/>
  </cols>
  <sheetData>
    <row r="1" spans="2:6" ht="12.75">
      <c r="B1" s="61"/>
      <c r="C1" s="61"/>
      <c r="D1" s="61"/>
      <c r="E1" s="61"/>
      <c r="F1" s="61"/>
    </row>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13</v>
      </c>
      <c r="B3" s="537"/>
      <c r="C3" s="537"/>
      <c r="D3" s="537"/>
      <c r="E3" s="537"/>
      <c r="F3" s="537"/>
    </row>
    <row r="4" ht="16.5" thickBot="1">
      <c r="A4" s="1"/>
    </row>
    <row r="5" spans="1:8" ht="17.25" thickBot="1" thickTop="1">
      <c r="A5" s="131"/>
      <c r="B5" s="132">
        <v>2002</v>
      </c>
      <c r="C5" s="132">
        <v>2003</v>
      </c>
      <c r="D5" s="132">
        <v>2004</v>
      </c>
      <c r="E5" s="132">
        <v>2005</v>
      </c>
      <c r="F5" s="132">
        <v>2006</v>
      </c>
      <c r="H5" s="61"/>
    </row>
    <row r="6" spans="1:8" ht="17.25" thickBot="1" thickTop="1">
      <c r="A6" s="136" t="s">
        <v>112</v>
      </c>
      <c r="B6" s="300">
        <v>6446034</v>
      </c>
      <c r="C6" s="301">
        <v>5406131</v>
      </c>
      <c r="D6" s="301">
        <v>7496925</v>
      </c>
      <c r="E6" s="301">
        <v>9380880</v>
      </c>
      <c r="F6" s="302">
        <v>9976250</v>
      </c>
      <c r="H6" s="61"/>
    </row>
    <row r="7" spans="1:6" ht="21.75" customHeight="1">
      <c r="A7" s="10" t="s">
        <v>120</v>
      </c>
      <c r="B7" s="303">
        <v>16839000</v>
      </c>
      <c r="C7" s="303">
        <v>13184000</v>
      </c>
      <c r="D7" s="303">
        <v>16224000</v>
      </c>
      <c r="E7" s="303">
        <v>20698000</v>
      </c>
      <c r="F7" s="304">
        <v>20433500</v>
      </c>
    </row>
    <row r="8" spans="1:6" ht="21.75" customHeight="1">
      <c r="A8" s="11" t="s">
        <v>7</v>
      </c>
      <c r="B8" s="298">
        <v>2525850</v>
      </c>
      <c r="C8" s="298">
        <v>3955200</v>
      </c>
      <c r="D8" s="298">
        <v>5678400</v>
      </c>
      <c r="E8" s="298">
        <v>8279200</v>
      </c>
      <c r="F8" s="299">
        <v>8173400</v>
      </c>
    </row>
    <row r="9" spans="1:6" ht="21.75" customHeight="1">
      <c r="A9" s="11" t="s">
        <v>114</v>
      </c>
      <c r="B9" s="298">
        <v>7577550</v>
      </c>
      <c r="C9" s="298">
        <v>3296000</v>
      </c>
      <c r="D9" s="298">
        <v>4867200</v>
      </c>
      <c r="E9" s="298">
        <v>5174500</v>
      </c>
      <c r="F9" s="299">
        <v>4904040</v>
      </c>
    </row>
    <row r="10" spans="1:6" ht="21.75" customHeight="1">
      <c r="A10" s="11" t="s">
        <v>115</v>
      </c>
      <c r="B10" s="298"/>
      <c r="C10" s="298"/>
      <c r="D10" s="298"/>
      <c r="E10" s="298"/>
      <c r="F10" s="299"/>
    </row>
    <row r="11" spans="1:8" ht="21.75" customHeight="1" thickBot="1">
      <c r="A11" s="11" t="s">
        <v>113</v>
      </c>
      <c r="B11" s="305">
        <v>6735600</v>
      </c>
      <c r="C11" s="305">
        <v>5932800</v>
      </c>
      <c r="D11" s="305">
        <v>5678400</v>
      </c>
      <c r="E11" s="305">
        <v>7244300</v>
      </c>
      <c r="F11" s="306">
        <v>7356060</v>
      </c>
      <c r="H11" s="61"/>
    </row>
    <row r="12" spans="1:6" ht="21.75" customHeight="1">
      <c r="A12" s="10" t="s">
        <v>122</v>
      </c>
      <c r="B12" s="282">
        <v>5968</v>
      </c>
      <c r="C12" s="282">
        <v>4300</v>
      </c>
      <c r="D12" s="282">
        <v>5510</v>
      </c>
      <c r="E12" s="282">
        <v>6350</v>
      </c>
      <c r="F12" s="283">
        <v>5955</v>
      </c>
    </row>
    <row r="13" spans="1:6" ht="21.75" customHeight="1">
      <c r="A13" s="11" t="s">
        <v>7</v>
      </c>
      <c r="B13" s="280">
        <v>896</v>
      </c>
      <c r="C13" s="280">
        <v>1290</v>
      </c>
      <c r="D13" s="280">
        <v>1929</v>
      </c>
      <c r="E13" s="280">
        <v>2540</v>
      </c>
      <c r="F13" s="281">
        <v>2382</v>
      </c>
    </row>
    <row r="14" spans="1:6" ht="21.75" customHeight="1">
      <c r="A14" s="11" t="s">
        <v>114</v>
      </c>
      <c r="B14" s="280">
        <v>2685</v>
      </c>
      <c r="C14" s="280">
        <v>1075</v>
      </c>
      <c r="D14" s="280">
        <v>1654</v>
      </c>
      <c r="E14" s="280">
        <v>1588</v>
      </c>
      <c r="F14" s="281">
        <v>1429</v>
      </c>
    </row>
    <row r="15" spans="1:6" ht="21.75" customHeight="1">
      <c r="A15" s="11" t="s">
        <v>115</v>
      </c>
      <c r="B15" s="280"/>
      <c r="C15" s="280"/>
      <c r="D15" s="280"/>
      <c r="E15" s="280"/>
      <c r="F15" s="281"/>
    </row>
    <row r="16" spans="1:6" ht="21.75" customHeight="1" thickBot="1">
      <c r="A16" s="11" t="s">
        <v>113</v>
      </c>
      <c r="B16" s="284">
        <v>2387</v>
      </c>
      <c r="C16" s="284">
        <v>1935</v>
      </c>
      <c r="D16" s="284">
        <v>1929</v>
      </c>
      <c r="E16" s="284">
        <v>2223</v>
      </c>
      <c r="F16" s="285">
        <v>2144</v>
      </c>
    </row>
    <row r="17" spans="1:6" ht="21.75" customHeight="1">
      <c r="A17" s="10" t="s">
        <v>116</v>
      </c>
      <c r="B17" s="282">
        <v>24</v>
      </c>
      <c r="C17" s="282">
        <v>24</v>
      </c>
      <c r="D17" s="282">
        <v>24</v>
      </c>
      <c r="E17" s="282">
        <v>24</v>
      </c>
      <c r="F17" s="283">
        <v>24</v>
      </c>
    </row>
    <row r="18" spans="1:6" ht="21.75" customHeight="1">
      <c r="A18" s="11" t="s">
        <v>7</v>
      </c>
      <c r="B18" s="286">
        <v>24</v>
      </c>
      <c r="C18" s="286">
        <v>24</v>
      </c>
      <c r="D18" s="286">
        <v>24</v>
      </c>
      <c r="E18" s="286">
        <v>24</v>
      </c>
      <c r="F18" s="287">
        <v>24</v>
      </c>
    </row>
    <row r="19" spans="1:6" ht="21.75" customHeight="1">
      <c r="A19" s="11" t="s">
        <v>114</v>
      </c>
      <c r="B19" s="286">
        <v>24</v>
      </c>
      <c r="C19" s="286">
        <v>24</v>
      </c>
      <c r="D19" s="286">
        <v>24</v>
      </c>
      <c r="E19" s="286">
        <v>24</v>
      </c>
      <c r="F19" s="287">
        <v>24</v>
      </c>
    </row>
    <row r="20" spans="1:6" ht="21.75" customHeight="1">
      <c r="A20" s="11" t="s">
        <v>115</v>
      </c>
      <c r="B20" s="280"/>
      <c r="C20" s="280"/>
      <c r="D20" s="280"/>
      <c r="E20" s="280"/>
      <c r="F20" s="281"/>
    </row>
    <row r="21" spans="1:6" ht="21.75" customHeight="1" thickBot="1">
      <c r="A21" s="11" t="s">
        <v>113</v>
      </c>
      <c r="B21" s="288">
        <v>24</v>
      </c>
      <c r="C21" s="288">
        <v>24</v>
      </c>
      <c r="D21" s="288">
        <v>24</v>
      </c>
      <c r="E21" s="288">
        <v>24</v>
      </c>
      <c r="F21" s="289">
        <v>24</v>
      </c>
    </row>
    <row r="22" spans="1:6" ht="21.75" customHeight="1">
      <c r="A22" s="10" t="s">
        <v>133</v>
      </c>
      <c r="B22" s="290">
        <v>9</v>
      </c>
      <c r="C22" s="291">
        <v>9</v>
      </c>
      <c r="D22" s="291">
        <v>9</v>
      </c>
      <c r="E22" s="291">
        <v>9</v>
      </c>
      <c r="F22" s="291">
        <v>9</v>
      </c>
    </row>
    <row r="23" spans="1:6" ht="21.75" customHeight="1">
      <c r="A23" s="11" t="s">
        <v>7</v>
      </c>
      <c r="B23" s="292">
        <v>9</v>
      </c>
      <c r="C23" s="293">
        <v>9</v>
      </c>
      <c r="D23" s="292">
        <v>9</v>
      </c>
      <c r="E23" s="293">
        <v>9</v>
      </c>
      <c r="F23" s="292">
        <v>9</v>
      </c>
    </row>
    <row r="24" spans="1:6" ht="21.75" customHeight="1">
      <c r="A24" s="11" t="s">
        <v>114</v>
      </c>
      <c r="B24" s="292">
        <v>9</v>
      </c>
      <c r="C24" s="293">
        <v>9</v>
      </c>
      <c r="D24" s="292">
        <v>9</v>
      </c>
      <c r="E24" s="293">
        <v>9</v>
      </c>
      <c r="F24" s="292">
        <v>9</v>
      </c>
    </row>
    <row r="25" spans="1:6" ht="21.75" customHeight="1">
      <c r="A25" s="11" t="s">
        <v>115</v>
      </c>
      <c r="B25" s="280"/>
      <c r="C25" s="280"/>
      <c r="D25" s="280"/>
      <c r="E25" s="280"/>
      <c r="F25" s="281"/>
    </row>
    <row r="26" spans="1:6" ht="21.75" customHeight="1" thickBot="1">
      <c r="A26" s="11" t="s">
        <v>113</v>
      </c>
      <c r="B26" s="292">
        <v>9</v>
      </c>
      <c r="C26" s="293">
        <v>9</v>
      </c>
      <c r="D26" s="292">
        <v>9</v>
      </c>
      <c r="E26" s="293">
        <v>9</v>
      </c>
      <c r="F26" s="292">
        <v>9</v>
      </c>
    </row>
    <row r="27" spans="1:6" ht="21.75" customHeight="1" thickBot="1">
      <c r="A27" s="10" t="s">
        <v>126</v>
      </c>
      <c r="B27" s="294"/>
      <c r="C27" s="294"/>
      <c r="D27" s="294"/>
      <c r="E27" s="294"/>
      <c r="F27" s="295"/>
    </row>
    <row r="28" spans="1:6" ht="21.75" customHeight="1" thickBot="1">
      <c r="A28" s="10" t="s">
        <v>127</v>
      </c>
      <c r="B28" s="296"/>
      <c r="C28" s="296"/>
      <c r="D28" s="296"/>
      <c r="E28" s="296"/>
      <c r="F28" s="297"/>
    </row>
    <row r="29" spans="1:6" ht="21.75" customHeight="1" thickBot="1">
      <c r="A29" s="10" t="s">
        <v>117</v>
      </c>
      <c r="B29" s="307">
        <v>631752</v>
      </c>
      <c r="C29" s="308">
        <v>1388640</v>
      </c>
      <c r="D29" s="308">
        <v>1488800</v>
      </c>
      <c r="E29" s="308">
        <v>2363870</v>
      </c>
      <c r="F29" s="309">
        <v>2474340</v>
      </c>
    </row>
    <row r="30" spans="1:6" ht="21.75" customHeight="1">
      <c r="A30" s="11" t="s">
        <v>7</v>
      </c>
      <c r="B30" s="298">
        <v>94762</v>
      </c>
      <c r="C30" s="298">
        <v>416592</v>
      </c>
      <c r="D30" s="298">
        <v>521080</v>
      </c>
      <c r="E30" s="298">
        <v>945548</v>
      </c>
      <c r="F30" s="299">
        <v>989736</v>
      </c>
    </row>
    <row r="31" spans="1:6" ht="21.75" customHeight="1">
      <c r="A31" s="11" t="s">
        <v>114</v>
      </c>
      <c r="B31" s="298">
        <v>284290</v>
      </c>
      <c r="C31" s="298">
        <v>347160</v>
      </c>
      <c r="D31" s="298">
        <v>446640</v>
      </c>
      <c r="E31" s="298">
        <v>590967</v>
      </c>
      <c r="F31" s="299">
        <v>593842</v>
      </c>
    </row>
    <row r="32" spans="1:6" ht="21.75" customHeight="1">
      <c r="A32" s="11" t="s">
        <v>115</v>
      </c>
      <c r="B32" s="298"/>
      <c r="C32" s="298"/>
      <c r="D32" s="298"/>
      <c r="E32" s="298"/>
      <c r="F32" s="299"/>
    </row>
    <row r="33" spans="1:6" ht="21.75" customHeight="1" thickBot="1">
      <c r="A33" s="11" t="s">
        <v>113</v>
      </c>
      <c r="B33" s="305">
        <v>252700</v>
      </c>
      <c r="C33" s="305">
        <v>624888</v>
      </c>
      <c r="D33" s="305">
        <v>521080</v>
      </c>
      <c r="E33" s="305">
        <v>827355</v>
      </c>
      <c r="F33" s="306">
        <v>890762</v>
      </c>
    </row>
    <row r="34" spans="1:6" ht="21.75" customHeight="1">
      <c r="A34" s="10" t="s">
        <v>118</v>
      </c>
      <c r="B34" s="310">
        <v>2750</v>
      </c>
      <c r="C34" s="310">
        <v>3000</v>
      </c>
      <c r="D34" s="310">
        <v>3000</v>
      </c>
      <c r="E34" s="310">
        <v>3200</v>
      </c>
      <c r="F34" s="311">
        <v>3450</v>
      </c>
    </row>
    <row r="35" spans="1:6" ht="21.75" customHeight="1">
      <c r="A35" s="11" t="s">
        <v>7</v>
      </c>
      <c r="B35" s="298">
        <v>412.5</v>
      </c>
      <c r="C35" s="298">
        <v>900</v>
      </c>
      <c r="D35" s="298">
        <v>1050</v>
      </c>
      <c r="E35" s="298">
        <v>1280</v>
      </c>
      <c r="F35" s="299">
        <v>1380</v>
      </c>
    </row>
    <row r="36" spans="1:6" ht="21.75" customHeight="1">
      <c r="A36" s="11" t="s">
        <v>114</v>
      </c>
      <c r="B36" s="298">
        <v>1237.5</v>
      </c>
      <c r="C36" s="298">
        <v>750</v>
      </c>
      <c r="D36" s="298">
        <v>900</v>
      </c>
      <c r="E36" s="298">
        <v>800</v>
      </c>
      <c r="F36" s="299">
        <v>828</v>
      </c>
    </row>
    <row r="37" spans="1:6" ht="21.75" customHeight="1">
      <c r="A37" s="11" t="s">
        <v>115</v>
      </c>
      <c r="B37" s="298"/>
      <c r="C37" s="298"/>
      <c r="D37" s="298"/>
      <c r="E37" s="298"/>
      <c r="F37" s="299"/>
    </row>
    <row r="38" spans="1:6" ht="21.75" customHeight="1" thickBot="1">
      <c r="A38" s="18" t="s">
        <v>113</v>
      </c>
      <c r="B38" s="305">
        <v>1100</v>
      </c>
      <c r="C38" s="305">
        <v>1350</v>
      </c>
      <c r="D38" s="305">
        <v>1050</v>
      </c>
      <c r="E38" s="305">
        <v>1120</v>
      </c>
      <c r="F38" s="306">
        <v>1242</v>
      </c>
    </row>
    <row r="39" ht="17.25" thickTop="1">
      <c r="A39" s="9"/>
    </row>
    <row r="40" ht="15.75">
      <c r="A40" s="175" t="s">
        <v>17</v>
      </c>
    </row>
    <row r="41" spans="1:6" ht="15.75">
      <c r="A41" s="539" t="s">
        <v>149</v>
      </c>
      <c r="B41" s="539"/>
      <c r="C41" s="539"/>
      <c r="D41" s="539"/>
      <c r="E41" s="539"/>
      <c r="F41" s="539"/>
    </row>
    <row r="42" spans="1:6" ht="15.75">
      <c r="A42" s="539"/>
      <c r="B42" s="539"/>
      <c r="C42" s="539"/>
      <c r="D42" s="539"/>
      <c r="E42" s="539"/>
      <c r="F42" s="539"/>
    </row>
    <row r="43" spans="1:6" ht="15.75">
      <c r="A43" s="278"/>
      <c r="B43" s="278"/>
      <c r="C43" s="278"/>
      <c r="D43" s="278"/>
      <c r="E43" s="278"/>
      <c r="F43" s="278"/>
    </row>
  </sheetData>
  <mergeCells count="4">
    <mergeCell ref="A2:F2"/>
    <mergeCell ref="A3:F3"/>
    <mergeCell ref="A41:F41"/>
    <mergeCell ref="A42:F4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F67"/>
  <sheetViews>
    <sheetView workbookViewId="0" topLeftCell="A1">
      <selection activeCell="A1" sqref="A1"/>
    </sheetView>
  </sheetViews>
  <sheetFormatPr defaultColWidth="9.140625" defaultRowHeight="12.75"/>
  <cols>
    <col min="1" max="1" width="58.140625" style="0" customWidth="1"/>
    <col min="2" max="6" width="15.7109375" style="0" customWidth="1"/>
    <col min="7" max="16384" width="11.421875" style="0" customWidth="1"/>
  </cols>
  <sheetData>
    <row r="1" spans="2:6" ht="12.75">
      <c r="B1" s="61"/>
      <c r="C1" s="61"/>
      <c r="D1" s="61"/>
      <c r="E1" s="61"/>
      <c r="F1" s="61"/>
    </row>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14</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254">
        <v>2040964</v>
      </c>
      <c r="C6" s="254">
        <v>2864771</v>
      </c>
      <c r="D6" s="254">
        <v>7122577</v>
      </c>
      <c r="E6" s="254">
        <v>11293079</v>
      </c>
      <c r="F6" s="255">
        <v>14164717</v>
      </c>
    </row>
    <row r="7" spans="1:6" ht="21.75" customHeight="1">
      <c r="A7" s="10" t="s">
        <v>120</v>
      </c>
      <c r="B7" s="105">
        <v>5919000</v>
      </c>
      <c r="C7" s="105">
        <v>6755500</v>
      </c>
      <c r="D7" s="105">
        <v>15364250</v>
      </c>
      <c r="E7" s="105">
        <v>29086750</v>
      </c>
      <c r="F7" s="221">
        <v>26968250</v>
      </c>
    </row>
    <row r="8" spans="1:6" ht="21.75" customHeight="1">
      <c r="A8" s="11" t="s">
        <v>7</v>
      </c>
      <c r="B8" s="106">
        <v>1716500</v>
      </c>
      <c r="C8" s="106">
        <v>1956500</v>
      </c>
      <c r="D8" s="106">
        <v>2919250</v>
      </c>
      <c r="E8" s="106">
        <v>6399000</v>
      </c>
      <c r="F8" s="107">
        <v>7551000</v>
      </c>
    </row>
    <row r="9" spans="1:6" ht="21.75" customHeight="1">
      <c r="A9" s="11" t="s">
        <v>114</v>
      </c>
      <c r="B9" s="106">
        <v>1243000</v>
      </c>
      <c r="C9" s="106">
        <v>1239000</v>
      </c>
      <c r="D9" s="106">
        <v>2458250</v>
      </c>
      <c r="E9" s="108">
        <v>4072000</v>
      </c>
      <c r="F9" s="107">
        <v>5124000</v>
      </c>
    </row>
    <row r="10" spans="1:6" ht="21.75" customHeight="1">
      <c r="A10" s="11" t="s">
        <v>115</v>
      </c>
      <c r="B10" s="106"/>
      <c r="C10" s="106"/>
      <c r="D10" s="106"/>
      <c r="E10" s="108"/>
      <c r="F10" s="107"/>
    </row>
    <row r="11" spans="1:6" ht="21.75" customHeight="1" thickBot="1">
      <c r="A11" s="11" t="s">
        <v>113</v>
      </c>
      <c r="B11" s="106">
        <f>1953250+1006250</f>
        <v>2959500</v>
      </c>
      <c r="C11" s="106">
        <f>1215000+2345000</f>
        <v>3560000</v>
      </c>
      <c r="D11" s="106">
        <f>6145750+3841000</f>
        <v>9986750</v>
      </c>
      <c r="E11" s="108">
        <f>12798250+5817500</f>
        <v>18615750</v>
      </c>
      <c r="F11" s="107">
        <f>8360250+5933000</f>
        <v>14293250</v>
      </c>
    </row>
    <row r="12" spans="1:6" ht="21.75" customHeight="1">
      <c r="A12" s="10" t="s">
        <v>122</v>
      </c>
      <c r="B12" s="105">
        <v>1980</v>
      </c>
      <c r="C12" s="105">
        <v>2402</v>
      </c>
      <c r="D12" s="105">
        <v>4878</v>
      </c>
      <c r="E12" s="105">
        <v>6185</v>
      </c>
      <c r="F12" s="221">
        <v>6363</v>
      </c>
    </row>
    <row r="13" spans="1:6" ht="21.75" customHeight="1">
      <c r="A13" s="11" t="s">
        <v>7</v>
      </c>
      <c r="B13" s="122">
        <v>574</v>
      </c>
      <c r="C13" s="122">
        <v>696</v>
      </c>
      <c r="D13" s="122">
        <v>927</v>
      </c>
      <c r="E13" s="122">
        <v>1361</v>
      </c>
      <c r="F13" s="123">
        <v>1782</v>
      </c>
    </row>
    <row r="14" spans="1:6" ht="21.75" customHeight="1">
      <c r="A14" s="11" t="s">
        <v>114</v>
      </c>
      <c r="B14" s="94">
        <v>416</v>
      </c>
      <c r="C14" s="94">
        <v>441</v>
      </c>
      <c r="D14" s="94">
        <v>780</v>
      </c>
      <c r="E14" s="95">
        <v>866</v>
      </c>
      <c r="F14" s="96">
        <v>1209</v>
      </c>
    </row>
    <row r="15" spans="1:6" ht="21.75" customHeight="1">
      <c r="A15" s="11" t="s">
        <v>115</v>
      </c>
      <c r="B15" s="94"/>
      <c r="C15" s="94"/>
      <c r="D15" s="94"/>
      <c r="E15" s="95"/>
      <c r="F15" s="96"/>
    </row>
    <row r="16" spans="1:6" ht="21.75" customHeight="1" thickBot="1">
      <c r="A16" s="11" t="s">
        <v>113</v>
      </c>
      <c r="B16" s="312">
        <f>653+337</f>
        <v>990</v>
      </c>
      <c r="C16" s="312">
        <f>834+431</f>
        <v>1265</v>
      </c>
      <c r="D16" s="312">
        <v>3171</v>
      </c>
      <c r="E16" s="312">
        <f>2721+1237</f>
        <v>3958</v>
      </c>
      <c r="F16" s="313">
        <f>1972+1400</f>
        <v>3372</v>
      </c>
    </row>
    <row r="17" spans="1:6" ht="21.75" customHeight="1" thickBot="1">
      <c r="A17" s="10" t="s">
        <v>116</v>
      </c>
      <c r="B17" s="314">
        <v>24</v>
      </c>
      <c r="C17" s="314">
        <v>24</v>
      </c>
      <c r="D17" s="314">
        <v>24</v>
      </c>
      <c r="E17" s="314">
        <v>22</v>
      </c>
      <c r="F17" s="315">
        <v>20</v>
      </c>
    </row>
    <row r="18" spans="1:6" ht="21.75" customHeight="1" thickBot="1">
      <c r="A18" s="11" t="s">
        <v>7</v>
      </c>
      <c r="B18" s="314">
        <v>24</v>
      </c>
      <c r="C18" s="314">
        <v>24</v>
      </c>
      <c r="D18" s="93">
        <v>24</v>
      </c>
      <c r="E18" s="93">
        <v>22</v>
      </c>
      <c r="F18" s="316">
        <v>20</v>
      </c>
    </row>
    <row r="19" spans="1:6" ht="21.75" customHeight="1">
      <c r="A19" s="11" t="s">
        <v>114</v>
      </c>
      <c r="B19" s="314">
        <v>24</v>
      </c>
      <c r="C19" s="314">
        <v>24</v>
      </c>
      <c r="D19" s="113">
        <v>24</v>
      </c>
      <c r="E19" s="317">
        <v>22</v>
      </c>
      <c r="F19" s="114">
        <v>20</v>
      </c>
    </row>
    <row r="20" spans="1:6" ht="21.75" customHeight="1" thickBot="1">
      <c r="A20" s="11" t="s">
        <v>115</v>
      </c>
      <c r="B20" s="318"/>
      <c r="C20" s="318"/>
      <c r="D20" s="318"/>
      <c r="E20" s="319"/>
      <c r="F20" s="320"/>
    </row>
    <row r="21" spans="1:6" ht="21.75" customHeight="1" thickBot="1">
      <c r="A21" s="11" t="s">
        <v>113</v>
      </c>
      <c r="B21" s="314">
        <v>24</v>
      </c>
      <c r="C21" s="314">
        <v>24</v>
      </c>
      <c r="D21" s="113">
        <v>24</v>
      </c>
      <c r="E21" s="317">
        <v>22</v>
      </c>
      <c r="F21" s="114">
        <v>20</v>
      </c>
    </row>
    <row r="22" spans="1:6" ht="21.75" customHeight="1">
      <c r="A22" s="10" t="s">
        <v>133</v>
      </c>
      <c r="B22" s="322">
        <v>7</v>
      </c>
      <c r="C22" s="322">
        <v>7</v>
      </c>
      <c r="D22" s="322">
        <v>7</v>
      </c>
      <c r="E22" s="322">
        <v>9</v>
      </c>
      <c r="F22" s="323">
        <v>10</v>
      </c>
    </row>
    <row r="23" spans="1:6" ht="21.75" customHeight="1">
      <c r="A23" s="11" t="s">
        <v>7</v>
      </c>
      <c r="B23" s="324">
        <v>7</v>
      </c>
      <c r="C23" s="324">
        <v>7</v>
      </c>
      <c r="D23" s="324">
        <v>7</v>
      </c>
      <c r="E23" s="324">
        <v>9</v>
      </c>
      <c r="F23" s="325">
        <v>10</v>
      </c>
    </row>
    <row r="24" spans="1:6" ht="21.75" customHeight="1">
      <c r="A24" s="11" t="s">
        <v>114</v>
      </c>
      <c r="B24" s="324">
        <v>7</v>
      </c>
      <c r="C24" s="324">
        <v>7</v>
      </c>
      <c r="D24" s="324">
        <v>7</v>
      </c>
      <c r="E24" s="326">
        <v>8</v>
      </c>
      <c r="F24" s="325">
        <v>10</v>
      </c>
    </row>
    <row r="25" spans="1:6" ht="21.75" customHeight="1">
      <c r="A25" s="11" t="s">
        <v>115</v>
      </c>
      <c r="B25" s="327"/>
      <c r="C25" s="327"/>
      <c r="D25" s="327"/>
      <c r="E25" s="328"/>
      <c r="F25" s="329"/>
    </row>
    <row r="26" spans="1:6" ht="21.75" customHeight="1" thickBot="1">
      <c r="A26" s="11" t="s">
        <v>113</v>
      </c>
      <c r="B26" s="324">
        <v>7</v>
      </c>
      <c r="C26" s="324">
        <v>7</v>
      </c>
      <c r="D26" s="324">
        <v>7</v>
      </c>
      <c r="E26" s="326">
        <v>8</v>
      </c>
      <c r="F26" s="325">
        <v>10</v>
      </c>
    </row>
    <row r="27" spans="1:6" ht="21.75" customHeight="1" thickBot="1">
      <c r="A27" s="10" t="s">
        <v>126</v>
      </c>
      <c r="B27" s="126"/>
      <c r="C27" s="126"/>
      <c r="D27" s="126"/>
      <c r="E27" s="126"/>
      <c r="F27" s="127"/>
    </row>
    <row r="28" spans="1:6" ht="21.75" customHeight="1" thickBot="1">
      <c r="A28" s="10" t="s">
        <v>127</v>
      </c>
      <c r="B28" s="128"/>
      <c r="C28" s="128"/>
      <c r="D28" s="128"/>
      <c r="E28" s="128"/>
      <c r="F28" s="129"/>
    </row>
    <row r="29" spans="1:6" ht="21.75" customHeight="1">
      <c r="A29" s="10" t="s">
        <v>117</v>
      </c>
      <c r="B29" s="97">
        <v>980113</v>
      </c>
      <c r="C29" s="97">
        <v>1447140</v>
      </c>
      <c r="D29" s="97">
        <v>2333962</v>
      </c>
      <c r="E29" s="321">
        <v>2864709</v>
      </c>
      <c r="F29" s="98">
        <v>3114449</v>
      </c>
    </row>
    <row r="30" spans="1:6" ht="21.75" customHeight="1">
      <c r="A30" s="11" t="s">
        <v>7</v>
      </c>
      <c r="B30" s="106">
        <v>284232.77</v>
      </c>
      <c r="C30" s="106">
        <v>419670.6</v>
      </c>
      <c r="D30" s="106">
        <v>443452.78</v>
      </c>
      <c r="E30" s="108">
        <v>630235.98</v>
      </c>
      <c r="F30" s="107">
        <v>872045.72</v>
      </c>
    </row>
    <row r="31" spans="1:6" ht="21.75" customHeight="1">
      <c r="A31" s="11" t="s">
        <v>114</v>
      </c>
      <c r="B31" s="106">
        <v>205823.73</v>
      </c>
      <c r="C31" s="106">
        <v>265550.19</v>
      </c>
      <c r="D31" s="106">
        <v>373433.92</v>
      </c>
      <c r="E31" s="108">
        <v>401059.26</v>
      </c>
      <c r="F31" s="107">
        <v>591745.31</v>
      </c>
    </row>
    <row r="32" spans="1:6" ht="21.75" customHeight="1">
      <c r="A32" s="11" t="s">
        <v>115</v>
      </c>
      <c r="B32" s="330"/>
      <c r="C32" s="330"/>
      <c r="D32" s="330"/>
      <c r="E32" s="330"/>
      <c r="F32" s="331"/>
    </row>
    <row r="33" spans="1:6" ht="21.75" customHeight="1" thickBot="1">
      <c r="A33" s="11" t="s">
        <v>113</v>
      </c>
      <c r="B33" s="248">
        <v>490056.5</v>
      </c>
      <c r="C33" s="248">
        <v>761919.21</v>
      </c>
      <c r="D33" s="248">
        <v>1517075.3</v>
      </c>
      <c r="E33" s="248">
        <v>1833413.76</v>
      </c>
      <c r="F33" s="249">
        <v>1650657.97</v>
      </c>
    </row>
    <row r="34" spans="1:6" ht="21.75" customHeight="1" thickBot="1">
      <c r="A34" s="135"/>
      <c r="B34" s="97">
        <v>1750</v>
      </c>
      <c r="C34" s="97">
        <v>1998</v>
      </c>
      <c r="D34" s="97">
        <v>2320</v>
      </c>
      <c r="E34" s="321">
        <v>3032</v>
      </c>
      <c r="F34" s="98">
        <v>3610</v>
      </c>
    </row>
    <row r="35" spans="1:6" ht="21.75" customHeight="1">
      <c r="A35" s="10" t="s">
        <v>125</v>
      </c>
      <c r="B35" s="106">
        <v>1750</v>
      </c>
      <c r="C35" s="106">
        <v>1998</v>
      </c>
      <c r="D35" s="106">
        <v>2691</v>
      </c>
      <c r="E35" s="108">
        <v>3878</v>
      </c>
      <c r="F35" s="107">
        <v>4173</v>
      </c>
    </row>
    <row r="36" spans="1:6" ht="21.75" customHeight="1">
      <c r="A36" s="11" t="s">
        <v>7</v>
      </c>
      <c r="B36" s="106">
        <v>1750</v>
      </c>
      <c r="C36" s="106">
        <v>1998</v>
      </c>
      <c r="D36" s="106">
        <v>2233</v>
      </c>
      <c r="E36" s="108">
        <v>2793</v>
      </c>
      <c r="F36" s="107">
        <v>3392</v>
      </c>
    </row>
    <row r="37" spans="1:6" ht="21.75" customHeight="1">
      <c r="A37" s="11" t="s">
        <v>114</v>
      </c>
      <c r="B37" s="97"/>
      <c r="C37" s="97"/>
      <c r="D37" s="97"/>
      <c r="E37" s="97"/>
      <c r="F37" s="98"/>
    </row>
    <row r="38" spans="1:6" ht="21.75" customHeight="1">
      <c r="A38" s="11" t="s">
        <v>115</v>
      </c>
      <c r="B38" s="332">
        <v>1750</v>
      </c>
      <c r="C38" s="332">
        <v>1998</v>
      </c>
      <c r="D38" s="332">
        <v>2233</v>
      </c>
      <c r="E38" s="332">
        <v>2793</v>
      </c>
      <c r="F38" s="333">
        <v>3392</v>
      </c>
    </row>
    <row r="39" spans="1:6" ht="21.75" customHeight="1" thickBot="1">
      <c r="A39" s="18" t="s">
        <v>113</v>
      </c>
      <c r="B39" s="130">
        <v>1750</v>
      </c>
      <c r="C39" s="130">
        <v>1998</v>
      </c>
      <c r="D39" s="130">
        <v>2233</v>
      </c>
      <c r="E39" s="130">
        <v>2793</v>
      </c>
      <c r="F39" s="155">
        <v>3392</v>
      </c>
    </row>
    <row r="40" ht="21.75" customHeight="1" thickTop="1">
      <c r="A40" s="9"/>
    </row>
    <row r="41" ht="15.75">
      <c r="A41" s="175" t="s">
        <v>17</v>
      </c>
    </row>
    <row r="42" spans="1:6" ht="15.75">
      <c r="A42" s="335" t="s">
        <v>153</v>
      </c>
      <c r="B42" s="176"/>
      <c r="C42" s="176"/>
      <c r="D42" s="176"/>
      <c r="E42" s="176"/>
      <c r="F42" s="176"/>
    </row>
    <row r="43" spans="1:6" ht="12.75">
      <c r="A43" s="544" t="s">
        <v>154</v>
      </c>
      <c r="B43" s="541"/>
      <c r="C43" s="541"/>
      <c r="D43" s="541"/>
      <c r="E43" s="541"/>
      <c r="F43" s="541"/>
    </row>
    <row r="44" spans="1:6" ht="13.5">
      <c r="A44" s="542" t="s">
        <v>155</v>
      </c>
      <c r="B44" s="541"/>
      <c r="C44" s="541"/>
      <c r="D44" s="541"/>
      <c r="E44" s="541"/>
      <c r="F44" s="541"/>
    </row>
    <row r="45" spans="1:6" ht="12.75">
      <c r="A45" s="543" t="s">
        <v>156</v>
      </c>
      <c r="B45" s="541"/>
      <c r="C45" s="541"/>
      <c r="D45" s="541"/>
      <c r="E45" s="541"/>
      <c r="F45" s="541"/>
    </row>
    <row r="46" spans="1:6" ht="13.5">
      <c r="A46" s="542" t="s">
        <v>157</v>
      </c>
      <c r="B46" s="541"/>
      <c r="C46" s="541"/>
      <c r="D46" s="541"/>
      <c r="E46" s="541"/>
      <c r="F46" s="541"/>
    </row>
    <row r="47" spans="1:6" ht="13.5">
      <c r="A47" s="542" t="s">
        <v>158</v>
      </c>
      <c r="B47" s="541"/>
      <c r="C47" s="541"/>
      <c r="D47" s="541"/>
      <c r="E47" s="541"/>
      <c r="F47" s="541"/>
    </row>
    <row r="48" spans="1:6" ht="13.5">
      <c r="A48" s="542" t="s">
        <v>159</v>
      </c>
      <c r="B48" s="541"/>
      <c r="C48" s="541"/>
      <c r="D48" s="541"/>
      <c r="E48" s="541"/>
      <c r="F48" s="541"/>
    </row>
    <row r="49" spans="1:6" ht="13.5">
      <c r="A49" s="540" t="s">
        <v>160</v>
      </c>
      <c r="B49" s="541"/>
      <c r="C49" s="541"/>
      <c r="D49" s="541"/>
      <c r="E49" s="541"/>
      <c r="F49" s="541"/>
    </row>
    <row r="51" ht="15.75">
      <c r="A51" s="336"/>
    </row>
    <row r="52" ht="15.75">
      <c r="A52" s="334"/>
    </row>
    <row r="53" ht="15.75">
      <c r="A53" s="337"/>
    </row>
    <row r="54" ht="15.75">
      <c r="A54" s="334"/>
    </row>
    <row r="55" ht="15">
      <c r="A55" s="338"/>
    </row>
    <row r="56" ht="15">
      <c r="A56" s="338"/>
    </row>
    <row r="57" ht="15">
      <c r="A57" s="338"/>
    </row>
    <row r="58" ht="15">
      <c r="A58" s="338"/>
    </row>
    <row r="59" ht="15">
      <c r="A59" s="338"/>
    </row>
    <row r="60" ht="15.75">
      <c r="A60" s="334"/>
    </row>
    <row r="61" ht="15.75">
      <c r="A61" s="337"/>
    </row>
    <row r="62" ht="15.75">
      <c r="A62" s="334"/>
    </row>
    <row r="63" ht="15">
      <c r="A63" s="338"/>
    </row>
    <row r="64" ht="15">
      <c r="A64" s="338"/>
    </row>
    <row r="65" ht="15">
      <c r="A65" s="338"/>
    </row>
    <row r="66" ht="15">
      <c r="A66" s="338"/>
    </row>
    <row r="67" ht="15">
      <c r="A67" s="338"/>
    </row>
  </sheetData>
  <mergeCells count="9">
    <mergeCell ref="A2:F2"/>
    <mergeCell ref="A3:F3"/>
    <mergeCell ref="A43:F43"/>
    <mergeCell ref="A48:F48"/>
    <mergeCell ref="A49:F49"/>
    <mergeCell ref="A44:F44"/>
    <mergeCell ref="A45:F45"/>
    <mergeCell ref="A46:F46"/>
    <mergeCell ref="A47:F47"/>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2:F43"/>
  <sheetViews>
    <sheetView workbookViewId="0" topLeftCell="A1">
      <selection activeCell="A1" sqref="A1"/>
    </sheetView>
  </sheetViews>
  <sheetFormatPr defaultColWidth="9.140625" defaultRowHeight="12.75"/>
  <cols>
    <col min="1" max="1" width="52.5742187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3</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339">
        <v>4223042</v>
      </c>
      <c r="C6" s="340">
        <v>4938536</v>
      </c>
      <c r="D6" s="339">
        <v>5804603</v>
      </c>
      <c r="E6" s="340">
        <v>5638682</v>
      </c>
      <c r="F6" s="339">
        <v>9885148</v>
      </c>
    </row>
    <row r="7" spans="1:6" ht="21.75" customHeight="1" thickBot="1">
      <c r="A7" s="10" t="s">
        <v>120</v>
      </c>
      <c r="B7" s="20">
        <v>10552500</v>
      </c>
      <c r="C7" s="21">
        <v>13308250</v>
      </c>
      <c r="D7" s="20">
        <v>15243000</v>
      </c>
      <c r="E7" s="21">
        <v>15328400</v>
      </c>
      <c r="F7" s="20">
        <v>21840250</v>
      </c>
    </row>
    <row r="8" spans="1:6" ht="21.75" customHeight="1">
      <c r="A8" s="11" t="s">
        <v>7</v>
      </c>
      <c r="B8" s="35">
        <v>3693375</v>
      </c>
      <c r="C8" s="36">
        <v>4657887.5</v>
      </c>
      <c r="D8" s="35">
        <v>5335050</v>
      </c>
      <c r="E8" s="36">
        <v>5364940</v>
      </c>
      <c r="F8" s="35">
        <v>7644087.499999999</v>
      </c>
    </row>
    <row r="9" spans="1:6" ht="21.75" customHeight="1">
      <c r="A9" s="11" t="s">
        <v>114</v>
      </c>
      <c r="B9" s="68">
        <v>4221000</v>
      </c>
      <c r="C9" s="69">
        <v>5323300</v>
      </c>
      <c r="D9" s="68">
        <v>6097200</v>
      </c>
      <c r="E9" s="70">
        <v>6131360</v>
      </c>
      <c r="F9" s="68">
        <v>8736100</v>
      </c>
    </row>
    <row r="10" spans="1:6" ht="21.75" customHeight="1">
      <c r="A10" s="11" t="s">
        <v>115</v>
      </c>
      <c r="B10" s="68">
        <v>0</v>
      </c>
      <c r="C10" s="69">
        <v>0</v>
      </c>
      <c r="D10" s="68">
        <v>0</v>
      </c>
      <c r="E10" s="69">
        <v>0</v>
      </c>
      <c r="F10" s="68">
        <v>0</v>
      </c>
    </row>
    <row r="11" spans="1:6" ht="21.75" customHeight="1" thickBot="1">
      <c r="A11" s="11" t="s">
        <v>113</v>
      </c>
      <c r="B11" s="29">
        <f>B7-B8-B9</f>
        <v>2638125</v>
      </c>
      <c r="C11" s="30">
        <f>C7-C8-C9</f>
        <v>3327062.5</v>
      </c>
      <c r="D11" s="29">
        <f>D7-D8-D9</f>
        <v>3810750</v>
      </c>
      <c r="E11" s="30">
        <f>E7-E8-E9</f>
        <v>3832100</v>
      </c>
      <c r="F11" s="29">
        <f>F7-F8-F9</f>
        <v>5460062.5</v>
      </c>
    </row>
    <row r="12" spans="1:6" ht="21.75" customHeight="1" thickBot="1">
      <c r="A12" s="10" t="s">
        <v>122</v>
      </c>
      <c r="B12" s="20">
        <v>3535</v>
      </c>
      <c r="C12" s="21">
        <v>4693</v>
      </c>
      <c r="D12" s="20">
        <v>5138</v>
      </c>
      <c r="E12" s="21">
        <v>5080</v>
      </c>
      <c r="F12" s="20">
        <v>5851</v>
      </c>
    </row>
    <row r="13" spans="1:6" ht="21.75" customHeight="1">
      <c r="A13" s="11" t="s">
        <v>7</v>
      </c>
      <c r="B13" s="24">
        <v>1237.25</v>
      </c>
      <c r="C13" s="25">
        <v>1642.55</v>
      </c>
      <c r="D13" s="24">
        <v>1798.3</v>
      </c>
      <c r="E13" s="25">
        <v>1778</v>
      </c>
      <c r="F13" s="24">
        <v>2047.85</v>
      </c>
    </row>
    <row r="14" spans="1:6" ht="21.75" customHeight="1">
      <c r="A14" s="11" t="s">
        <v>114</v>
      </c>
      <c r="B14" s="22">
        <v>1414</v>
      </c>
      <c r="C14" s="26">
        <v>1877.2</v>
      </c>
      <c r="D14" s="27">
        <v>2055.2</v>
      </c>
      <c r="E14" s="28">
        <v>2032</v>
      </c>
      <c r="F14" s="27">
        <v>2340.4</v>
      </c>
    </row>
    <row r="15" spans="1:6" ht="21.75" customHeight="1">
      <c r="A15" s="11" t="s">
        <v>115</v>
      </c>
      <c r="B15" s="22">
        <v>0</v>
      </c>
      <c r="C15" s="23">
        <v>0</v>
      </c>
      <c r="D15" s="22">
        <v>0</v>
      </c>
      <c r="E15" s="23">
        <v>0</v>
      </c>
      <c r="F15" s="22">
        <v>0</v>
      </c>
    </row>
    <row r="16" spans="1:6" ht="21.75" customHeight="1" thickBot="1">
      <c r="A16" s="11" t="s">
        <v>113</v>
      </c>
      <c r="B16" s="29">
        <f>B12-B13-B14</f>
        <v>883.75</v>
      </c>
      <c r="C16" s="30">
        <f>C12-C13-C14</f>
        <v>1173.2499999999998</v>
      </c>
      <c r="D16" s="29">
        <f>D12-D13-D14</f>
        <v>1284.5</v>
      </c>
      <c r="E16" s="30">
        <f>E12-E13-E14</f>
        <v>1270</v>
      </c>
      <c r="F16" s="29">
        <f>F12-F13-F14</f>
        <v>1462.75</v>
      </c>
    </row>
    <row r="17" spans="1:6" ht="21.75" customHeight="1" thickBot="1">
      <c r="A17" s="10" t="s">
        <v>116</v>
      </c>
      <c r="B17" s="63">
        <v>24</v>
      </c>
      <c r="C17" s="64">
        <v>24</v>
      </c>
      <c r="D17" s="63">
        <v>24</v>
      </c>
      <c r="E17" s="64">
        <v>24</v>
      </c>
      <c r="F17" s="63">
        <v>24</v>
      </c>
    </row>
    <row r="18" spans="1:6" ht="21.75" customHeight="1" thickBot="1">
      <c r="A18" s="11" t="s">
        <v>7</v>
      </c>
      <c r="B18" s="63">
        <v>24</v>
      </c>
      <c r="C18" s="64">
        <v>24</v>
      </c>
      <c r="D18" s="63">
        <v>24</v>
      </c>
      <c r="E18" s="64">
        <v>24</v>
      </c>
      <c r="F18" s="63">
        <v>24</v>
      </c>
    </row>
    <row r="19" spans="1:6" ht="21.75" customHeight="1" thickBot="1">
      <c r="A19" s="11" t="s">
        <v>114</v>
      </c>
      <c r="B19" s="63">
        <v>24</v>
      </c>
      <c r="C19" s="64">
        <v>24</v>
      </c>
      <c r="D19" s="63">
        <v>24</v>
      </c>
      <c r="E19" s="64">
        <v>24</v>
      </c>
      <c r="F19" s="63">
        <v>24</v>
      </c>
    </row>
    <row r="20" spans="1:6" ht="21.75" customHeight="1" thickBot="1">
      <c r="A20" s="11" t="s">
        <v>115</v>
      </c>
      <c r="B20" s="65"/>
      <c r="C20" s="66"/>
      <c r="D20" s="65"/>
      <c r="E20" s="66"/>
      <c r="F20" s="65"/>
    </row>
    <row r="21" spans="1:6" ht="21.75" customHeight="1" thickBot="1">
      <c r="A21" s="11" t="s">
        <v>113</v>
      </c>
      <c r="B21" s="63">
        <v>24</v>
      </c>
      <c r="C21" s="64">
        <v>24</v>
      </c>
      <c r="D21" s="63">
        <v>24</v>
      </c>
      <c r="E21" s="64">
        <v>24</v>
      </c>
      <c r="F21" s="63">
        <v>24</v>
      </c>
    </row>
    <row r="22" spans="1:6" ht="21.75" customHeight="1" thickBot="1">
      <c r="A22" s="10" t="s">
        <v>133</v>
      </c>
      <c r="B22" s="20">
        <v>8</v>
      </c>
      <c r="C22" s="21">
        <v>8</v>
      </c>
      <c r="D22" s="20">
        <v>8</v>
      </c>
      <c r="E22" s="21">
        <v>8</v>
      </c>
      <c r="F22" s="20">
        <v>8</v>
      </c>
    </row>
    <row r="23" spans="1:6" ht="21.75" customHeight="1">
      <c r="A23" s="11" t="s">
        <v>7</v>
      </c>
      <c r="B23" s="33">
        <v>8</v>
      </c>
      <c r="C23" s="34">
        <v>8</v>
      </c>
      <c r="D23" s="33">
        <v>8</v>
      </c>
      <c r="E23" s="34">
        <v>8</v>
      </c>
      <c r="F23" s="33">
        <v>8</v>
      </c>
    </row>
    <row r="24" spans="1:6" ht="21.75" customHeight="1">
      <c r="A24" s="11" t="s">
        <v>114</v>
      </c>
      <c r="B24" s="35">
        <v>8</v>
      </c>
      <c r="C24" s="36">
        <v>8</v>
      </c>
      <c r="D24" s="35">
        <v>8</v>
      </c>
      <c r="E24" s="36">
        <v>8</v>
      </c>
      <c r="F24" s="35">
        <v>8</v>
      </c>
    </row>
    <row r="25" spans="1:6" ht="21.75" customHeight="1">
      <c r="A25" s="11" t="s">
        <v>115</v>
      </c>
      <c r="B25" s="31"/>
      <c r="C25" s="32"/>
      <c r="D25" s="31"/>
      <c r="E25" s="32"/>
      <c r="F25" s="31"/>
    </row>
    <row r="26" spans="1:6" ht="21.75" customHeight="1" thickBot="1">
      <c r="A26" s="11" t="s">
        <v>113</v>
      </c>
      <c r="B26" s="37">
        <v>8</v>
      </c>
      <c r="C26" s="38">
        <v>8</v>
      </c>
      <c r="D26" s="37">
        <v>8</v>
      </c>
      <c r="E26" s="38">
        <v>8</v>
      </c>
      <c r="F26" s="37">
        <v>8</v>
      </c>
    </row>
    <row r="27" spans="1:6" ht="21.75" customHeight="1" thickBot="1">
      <c r="A27" s="10" t="s">
        <v>126</v>
      </c>
      <c r="B27" s="20">
        <v>1000</v>
      </c>
      <c r="C27" s="21">
        <v>1200</v>
      </c>
      <c r="D27" s="20">
        <v>1300</v>
      </c>
      <c r="E27" s="21">
        <v>1300</v>
      </c>
      <c r="F27" s="20">
        <v>1300</v>
      </c>
    </row>
    <row r="28" spans="1:6" ht="21.75" customHeight="1" thickBot="1">
      <c r="A28" s="10" t="s">
        <v>127</v>
      </c>
      <c r="B28" s="39">
        <v>1200</v>
      </c>
      <c r="C28" s="40">
        <v>1300</v>
      </c>
      <c r="D28" s="39">
        <v>1500</v>
      </c>
      <c r="E28" s="40">
        <v>1500</v>
      </c>
      <c r="F28" s="39">
        <v>1500</v>
      </c>
    </row>
    <row r="29" spans="1:6" ht="21.75" customHeight="1" thickBot="1">
      <c r="A29" s="10" t="s">
        <v>117</v>
      </c>
      <c r="B29" s="20">
        <v>1008205.27</v>
      </c>
      <c r="C29" s="21">
        <v>1446728.89</v>
      </c>
      <c r="D29" s="20">
        <v>2252225.25</v>
      </c>
      <c r="E29" s="67">
        <v>1700717.28</v>
      </c>
      <c r="F29" s="20">
        <v>2552372.36</v>
      </c>
    </row>
    <row r="30" spans="1:6" ht="21.75" customHeight="1">
      <c r="A30" s="11" t="s">
        <v>7</v>
      </c>
      <c r="B30" s="341"/>
      <c r="C30" s="341"/>
      <c r="D30" s="341"/>
      <c r="E30" s="341"/>
      <c r="F30" s="341"/>
    </row>
    <row r="31" spans="1:6" ht="21.75" customHeight="1">
      <c r="A31" s="11" t="s">
        <v>114</v>
      </c>
      <c r="B31" s="341"/>
      <c r="C31" s="341"/>
      <c r="D31" s="341"/>
      <c r="E31" s="341"/>
      <c r="F31" s="341"/>
    </row>
    <row r="32" spans="1:6" ht="21.75" customHeight="1">
      <c r="A32" s="11" t="s">
        <v>115</v>
      </c>
      <c r="B32" s="341"/>
      <c r="C32" s="341"/>
      <c r="D32" s="341"/>
      <c r="E32" s="341"/>
      <c r="F32" s="341"/>
    </row>
    <row r="33" spans="1:6" ht="21.75" customHeight="1" thickBot="1">
      <c r="A33" s="11" t="s">
        <v>113</v>
      </c>
      <c r="B33" s="341"/>
      <c r="C33" s="341"/>
      <c r="D33" s="341"/>
      <c r="E33" s="341"/>
      <c r="F33" s="341"/>
    </row>
    <row r="34" spans="1:6" ht="21.75" customHeight="1" thickBot="1">
      <c r="A34" s="10" t="s">
        <v>118</v>
      </c>
      <c r="B34" s="41">
        <v>1195</v>
      </c>
      <c r="C34" s="42">
        <v>1052</v>
      </c>
      <c r="D34" s="41">
        <v>1130</v>
      </c>
      <c r="E34" s="43">
        <v>1110</v>
      </c>
      <c r="F34" s="41">
        <v>1690</v>
      </c>
    </row>
    <row r="35" spans="1:6" ht="21.75" customHeight="1">
      <c r="A35" s="11" t="s">
        <v>7</v>
      </c>
      <c r="B35" s="44">
        <v>1195</v>
      </c>
      <c r="C35" s="45">
        <v>1052</v>
      </c>
      <c r="D35" s="44">
        <v>1130</v>
      </c>
      <c r="E35" s="46">
        <v>1110</v>
      </c>
      <c r="F35" s="44">
        <v>169</v>
      </c>
    </row>
    <row r="36" spans="1:6" ht="21.75" customHeight="1">
      <c r="A36" s="11" t="s">
        <v>114</v>
      </c>
      <c r="B36" s="44">
        <v>1195</v>
      </c>
      <c r="C36" s="45">
        <v>1052</v>
      </c>
      <c r="D36" s="44">
        <v>1130</v>
      </c>
      <c r="E36" s="46">
        <v>1110</v>
      </c>
      <c r="F36" s="44">
        <v>169</v>
      </c>
    </row>
    <row r="37" spans="1:6" ht="21.75" customHeight="1">
      <c r="A37" s="11" t="s">
        <v>115</v>
      </c>
      <c r="B37" s="35">
        <v>0</v>
      </c>
      <c r="C37" s="36">
        <v>0</v>
      </c>
      <c r="D37" s="35">
        <v>0</v>
      </c>
      <c r="E37" s="36">
        <v>0</v>
      </c>
      <c r="F37" s="35">
        <v>0</v>
      </c>
    </row>
    <row r="38" spans="1:6" ht="21.75" customHeight="1" thickBot="1">
      <c r="A38" s="18" t="s">
        <v>113</v>
      </c>
      <c r="B38" s="47">
        <v>1195</v>
      </c>
      <c r="C38" s="48">
        <v>1052</v>
      </c>
      <c r="D38" s="47">
        <v>1130</v>
      </c>
      <c r="E38" s="49">
        <v>1110</v>
      </c>
      <c r="F38" s="47">
        <v>1690</v>
      </c>
    </row>
    <row r="39" ht="17.25" thickTop="1">
      <c r="A39" s="9"/>
    </row>
    <row r="40" ht="15.75">
      <c r="A40" s="175" t="s">
        <v>17</v>
      </c>
    </row>
    <row r="41" spans="1:6" ht="12.75">
      <c r="A41" s="176" t="s">
        <v>161</v>
      </c>
      <c r="B41" s="176"/>
      <c r="C41" s="176"/>
      <c r="D41" s="176"/>
      <c r="E41" s="176"/>
      <c r="F41" s="176"/>
    </row>
    <row r="42" spans="1:6" ht="13.5" customHeight="1">
      <c r="A42" s="176" t="s">
        <v>162</v>
      </c>
      <c r="B42" s="176"/>
      <c r="C42" s="176"/>
      <c r="D42" s="176"/>
      <c r="E42" s="176"/>
      <c r="F42" s="176"/>
    </row>
    <row r="43" spans="1:6" ht="12.75">
      <c r="A43" s="543"/>
      <c r="B43" s="541"/>
      <c r="C43" s="541"/>
      <c r="D43" s="541"/>
      <c r="E43" s="541"/>
      <c r="F43" s="541"/>
    </row>
  </sheetData>
  <mergeCells count="3">
    <mergeCell ref="A43:F43"/>
    <mergeCell ref="A2:F2"/>
    <mergeCell ref="A3:F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2:F42"/>
  <sheetViews>
    <sheetView workbookViewId="0" topLeftCell="A1">
      <selection activeCell="A1" sqref="A1"/>
    </sheetView>
  </sheetViews>
  <sheetFormatPr defaultColWidth="9.140625" defaultRowHeight="12.75"/>
  <cols>
    <col min="1" max="1" width="50.0039062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15</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149"/>
      <c r="C6" s="149"/>
      <c r="D6" s="149"/>
      <c r="E6" s="149"/>
      <c r="F6" s="150"/>
    </row>
    <row r="7" spans="1:6" ht="21.75" customHeight="1">
      <c r="A7" s="10" t="s">
        <v>120</v>
      </c>
      <c r="B7" s="73">
        <v>3932480</v>
      </c>
      <c r="C7" s="73">
        <v>11515306</v>
      </c>
      <c r="D7" s="164">
        <v>20038676</v>
      </c>
      <c r="E7" s="74">
        <v>21090875</v>
      </c>
      <c r="F7" s="165">
        <v>22987296</v>
      </c>
    </row>
    <row r="8" spans="1:6" ht="21.75" customHeight="1">
      <c r="A8" s="11" t="s">
        <v>7</v>
      </c>
      <c r="B8" s="73"/>
      <c r="C8" s="73"/>
      <c r="D8" s="73">
        <v>200000</v>
      </c>
      <c r="E8" s="73">
        <v>515000</v>
      </c>
      <c r="F8" s="166">
        <v>595000</v>
      </c>
    </row>
    <row r="9" spans="1:6" ht="21.75" customHeight="1">
      <c r="A9" s="11" t="s">
        <v>114</v>
      </c>
      <c r="B9" s="73">
        <v>1505269</v>
      </c>
      <c r="C9" s="73">
        <v>4987652</v>
      </c>
      <c r="D9" s="73">
        <v>6555298</v>
      </c>
      <c r="E9" s="75">
        <v>655987</v>
      </c>
      <c r="F9" s="166">
        <v>690000</v>
      </c>
    </row>
    <row r="10" spans="1:6" ht="21.75" customHeight="1">
      <c r="A10" s="11" t="s">
        <v>115</v>
      </c>
      <c r="B10" s="73">
        <v>50000</v>
      </c>
      <c r="C10" s="73">
        <v>112000</v>
      </c>
      <c r="D10" s="73">
        <v>285430</v>
      </c>
      <c r="E10" s="75">
        <v>395000</v>
      </c>
      <c r="F10" s="166">
        <v>500000</v>
      </c>
    </row>
    <row r="11" spans="1:6" ht="21.75" customHeight="1" thickBot="1">
      <c r="A11" s="11" t="s">
        <v>113</v>
      </c>
      <c r="B11" s="76">
        <v>2377211</v>
      </c>
      <c r="C11" s="76">
        <v>6407654</v>
      </c>
      <c r="D11" s="76">
        <v>12997948</v>
      </c>
      <c r="E11" s="77">
        <v>19524888</v>
      </c>
      <c r="F11" s="167">
        <v>21202296</v>
      </c>
    </row>
    <row r="12" spans="1:6" ht="21.75" customHeight="1">
      <c r="A12" s="10" t="s">
        <v>122</v>
      </c>
      <c r="B12" s="78">
        <v>665</v>
      </c>
      <c r="C12" s="79">
        <v>1171</v>
      </c>
      <c r="D12" s="79">
        <v>1444</v>
      </c>
      <c r="E12" s="80">
        <v>2570</v>
      </c>
      <c r="F12" s="165">
        <v>2780</v>
      </c>
    </row>
    <row r="13" spans="1:6" ht="21.75" customHeight="1">
      <c r="A13" s="11" t="s">
        <v>7</v>
      </c>
      <c r="B13" s="81"/>
      <c r="C13" s="73"/>
      <c r="D13" s="73">
        <v>57</v>
      </c>
      <c r="E13" s="73">
        <v>85</v>
      </c>
      <c r="F13" s="166">
        <v>170</v>
      </c>
    </row>
    <row r="14" spans="1:6" ht="21.75" customHeight="1">
      <c r="A14" s="11" t="s">
        <v>114</v>
      </c>
      <c r="B14" s="81">
        <v>220</v>
      </c>
      <c r="C14" s="73">
        <v>396</v>
      </c>
      <c r="D14" s="73">
        <v>379</v>
      </c>
      <c r="E14" s="75">
        <v>580</v>
      </c>
      <c r="F14" s="166">
        <v>876</v>
      </c>
    </row>
    <row r="15" spans="1:6" ht="21.75" customHeight="1">
      <c r="A15" s="11" t="s">
        <v>115</v>
      </c>
      <c r="B15" s="81">
        <v>20</v>
      </c>
      <c r="C15" s="73">
        <f>C10/2250</f>
        <v>49.77777777777778</v>
      </c>
      <c r="D15" s="73">
        <v>56</v>
      </c>
      <c r="E15" s="75">
        <v>70</v>
      </c>
      <c r="F15" s="166">
        <v>90</v>
      </c>
    </row>
    <row r="16" spans="1:6" ht="21.75" customHeight="1" thickBot="1">
      <c r="A16" s="11" t="s">
        <v>113</v>
      </c>
      <c r="B16" s="82">
        <v>425</v>
      </c>
      <c r="C16" s="83">
        <v>725</v>
      </c>
      <c r="D16" s="83">
        <v>952</v>
      </c>
      <c r="E16" s="84">
        <v>1835</v>
      </c>
      <c r="F16" s="168">
        <v>1644</v>
      </c>
    </row>
    <row r="17" spans="1:6" ht="21.75" customHeight="1">
      <c r="A17" s="10" t="s">
        <v>116</v>
      </c>
      <c r="B17" s="85">
        <v>18</v>
      </c>
      <c r="C17" s="86">
        <v>18</v>
      </c>
      <c r="D17" s="86">
        <v>22</v>
      </c>
      <c r="E17" s="86">
        <v>22</v>
      </c>
      <c r="F17" s="169">
        <v>22</v>
      </c>
    </row>
    <row r="18" spans="1:6" ht="21.75" customHeight="1">
      <c r="A18" s="11" t="s">
        <v>7</v>
      </c>
      <c r="B18" s="87">
        <v>0</v>
      </c>
      <c r="C18" s="88">
        <v>0</v>
      </c>
      <c r="D18" s="88">
        <v>18</v>
      </c>
      <c r="E18" s="88">
        <v>18</v>
      </c>
      <c r="F18" s="170">
        <v>18</v>
      </c>
    </row>
    <row r="19" spans="1:6" ht="21.75" customHeight="1">
      <c r="A19" s="11" t="s">
        <v>114</v>
      </c>
      <c r="B19" s="87">
        <v>18</v>
      </c>
      <c r="C19" s="88">
        <v>18</v>
      </c>
      <c r="D19" s="88">
        <v>18</v>
      </c>
      <c r="E19" s="88">
        <v>18</v>
      </c>
      <c r="F19" s="170">
        <v>18</v>
      </c>
    </row>
    <row r="20" spans="1:6" ht="21.75" customHeight="1">
      <c r="A20" s="11" t="s">
        <v>115</v>
      </c>
      <c r="B20" s="87">
        <v>18</v>
      </c>
      <c r="C20" s="88">
        <v>18</v>
      </c>
      <c r="D20" s="88">
        <v>18</v>
      </c>
      <c r="E20" s="88">
        <v>18</v>
      </c>
      <c r="F20" s="170">
        <v>18</v>
      </c>
    </row>
    <row r="21" spans="1:6" ht="21.75" customHeight="1" thickBot="1">
      <c r="A21" s="11" t="s">
        <v>113</v>
      </c>
      <c r="B21" s="89">
        <v>18</v>
      </c>
      <c r="C21" s="90">
        <v>18</v>
      </c>
      <c r="D21" s="90">
        <v>24</v>
      </c>
      <c r="E21" s="90">
        <v>24</v>
      </c>
      <c r="F21" s="171">
        <v>24</v>
      </c>
    </row>
    <row r="22" spans="1:6" ht="21.75" customHeight="1">
      <c r="A22" s="10" t="s">
        <v>133</v>
      </c>
      <c r="B22" s="91">
        <v>9.75</v>
      </c>
      <c r="C22" s="80">
        <v>9.75</v>
      </c>
      <c r="D22" s="80">
        <v>9.75</v>
      </c>
      <c r="E22" s="80">
        <v>9.75</v>
      </c>
      <c r="F22" s="165">
        <v>9.75</v>
      </c>
    </row>
    <row r="23" spans="1:6" ht="21.75" customHeight="1">
      <c r="A23" s="11" t="s">
        <v>7</v>
      </c>
      <c r="B23" s="81">
        <v>9</v>
      </c>
      <c r="C23" s="73">
        <v>9</v>
      </c>
      <c r="D23" s="73">
        <v>9</v>
      </c>
      <c r="E23" s="73">
        <v>9</v>
      </c>
      <c r="F23" s="166">
        <v>9</v>
      </c>
    </row>
    <row r="24" spans="1:6" ht="21.75" customHeight="1">
      <c r="A24" s="11" t="s">
        <v>114</v>
      </c>
      <c r="B24" s="81">
        <v>6</v>
      </c>
      <c r="C24" s="73">
        <v>6</v>
      </c>
      <c r="D24" s="73">
        <v>6</v>
      </c>
      <c r="E24" s="73">
        <v>6</v>
      </c>
      <c r="F24" s="166">
        <v>6</v>
      </c>
    </row>
    <row r="25" spans="1:6" ht="21.75" customHeight="1">
      <c r="A25" s="11" t="s">
        <v>115</v>
      </c>
      <c r="B25" s="81">
        <v>18</v>
      </c>
      <c r="C25" s="73">
        <v>18</v>
      </c>
      <c r="D25" s="73">
        <v>18</v>
      </c>
      <c r="E25" s="73">
        <v>18</v>
      </c>
      <c r="F25" s="166">
        <v>18</v>
      </c>
    </row>
    <row r="26" spans="1:6" ht="21.75" customHeight="1" thickBot="1">
      <c r="A26" s="11" t="s">
        <v>113</v>
      </c>
      <c r="B26" s="82">
        <v>6</v>
      </c>
      <c r="C26" s="83">
        <v>6</v>
      </c>
      <c r="D26" s="83">
        <v>6</v>
      </c>
      <c r="E26" s="83">
        <v>6</v>
      </c>
      <c r="F26" s="168">
        <v>6</v>
      </c>
    </row>
    <row r="27" spans="1:6" ht="21.75" customHeight="1" thickBot="1">
      <c r="A27" s="10" t="s">
        <v>126</v>
      </c>
      <c r="B27" s="92">
        <v>900</v>
      </c>
      <c r="C27" s="92">
        <v>1100</v>
      </c>
      <c r="D27" s="92">
        <v>1200</v>
      </c>
      <c r="E27" s="92">
        <v>1200</v>
      </c>
      <c r="F27" s="172">
        <v>1250</v>
      </c>
    </row>
    <row r="28" spans="1:6" ht="21.75" customHeight="1" thickBot="1">
      <c r="A28" s="10" t="s">
        <v>127</v>
      </c>
      <c r="B28" s="15"/>
      <c r="C28" s="15"/>
      <c r="D28" s="15"/>
      <c r="E28" s="15"/>
      <c r="F28" s="143"/>
    </row>
    <row r="29" spans="1:6" ht="21.75" customHeight="1">
      <c r="A29" s="10" t="s">
        <v>117</v>
      </c>
      <c r="B29" s="93">
        <v>138486.21568</v>
      </c>
      <c r="C29" s="93">
        <v>373225.2357555739</v>
      </c>
      <c r="D29" s="93">
        <v>595201.8977020786</v>
      </c>
      <c r="E29" s="93">
        <v>570912.1386487716</v>
      </c>
      <c r="F29" s="173">
        <v>923434.1288716818</v>
      </c>
    </row>
    <row r="30" spans="1:6" ht="21.75" customHeight="1">
      <c r="A30" s="11" t="s">
        <v>7</v>
      </c>
      <c r="B30" s="94"/>
      <c r="C30" s="94"/>
      <c r="D30" s="94"/>
      <c r="E30" s="95"/>
      <c r="F30" s="151"/>
    </row>
    <row r="31" spans="1:6" ht="21.75" customHeight="1">
      <c r="A31" s="11" t="s">
        <v>114</v>
      </c>
      <c r="B31" s="94"/>
      <c r="C31" s="94"/>
      <c r="D31" s="94"/>
      <c r="E31" s="95"/>
      <c r="F31" s="151"/>
    </row>
    <row r="32" spans="1:6" ht="21.75" customHeight="1">
      <c r="A32" s="11" t="s">
        <v>115</v>
      </c>
      <c r="B32" s="97"/>
      <c r="C32" s="97"/>
      <c r="D32" s="97"/>
      <c r="E32" s="97"/>
      <c r="F32" s="153"/>
    </row>
    <row r="33" spans="1:6" ht="21.75" customHeight="1" thickBot="1">
      <c r="A33" s="11" t="s">
        <v>113</v>
      </c>
      <c r="B33" s="99"/>
      <c r="C33" s="99"/>
      <c r="D33" s="99"/>
      <c r="E33" s="99"/>
      <c r="F33" s="152"/>
    </row>
    <row r="34" spans="1:6" ht="21.75" customHeight="1">
      <c r="A34" s="10" t="s">
        <v>118</v>
      </c>
      <c r="B34" s="101">
        <v>2200</v>
      </c>
      <c r="C34" s="101">
        <v>2300</v>
      </c>
      <c r="D34" s="101">
        <v>2500</v>
      </c>
      <c r="E34" s="102">
        <v>2700</v>
      </c>
      <c r="F34" s="154">
        <v>2850</v>
      </c>
    </row>
    <row r="35" spans="1:6" ht="21.75" customHeight="1">
      <c r="A35" s="11" t="s">
        <v>7</v>
      </c>
      <c r="B35" s="94">
        <v>2000</v>
      </c>
      <c r="C35" s="94">
        <v>2100</v>
      </c>
      <c r="D35" s="94">
        <v>2200</v>
      </c>
      <c r="E35" s="95">
        <v>2600</v>
      </c>
      <c r="F35" s="151">
        <v>2750</v>
      </c>
    </row>
    <row r="36" spans="1:6" ht="21.75" customHeight="1">
      <c r="A36" s="11" t="s">
        <v>114</v>
      </c>
      <c r="B36" s="94">
        <v>2500</v>
      </c>
      <c r="C36" s="94">
        <v>2600</v>
      </c>
      <c r="D36" s="94">
        <v>2700</v>
      </c>
      <c r="E36" s="95">
        <v>2750</v>
      </c>
      <c r="F36" s="151">
        <v>2850</v>
      </c>
    </row>
    <row r="37" spans="1:6" ht="21.75" customHeight="1">
      <c r="A37" s="11" t="s">
        <v>115</v>
      </c>
      <c r="B37" s="97">
        <v>2000</v>
      </c>
      <c r="C37" s="97">
        <v>2200</v>
      </c>
      <c r="D37" s="97">
        <v>2500</v>
      </c>
      <c r="E37" s="97">
        <v>2650</v>
      </c>
      <c r="F37" s="153">
        <v>2800</v>
      </c>
    </row>
    <row r="38" spans="1:6" ht="21.75" customHeight="1" thickBot="1">
      <c r="A38" s="18" t="s">
        <v>113</v>
      </c>
      <c r="B38" s="104">
        <v>2300</v>
      </c>
      <c r="C38" s="104">
        <v>2300</v>
      </c>
      <c r="D38" s="104">
        <v>2600</v>
      </c>
      <c r="E38" s="104">
        <v>2800</v>
      </c>
      <c r="F38" s="174">
        <v>3000</v>
      </c>
    </row>
    <row r="39" ht="21.75" customHeight="1" thickTop="1"/>
    <row r="40" ht="15.75">
      <c r="A40" s="175" t="s">
        <v>17</v>
      </c>
    </row>
    <row r="41" ht="12.75">
      <c r="A41" s="176" t="s">
        <v>161</v>
      </c>
    </row>
    <row r="42" ht="12.75">
      <c r="A42" s="176" t="s">
        <v>162</v>
      </c>
    </row>
  </sheetData>
  <mergeCells count="2">
    <mergeCell ref="A2:F2"/>
    <mergeCell ref="A3:F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2:F44"/>
  <sheetViews>
    <sheetView workbookViewId="0" topLeftCell="A1">
      <selection activeCell="A1" sqref="A1"/>
    </sheetView>
  </sheetViews>
  <sheetFormatPr defaultColWidth="9.140625" defaultRowHeight="12.75"/>
  <cols>
    <col min="1" max="1" width="52.0039062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4</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149"/>
      <c r="C6" s="149">
        <v>682161</v>
      </c>
      <c r="D6" s="149">
        <v>1382626</v>
      </c>
      <c r="E6" s="149">
        <v>2298934</v>
      </c>
      <c r="F6" s="150">
        <v>3143625</v>
      </c>
    </row>
    <row r="7" spans="1:6" ht="21.75" customHeight="1">
      <c r="A7" s="10" t="s">
        <v>120</v>
      </c>
      <c r="B7" s="4"/>
      <c r="C7" s="4">
        <f>+C9+C11</f>
        <v>1211000</v>
      </c>
      <c r="D7" s="4">
        <f>+D9+D11</f>
        <v>3464000</v>
      </c>
      <c r="E7" s="4">
        <f>+E9+E11</f>
        <v>5495000</v>
      </c>
      <c r="F7" s="139">
        <f>+F9+F11</f>
        <v>8161000</v>
      </c>
    </row>
    <row r="8" spans="1:6" ht="21.75" customHeight="1">
      <c r="A8" s="11" t="s">
        <v>7</v>
      </c>
      <c r="B8" s="5"/>
      <c r="C8" s="5"/>
      <c r="D8" s="5"/>
      <c r="E8" s="5"/>
      <c r="F8" s="156"/>
    </row>
    <row r="9" spans="1:6" ht="21.75" customHeight="1">
      <c r="A9" s="11" t="s">
        <v>114</v>
      </c>
      <c r="B9" s="6"/>
      <c r="C9" s="50">
        <v>72660</v>
      </c>
      <c r="D9" s="50">
        <v>207840</v>
      </c>
      <c r="E9" s="51">
        <v>329700</v>
      </c>
      <c r="F9" s="140">
        <v>489660</v>
      </c>
    </row>
    <row r="10" spans="1:6" ht="21.75" customHeight="1">
      <c r="A10" s="11" t="s">
        <v>115</v>
      </c>
      <c r="B10" s="6"/>
      <c r="C10" s="6"/>
      <c r="D10" s="6"/>
      <c r="E10" s="7"/>
      <c r="F10" s="145"/>
    </row>
    <row r="11" spans="1:6" ht="21.75" customHeight="1" thickBot="1">
      <c r="A11" s="11" t="s">
        <v>113</v>
      </c>
      <c r="B11" s="6"/>
      <c r="C11" s="50">
        <v>1138340</v>
      </c>
      <c r="D11" s="50">
        <v>3256160</v>
      </c>
      <c r="E11" s="51">
        <v>5165300</v>
      </c>
      <c r="F11" s="140">
        <v>7671340</v>
      </c>
    </row>
    <row r="12" spans="1:6" ht="21.75" customHeight="1">
      <c r="A12" s="10" t="s">
        <v>122</v>
      </c>
      <c r="B12" s="4"/>
      <c r="C12" s="4">
        <f>SUM(C13:C16)</f>
        <v>1045</v>
      </c>
      <c r="D12" s="4">
        <f>SUM(D13:D16)</f>
        <v>2030</v>
      </c>
      <c r="E12" s="4">
        <f>SUM(E13:E16)</f>
        <v>2560</v>
      </c>
      <c r="F12" s="139">
        <f>SUM(F13:F16)</f>
        <v>2855</v>
      </c>
    </row>
    <row r="13" spans="1:6" ht="21.75" customHeight="1">
      <c r="A13" s="11" t="s">
        <v>7</v>
      </c>
      <c r="B13" s="5"/>
      <c r="C13" s="5"/>
      <c r="D13" s="5"/>
      <c r="E13" s="5"/>
      <c r="F13" s="156"/>
    </row>
    <row r="14" spans="1:6" ht="21.75" customHeight="1">
      <c r="A14" s="11" t="s">
        <v>114</v>
      </c>
      <c r="B14" s="6"/>
      <c r="C14" s="6">
        <v>63</v>
      </c>
      <c r="D14" s="6">
        <v>122</v>
      </c>
      <c r="E14" s="7">
        <v>154</v>
      </c>
      <c r="F14" s="145">
        <v>172</v>
      </c>
    </row>
    <row r="15" spans="1:6" ht="21.75" customHeight="1">
      <c r="A15" s="11" t="s">
        <v>115</v>
      </c>
      <c r="B15" s="6"/>
      <c r="C15" s="6"/>
      <c r="D15" s="6"/>
      <c r="E15" s="7"/>
      <c r="F15" s="145"/>
    </row>
    <row r="16" spans="1:6" ht="21.75" customHeight="1" thickBot="1">
      <c r="A16" s="11" t="s">
        <v>113</v>
      </c>
      <c r="B16" s="6"/>
      <c r="C16" s="384">
        <v>982</v>
      </c>
      <c r="D16" s="384">
        <v>1908</v>
      </c>
      <c r="E16" s="385">
        <v>2406</v>
      </c>
      <c r="F16" s="386">
        <v>2683</v>
      </c>
    </row>
    <row r="17" spans="1:6" ht="21.75" customHeight="1">
      <c r="A17" s="10" t="s">
        <v>116</v>
      </c>
      <c r="B17" s="4"/>
      <c r="C17" s="12">
        <v>24</v>
      </c>
      <c r="D17" s="12">
        <v>24</v>
      </c>
      <c r="E17" s="13">
        <v>24</v>
      </c>
      <c r="F17" s="147">
        <v>24</v>
      </c>
    </row>
    <row r="18" spans="1:6" ht="21.75" customHeight="1">
      <c r="A18" s="11" t="s">
        <v>7</v>
      </c>
      <c r="B18" s="5"/>
      <c r="C18" s="5"/>
      <c r="D18" s="5"/>
      <c r="E18" s="5"/>
      <c r="F18" s="156"/>
    </row>
    <row r="19" spans="1:6" ht="21.75" customHeight="1">
      <c r="A19" s="11" t="s">
        <v>114</v>
      </c>
      <c r="B19" s="6"/>
      <c r="C19" s="6">
        <v>24</v>
      </c>
      <c r="D19" s="6">
        <v>24</v>
      </c>
      <c r="E19" s="7">
        <v>24</v>
      </c>
      <c r="F19" s="145">
        <v>24</v>
      </c>
    </row>
    <row r="20" spans="1:6" ht="21.75" customHeight="1">
      <c r="A20" s="11" t="s">
        <v>115</v>
      </c>
      <c r="B20" s="6"/>
      <c r="C20" s="6"/>
      <c r="D20" s="6"/>
      <c r="E20" s="7"/>
      <c r="F20" s="145"/>
    </row>
    <row r="21" spans="1:6" ht="21.75" customHeight="1" thickBot="1">
      <c r="A21" s="11" t="s">
        <v>113</v>
      </c>
      <c r="B21" s="6"/>
      <c r="C21" s="6">
        <v>24</v>
      </c>
      <c r="D21" s="6">
        <v>24</v>
      </c>
      <c r="E21" s="7">
        <v>24</v>
      </c>
      <c r="F21" s="145">
        <v>24</v>
      </c>
    </row>
    <row r="22" spans="1:6" ht="21.75" customHeight="1">
      <c r="A22" s="10" t="s">
        <v>133</v>
      </c>
      <c r="B22" s="4"/>
      <c r="C22" s="4">
        <v>6.76667</v>
      </c>
      <c r="D22" s="4">
        <v>6.76667</v>
      </c>
      <c r="E22" s="4">
        <v>6.76667</v>
      </c>
      <c r="F22" s="139">
        <v>6.76667</v>
      </c>
    </row>
    <row r="23" spans="1:6" ht="21.75" customHeight="1" thickBot="1">
      <c r="A23" s="11" t="s">
        <v>7</v>
      </c>
      <c r="B23" s="5"/>
      <c r="C23" s="5"/>
      <c r="D23" s="5"/>
      <c r="E23" s="5"/>
      <c r="F23" s="156"/>
    </row>
    <row r="24" spans="1:6" ht="21.75" customHeight="1">
      <c r="A24" s="11" t="s">
        <v>114</v>
      </c>
      <c r="B24" s="6"/>
      <c r="C24" s="4">
        <v>6.76667</v>
      </c>
      <c r="D24" s="4">
        <v>6.76667</v>
      </c>
      <c r="E24" s="4">
        <v>6.76667</v>
      </c>
      <c r="F24" s="139">
        <v>6.76667</v>
      </c>
    </row>
    <row r="25" spans="1:6" ht="21.75" customHeight="1" thickBot="1">
      <c r="A25" s="11" t="s">
        <v>115</v>
      </c>
      <c r="B25" s="6"/>
      <c r="C25" s="6"/>
      <c r="D25" s="6"/>
      <c r="E25" s="7"/>
      <c r="F25" s="145"/>
    </row>
    <row r="26" spans="1:6" ht="21.75" customHeight="1" thickBot="1">
      <c r="A26" s="11" t="s">
        <v>113</v>
      </c>
      <c r="B26" s="6"/>
      <c r="C26" s="4">
        <v>6.76667</v>
      </c>
      <c r="D26" s="4">
        <v>6.76667</v>
      </c>
      <c r="E26" s="4">
        <v>6.76667</v>
      </c>
      <c r="F26" s="139">
        <v>6.76667</v>
      </c>
    </row>
    <row r="27" spans="1:6" ht="21.75" customHeight="1" thickBot="1">
      <c r="A27" s="10" t="s">
        <v>126</v>
      </c>
      <c r="B27" s="14"/>
      <c r="C27" s="14"/>
      <c r="D27" s="14"/>
      <c r="E27" s="14"/>
      <c r="F27" s="157"/>
    </row>
    <row r="28" spans="1:6" ht="21.75" customHeight="1" thickBot="1">
      <c r="A28" s="10" t="s">
        <v>127</v>
      </c>
      <c r="B28" s="15"/>
      <c r="C28" s="14">
        <v>2400</v>
      </c>
      <c r="D28" s="14">
        <v>2400</v>
      </c>
      <c r="E28" s="14">
        <v>2400</v>
      </c>
      <c r="F28" s="157">
        <v>2400</v>
      </c>
    </row>
    <row r="29" spans="1:6" ht="21.75" customHeight="1">
      <c r="A29" s="10" t="s">
        <v>117</v>
      </c>
      <c r="B29" s="12"/>
      <c r="C29" s="16">
        <v>39250</v>
      </c>
      <c r="D29" s="16">
        <v>102890</v>
      </c>
      <c r="E29" s="16">
        <v>148745</v>
      </c>
      <c r="F29" s="144">
        <v>422460</v>
      </c>
    </row>
    <row r="30" spans="1:6" ht="21.75" customHeight="1">
      <c r="A30" s="11" t="s">
        <v>7</v>
      </c>
      <c r="B30" s="6"/>
      <c r="C30" s="6"/>
      <c r="D30" s="6"/>
      <c r="E30" s="7"/>
      <c r="F30" s="145"/>
    </row>
    <row r="31" spans="1:6" ht="21.75" customHeight="1">
      <c r="A31" s="11" t="s">
        <v>114</v>
      </c>
      <c r="B31" s="6"/>
      <c r="C31" s="6"/>
      <c r="D31" s="6"/>
      <c r="E31" s="7"/>
      <c r="F31" s="145"/>
    </row>
    <row r="32" spans="1:6" ht="21.75" customHeight="1">
      <c r="A32" s="11" t="s">
        <v>115</v>
      </c>
      <c r="B32" s="16"/>
      <c r="C32" s="16"/>
      <c r="D32" s="16"/>
      <c r="E32" s="16"/>
      <c r="F32" s="144"/>
    </row>
    <row r="33" spans="1:6" ht="21.75" customHeight="1" thickBot="1">
      <c r="A33" s="11" t="s">
        <v>113</v>
      </c>
      <c r="B33" s="17"/>
      <c r="C33" s="17"/>
      <c r="D33" s="17"/>
      <c r="E33" s="17"/>
      <c r="F33" s="146"/>
    </row>
    <row r="34" spans="1:6" ht="21.75" customHeight="1">
      <c r="A34" s="10" t="s">
        <v>118</v>
      </c>
      <c r="B34" s="12"/>
      <c r="C34" s="50">
        <v>1160</v>
      </c>
      <c r="D34" s="50">
        <v>1700</v>
      </c>
      <c r="E34" s="51">
        <v>2140</v>
      </c>
      <c r="F34" s="145">
        <v>2850</v>
      </c>
    </row>
    <row r="35" spans="1:6" ht="21.75" customHeight="1">
      <c r="A35" s="11" t="s">
        <v>7</v>
      </c>
      <c r="B35" s="6"/>
      <c r="C35" s="6"/>
      <c r="D35" s="6"/>
      <c r="E35" s="7"/>
      <c r="F35" s="145"/>
    </row>
    <row r="36" spans="1:6" ht="21.75" customHeight="1">
      <c r="A36" s="11" t="s">
        <v>114</v>
      </c>
      <c r="B36" s="6"/>
      <c r="C36" s="50">
        <v>1160</v>
      </c>
      <c r="D36" s="50">
        <v>1700</v>
      </c>
      <c r="E36" s="51">
        <v>2140</v>
      </c>
      <c r="F36" s="145">
        <v>2850</v>
      </c>
    </row>
    <row r="37" spans="1:6" ht="21.75" customHeight="1">
      <c r="A37" s="11" t="s">
        <v>115</v>
      </c>
      <c r="B37" s="16"/>
      <c r="C37" s="16"/>
      <c r="D37" s="16"/>
      <c r="E37" s="16"/>
      <c r="F37" s="144"/>
    </row>
    <row r="38" spans="1:6" ht="21.75" customHeight="1" thickBot="1">
      <c r="A38" s="18" t="s">
        <v>113</v>
      </c>
      <c r="B38" s="19"/>
      <c r="C38" s="19">
        <v>1160</v>
      </c>
      <c r="D38" s="19">
        <v>1700</v>
      </c>
      <c r="E38" s="19">
        <v>2140</v>
      </c>
      <c r="F38" s="148">
        <v>2850</v>
      </c>
    </row>
    <row r="39" ht="21.75" customHeight="1" thickTop="1"/>
    <row r="40" spans="1:6" ht="15.75">
      <c r="A40" s="545" t="s">
        <v>163</v>
      </c>
      <c r="B40" s="537"/>
      <c r="C40" s="537"/>
      <c r="D40" s="537"/>
      <c r="E40" s="537"/>
      <c r="F40" s="537"/>
    </row>
    <row r="42" ht="15.75">
      <c r="A42" s="175" t="s">
        <v>17</v>
      </c>
    </row>
    <row r="43" ht="12.75">
      <c r="A43" s="176" t="s">
        <v>164</v>
      </c>
    </row>
    <row r="44" ht="12.75">
      <c r="A44" s="176" t="s">
        <v>165</v>
      </c>
    </row>
  </sheetData>
  <mergeCells count="3">
    <mergeCell ref="A2:F2"/>
    <mergeCell ref="A3:F3"/>
    <mergeCell ref="A40:F40"/>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ignoredErrors>
    <ignoredError sqref="C12:F12" emptyCellReference="1" formulaRange="1"/>
  </ignoredErrors>
</worksheet>
</file>

<file path=xl/worksheets/sheet2.xml><?xml version="1.0" encoding="utf-8"?>
<worksheet xmlns="http://schemas.openxmlformats.org/spreadsheetml/2006/main" xmlns:r="http://schemas.openxmlformats.org/officeDocument/2006/relationships">
  <sheetPr codeName="Sheet2"/>
  <dimension ref="B1:B27"/>
  <sheetViews>
    <sheetView showGridLines="0" tabSelected="1" workbookViewId="0" topLeftCell="A1">
      <selection activeCell="A1" sqref="A1"/>
    </sheetView>
  </sheetViews>
  <sheetFormatPr defaultColWidth="9.140625" defaultRowHeight="12.75"/>
  <cols>
    <col min="1" max="1" width="5.7109375" style="396" customWidth="1"/>
    <col min="2" max="2" width="106.421875" style="396" customWidth="1"/>
    <col min="3" max="16384" width="9.140625" style="396" customWidth="1"/>
  </cols>
  <sheetData>
    <row r="1" ht="12.75">
      <c r="B1" s="397" t="s">
        <v>53</v>
      </c>
    </row>
    <row r="2" ht="20.25">
      <c r="B2" s="458" t="s">
        <v>90</v>
      </c>
    </row>
    <row r="4" ht="18">
      <c r="B4" s="459" t="s">
        <v>59</v>
      </c>
    </row>
    <row r="6" ht="12.75">
      <c r="B6" s="460" t="s">
        <v>84</v>
      </c>
    </row>
    <row r="7" ht="6.75" customHeight="1"/>
    <row r="8" ht="114.75">
      <c r="B8" s="461" t="s">
        <v>0</v>
      </c>
    </row>
    <row r="10" ht="12.75">
      <c r="B10" s="460" t="s">
        <v>85</v>
      </c>
    </row>
    <row r="11" ht="6.75" customHeight="1"/>
    <row r="12" ht="12.75">
      <c r="B12" s="396" t="s">
        <v>98</v>
      </c>
    </row>
    <row r="13" ht="87" customHeight="1">
      <c r="B13" s="396" t="s">
        <v>102</v>
      </c>
    </row>
    <row r="14" ht="109.5" customHeight="1">
      <c r="B14" s="462" t="s">
        <v>103</v>
      </c>
    </row>
    <row r="15" ht="30" customHeight="1">
      <c r="B15" s="396" t="s">
        <v>104</v>
      </c>
    </row>
    <row r="16" ht="25.5">
      <c r="B16" s="396" t="s">
        <v>99</v>
      </c>
    </row>
    <row r="17" ht="38.25">
      <c r="B17" s="396" t="s">
        <v>105</v>
      </c>
    </row>
    <row r="18" ht="25.5">
      <c r="B18" s="396" t="s">
        <v>100</v>
      </c>
    </row>
    <row r="19" ht="25.5">
      <c r="B19" s="396" t="s">
        <v>106</v>
      </c>
    </row>
    <row r="20" ht="12.75">
      <c r="B20" s="396" t="s">
        <v>101</v>
      </c>
    </row>
    <row r="22" ht="12.75">
      <c r="B22" s="460" t="s">
        <v>86</v>
      </c>
    </row>
    <row r="23" ht="6.75" customHeight="1"/>
    <row r="24" ht="89.25">
      <c r="B24" s="461" t="s">
        <v>1</v>
      </c>
    </row>
    <row r="27" ht="12.75">
      <c r="B27" s="397" t="s">
        <v>53</v>
      </c>
    </row>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2:J96"/>
  <sheetViews>
    <sheetView showGridLines="0" zoomScale="90" zoomScaleNormal="90" workbookViewId="0" topLeftCell="A1">
      <selection activeCell="A1" sqref="A1"/>
    </sheetView>
  </sheetViews>
  <sheetFormatPr defaultColWidth="9.140625" defaultRowHeight="12.75"/>
  <cols>
    <col min="1" max="1" width="5.7109375" style="396" customWidth="1"/>
    <col min="2" max="2" width="16.28125" style="396" customWidth="1"/>
    <col min="3" max="3" width="67.00390625" style="396" customWidth="1"/>
    <col min="4" max="4" width="17.140625" style="396" customWidth="1"/>
    <col min="5" max="5" width="15.00390625" style="396" customWidth="1"/>
    <col min="6" max="6" width="16.421875" style="396" customWidth="1"/>
    <col min="7" max="7" width="17.140625" style="396" customWidth="1"/>
    <col min="8" max="8" width="5.7109375" style="396" customWidth="1"/>
    <col min="9" max="9" width="20.7109375" style="396" customWidth="1"/>
    <col min="10" max="16384" width="9.140625" style="396" customWidth="1"/>
  </cols>
  <sheetData>
    <row r="2" spans="2:7" ht="20.25">
      <c r="B2" s="525" t="s">
        <v>90</v>
      </c>
      <c r="C2" s="525"/>
      <c r="G2" s="397"/>
    </row>
    <row r="4" spans="2:7" ht="22.5">
      <c r="B4" s="415" t="s">
        <v>68</v>
      </c>
      <c r="G4" s="397" t="s">
        <v>53</v>
      </c>
    </row>
    <row r="5" ht="12.75" customHeight="1">
      <c r="C5" s="416"/>
    </row>
    <row r="6" spans="2:7" ht="39.75" customHeight="1">
      <c r="B6" s="526" t="s">
        <v>83</v>
      </c>
      <c r="C6" s="526"/>
      <c r="D6" s="526"/>
      <c r="E6" s="526"/>
      <c r="F6" s="526"/>
      <c r="G6" s="526"/>
    </row>
    <row r="8" spans="2:7" s="416" customFormat="1" ht="15.75">
      <c r="B8" s="527" t="s">
        <v>69</v>
      </c>
      <c r="C8" s="529" t="s">
        <v>70</v>
      </c>
      <c r="D8" s="531" t="s">
        <v>71</v>
      </c>
      <c r="E8" s="532"/>
      <c r="F8" s="532"/>
      <c r="G8" s="533"/>
    </row>
    <row r="9" spans="2:10" s="416" customFormat="1" ht="39" thickBot="1">
      <c r="B9" s="528"/>
      <c r="C9" s="530"/>
      <c r="D9" s="418" t="s">
        <v>72</v>
      </c>
      <c r="E9" s="419" t="s">
        <v>73</v>
      </c>
      <c r="F9" s="420" t="s">
        <v>74</v>
      </c>
      <c r="G9" s="419" t="s">
        <v>75</v>
      </c>
      <c r="I9" s="421" t="s">
        <v>76</v>
      </c>
      <c r="J9" s="422"/>
    </row>
    <row r="10" spans="2:9" ht="34.5" customHeight="1">
      <c r="B10" s="423" t="s">
        <v>84</v>
      </c>
      <c r="C10" s="424" t="s">
        <v>77</v>
      </c>
      <c r="D10" s="425">
        <v>1</v>
      </c>
      <c r="E10" s="426">
        <v>1</v>
      </c>
      <c r="F10" s="427" t="s">
        <v>78</v>
      </c>
      <c r="G10" s="428">
        <f>D10</f>
        <v>1</v>
      </c>
      <c r="I10" s="429" t="str">
        <f>IF(D10=E10,IF(D11=E11,"Y","N"),"N")</f>
        <v>Y</v>
      </c>
    </row>
    <row r="11" spans="2:9" ht="34.5" customHeight="1">
      <c r="B11" s="430" t="s">
        <v>84</v>
      </c>
      <c r="C11" s="431" t="s">
        <v>79</v>
      </c>
      <c r="D11" s="432">
        <v>1</v>
      </c>
      <c r="E11" s="433">
        <v>1</v>
      </c>
      <c r="F11" s="434" t="s">
        <v>78</v>
      </c>
      <c r="G11" s="435">
        <f>D11</f>
        <v>1</v>
      </c>
      <c r="I11" s="436" t="str">
        <f>IF(D13=E13,IF(D14=E14,IF(D15=E15,IF(D16=E16,IF(D17=E17,"Y","N"),"N"),"N"),"N"),"N")</f>
        <v>Y</v>
      </c>
    </row>
    <row r="12" spans="2:9" ht="14.25" customHeight="1">
      <c r="B12" s="437"/>
      <c r="C12" s="437"/>
      <c r="D12" s="437"/>
      <c r="E12" s="437"/>
      <c r="F12" s="437"/>
      <c r="G12" s="437"/>
      <c r="I12" s="417"/>
    </row>
    <row r="13" spans="2:9" ht="34.5" customHeight="1">
      <c r="B13" s="438" t="s">
        <v>80</v>
      </c>
      <c r="C13" s="464" t="s">
        <v>31</v>
      </c>
      <c r="D13" s="466">
        <v>0.202653275059124</v>
      </c>
      <c r="E13" s="469">
        <v>0.202653275059124</v>
      </c>
      <c r="F13" s="439" t="s">
        <v>107</v>
      </c>
      <c r="G13" s="440">
        <f>IF($I$10="Y",D13,E13)</f>
        <v>0.202653275059124</v>
      </c>
      <c r="H13" s="523"/>
      <c r="I13" s="441" t="s">
        <v>81</v>
      </c>
    </row>
    <row r="14" spans="2:9" ht="34.5" customHeight="1">
      <c r="B14" s="442" t="s">
        <v>80</v>
      </c>
      <c r="C14" s="463" t="s">
        <v>32</v>
      </c>
      <c r="D14" s="467">
        <v>0.7</v>
      </c>
      <c r="E14" s="443">
        <v>0.7</v>
      </c>
      <c r="F14" s="444" t="s">
        <v>108</v>
      </c>
      <c r="G14" s="445">
        <f>IF($I$10="Y",D14,E14)</f>
        <v>0.7</v>
      </c>
      <c r="H14" s="523"/>
      <c r="I14" s="446" t="s">
        <v>87</v>
      </c>
    </row>
    <row r="15" spans="2:9" ht="34.5" customHeight="1">
      <c r="B15" s="442" t="s">
        <v>80</v>
      </c>
      <c r="C15" s="463" t="s">
        <v>33</v>
      </c>
      <c r="D15" s="467">
        <v>0.97</v>
      </c>
      <c r="E15" s="443">
        <v>0.97</v>
      </c>
      <c r="F15" s="444" t="s">
        <v>109</v>
      </c>
      <c r="G15" s="445">
        <f>IF($I$10="Y",D15,E15)</f>
        <v>0.97</v>
      </c>
      <c r="H15" s="523"/>
      <c r="I15" s="451" t="s">
        <v>88</v>
      </c>
    </row>
    <row r="16" spans="2:8" ht="34.5" customHeight="1">
      <c r="B16" s="442" t="s">
        <v>80</v>
      </c>
      <c r="C16" s="463" t="s">
        <v>34</v>
      </c>
      <c r="D16" s="467">
        <v>0.1</v>
      </c>
      <c r="E16" s="443">
        <v>0.1</v>
      </c>
      <c r="F16" s="444" t="s">
        <v>110</v>
      </c>
      <c r="G16" s="445">
        <f>IF($I$10="Y",D16,E16)</f>
        <v>0.1</v>
      </c>
      <c r="H16" s="523"/>
    </row>
    <row r="17" spans="2:8" ht="34.5" customHeight="1">
      <c r="B17" s="447" t="s">
        <v>80</v>
      </c>
      <c r="C17" s="465" t="s">
        <v>35</v>
      </c>
      <c r="D17" s="468">
        <v>0.1</v>
      </c>
      <c r="E17" s="448">
        <v>0.1</v>
      </c>
      <c r="F17" s="449" t="s">
        <v>110</v>
      </c>
      <c r="G17" s="450">
        <f>IF($I$10="Y",D17,E17)</f>
        <v>0.1</v>
      </c>
      <c r="H17" s="523"/>
    </row>
    <row r="18" spans="4:7" ht="12.75">
      <c r="D18" s="424"/>
      <c r="E18" s="424"/>
      <c r="F18" s="424"/>
      <c r="G18" s="424"/>
    </row>
    <row r="19" spans="2:7" ht="31.5" customHeight="1">
      <c r="B19" s="524">
        <f>IF(I10="N",IF(I11="N","Reminder: Please reset all summary parameters to original values before changing specific parameters.  Specific parameters will only be used in ERR computation when all summary parameters are set to initial values",0),0)</f>
        <v>0</v>
      </c>
      <c r="C19" s="524"/>
      <c r="D19" s="524"/>
      <c r="E19" s="524"/>
      <c r="F19" s="524"/>
      <c r="G19" s="524"/>
    </row>
    <row r="20" spans="2:7" ht="12" customHeight="1">
      <c r="B20" s="452"/>
      <c r="C20" s="452"/>
      <c r="D20" s="452"/>
      <c r="E20" s="452"/>
      <c r="F20" s="452"/>
      <c r="G20" s="452"/>
    </row>
    <row r="21" spans="3:5" ht="12.75">
      <c r="C21" s="453" t="s">
        <v>82</v>
      </c>
      <c r="D21" s="454">
        <f>ERR!C46</f>
        <v>0.17981458376600534</v>
      </c>
      <c r="E21" s="455"/>
    </row>
    <row r="22" spans="3:5" ht="12.75">
      <c r="C22" s="453"/>
      <c r="D22" s="455"/>
      <c r="E22" s="455"/>
    </row>
    <row r="23" spans="3:5" ht="12.75">
      <c r="C23" s="453" t="s">
        <v>89</v>
      </c>
      <c r="D23" s="456">
        <v>0.18</v>
      </c>
      <c r="E23" s="457"/>
    </row>
    <row r="96" ht="12.75">
      <c r="C96" s="396">
        <f>32.36+8.37+14.88+24.49+12.69+12</f>
        <v>104.78999999999999</v>
      </c>
    </row>
  </sheetData>
  <mergeCells count="7">
    <mergeCell ref="H13:H17"/>
    <mergeCell ref="B19:G19"/>
    <mergeCell ref="B2:C2"/>
    <mergeCell ref="B6:G6"/>
    <mergeCell ref="B8:B9"/>
    <mergeCell ref="C8:C9"/>
    <mergeCell ref="D8:G8"/>
  </mergeCells>
  <conditionalFormatting sqref="B19:B20 B12">
    <cfRule type="cellIs" priority="1" dxfId="0" operator="equal" stopIfTrue="1">
      <formula>0</formula>
    </cfRule>
    <cfRule type="cellIs" priority="2" dxfId="1" operator="notEqual" stopIfTrue="1">
      <formula>0</formula>
    </cfRule>
  </conditionalFormatting>
  <hyperlinks>
    <hyperlink ref="I14" location="'Project Description'!A1" display="   Project Description"/>
    <hyperlink ref="I15" location="'User''s Guide'!A1" display="   User's Guide"/>
  </hyperlink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V49"/>
  <sheetViews>
    <sheetView zoomScale="85" zoomScaleNormal="85" workbookViewId="0" topLeftCell="A1">
      <selection activeCell="A2" sqref="A2"/>
    </sheetView>
  </sheetViews>
  <sheetFormatPr defaultColWidth="9.140625" defaultRowHeight="12.75"/>
  <cols>
    <col min="1" max="1" width="37.00390625" style="0" customWidth="1"/>
    <col min="2" max="2" width="9.8515625" style="0" bestFit="1" customWidth="1"/>
    <col min="3" max="3" width="16.00390625" style="0" customWidth="1"/>
    <col min="4" max="10" width="12.7109375" style="0" customWidth="1"/>
    <col min="11" max="12" width="14.28125" style="0" bestFit="1" customWidth="1"/>
  </cols>
  <sheetData>
    <row r="1" spans="1:12" ht="13.5" customHeight="1" thickBot="1">
      <c r="A1" s="471" t="s">
        <v>22</v>
      </c>
      <c r="B1" s="472"/>
      <c r="C1" s="472"/>
      <c r="D1" s="472"/>
      <c r="E1" s="473"/>
      <c r="F1" s="534">
        <f>IF('ERR &amp; Sensitivity Analysis'!$I$10="N","Note: Current calculations are based on user input and are not the original MCC estimates.",IF('ERR &amp; Sensitivity Analysis'!$I$11="N","Note: Current calculations are based on user input and are not the original MCC estimates.",0))</f>
        <v>0</v>
      </c>
      <c r="G1" s="535"/>
      <c r="H1" s="535"/>
      <c r="I1" s="535"/>
      <c r="J1" s="535"/>
      <c r="K1" s="535"/>
      <c r="L1" s="535"/>
    </row>
    <row r="2" spans="1:10" ht="12.75">
      <c r="A2" s="474"/>
      <c r="B2" s="368" t="s">
        <v>23</v>
      </c>
      <c r="C2" s="368" t="s">
        <v>24</v>
      </c>
      <c r="D2" s="368" t="s">
        <v>25</v>
      </c>
      <c r="E2" s="475"/>
      <c r="H2" s="481" t="s">
        <v>26</v>
      </c>
      <c r="I2" s="472"/>
      <c r="J2" s="473"/>
    </row>
    <row r="3" spans="1:10" ht="12.75">
      <c r="A3" s="476" t="s">
        <v>27</v>
      </c>
      <c r="B3" s="369">
        <v>51385</v>
      </c>
      <c r="C3" s="369">
        <v>40401</v>
      </c>
      <c r="D3" s="369">
        <v>35803</v>
      </c>
      <c r="E3" s="477"/>
      <c r="F3">
        <v>36.5</v>
      </c>
      <c r="H3" s="482">
        <f aca="true" t="shared" si="0" ref="H3:J4">+B3/$F$3</f>
        <v>1407.8082191780823</v>
      </c>
      <c r="I3" s="370">
        <f t="shared" si="0"/>
        <v>1106.876712328767</v>
      </c>
      <c r="J3" s="483">
        <f t="shared" si="0"/>
        <v>980.9041095890411</v>
      </c>
    </row>
    <row r="4" spans="1:10" ht="12.75">
      <c r="A4" s="476" t="s">
        <v>28</v>
      </c>
      <c r="B4" s="369">
        <v>59704</v>
      </c>
      <c r="C4" s="369">
        <v>47388</v>
      </c>
      <c r="D4" s="369">
        <v>38244</v>
      </c>
      <c r="E4" s="477"/>
      <c r="H4" s="482">
        <f t="shared" si="0"/>
        <v>1635.7260273972602</v>
      </c>
      <c r="I4" s="370">
        <f t="shared" si="0"/>
        <v>1298.3013698630136</v>
      </c>
      <c r="J4" s="483">
        <f t="shared" si="0"/>
        <v>1047.7808219178082</v>
      </c>
    </row>
    <row r="5" spans="1:10" ht="12.75">
      <c r="A5" s="476"/>
      <c r="B5" s="369"/>
      <c r="C5" s="369"/>
      <c r="D5" s="369"/>
      <c r="E5" s="477"/>
      <c r="H5" s="476"/>
      <c r="I5" s="369"/>
      <c r="J5" s="477"/>
    </row>
    <row r="6" spans="1:10" ht="13.5" thickBot="1">
      <c r="A6" s="478" t="s">
        <v>29</v>
      </c>
      <c r="B6" s="479">
        <f>+(B4/B3)^0.5-1</f>
        <v>0.07791256361274534</v>
      </c>
      <c r="C6" s="479">
        <f>+(C4/C3)^0.5-1</f>
        <v>0.08302412892331401</v>
      </c>
      <c r="D6" s="479">
        <f>+(D4/D3)^0.5-1</f>
        <v>0.03352728277858685</v>
      </c>
      <c r="E6" s="480"/>
      <c r="H6" s="478"/>
      <c r="I6" s="484"/>
      <c r="J6" s="480"/>
    </row>
    <row r="7" spans="1:10" ht="13.5" thickBot="1">
      <c r="A7" s="369"/>
      <c r="B7" s="372"/>
      <c r="C7" s="372"/>
      <c r="D7" s="372"/>
      <c r="E7" s="369"/>
      <c r="H7" s="369"/>
      <c r="I7" s="369"/>
      <c r="J7" s="369"/>
    </row>
    <row r="8" spans="1:12" ht="12.75">
      <c r="A8" s="485" t="s">
        <v>30</v>
      </c>
      <c r="B8" s="472"/>
      <c r="C8" s="472"/>
      <c r="D8" s="472"/>
      <c r="E8" s="472"/>
      <c r="F8" s="472"/>
      <c r="G8" s="472"/>
      <c r="H8" s="472"/>
      <c r="I8" s="472"/>
      <c r="J8" s="472"/>
      <c r="K8" s="472"/>
      <c r="L8" s="473"/>
    </row>
    <row r="9" spans="1:12" ht="12.75">
      <c r="A9" s="486" t="s">
        <v>31</v>
      </c>
      <c r="B9" s="373">
        <f>'ERR &amp; Sensitivity Analysis'!G13</f>
        <v>0.202653275059124</v>
      </c>
      <c r="C9" s="369"/>
      <c r="D9" s="369"/>
      <c r="E9" s="369"/>
      <c r="F9" s="369"/>
      <c r="G9" s="369"/>
      <c r="H9" s="369"/>
      <c r="I9" s="369"/>
      <c r="J9" s="369"/>
      <c r="K9" s="369"/>
      <c r="L9" s="477"/>
    </row>
    <row r="10" spans="1:12" ht="12.75">
      <c r="A10" s="486" t="s">
        <v>32</v>
      </c>
      <c r="B10" s="373">
        <f>'ERR &amp; Sensitivity Analysis'!G14</f>
        <v>0.7</v>
      </c>
      <c r="C10" s="369"/>
      <c r="D10" s="369"/>
      <c r="E10" s="369"/>
      <c r="F10" s="369"/>
      <c r="G10" s="369"/>
      <c r="H10" s="369"/>
      <c r="I10" s="369"/>
      <c r="J10" s="369"/>
      <c r="K10" s="369"/>
      <c r="L10" s="477"/>
    </row>
    <row r="11" spans="1:12" ht="12.75">
      <c r="A11" s="486" t="s">
        <v>33</v>
      </c>
      <c r="B11" s="373">
        <f>'ERR &amp; Sensitivity Analysis'!G15</f>
        <v>0.97</v>
      </c>
      <c r="C11" s="369"/>
      <c r="D11" s="369"/>
      <c r="E11" s="369"/>
      <c r="F11" s="369"/>
      <c r="G11" s="369"/>
      <c r="H11" s="369"/>
      <c r="I11" s="369"/>
      <c r="J11" s="369"/>
      <c r="K11" s="369"/>
      <c r="L11" s="477"/>
    </row>
    <row r="12" spans="1:12" ht="12.75">
      <c r="A12" s="486" t="s">
        <v>34</v>
      </c>
      <c r="B12" s="373">
        <f>'ERR &amp; Sensitivity Analysis'!G16</f>
        <v>0.1</v>
      </c>
      <c r="C12" s="369"/>
      <c r="D12" s="369"/>
      <c r="E12" s="369"/>
      <c r="F12" s="369"/>
      <c r="G12" s="369"/>
      <c r="H12" s="369"/>
      <c r="I12" s="369"/>
      <c r="J12" s="369"/>
      <c r="K12" s="369"/>
      <c r="L12" s="477"/>
    </row>
    <row r="13" spans="1:12" ht="12.75">
      <c r="A13" s="486" t="s">
        <v>35</v>
      </c>
      <c r="B13" s="373">
        <f>'ERR &amp; Sensitivity Analysis'!G17</f>
        <v>0.1</v>
      </c>
      <c r="C13" s="369"/>
      <c r="D13" s="369"/>
      <c r="E13" s="369"/>
      <c r="F13" s="369"/>
      <c r="G13" s="369"/>
      <c r="H13" s="369"/>
      <c r="I13" s="369"/>
      <c r="J13" s="369"/>
      <c r="K13" s="369"/>
      <c r="L13" s="477"/>
    </row>
    <row r="14" spans="1:12" ht="12.75">
      <c r="A14" s="476"/>
      <c r="B14" s="374"/>
      <c r="C14" s="369"/>
      <c r="D14" s="369"/>
      <c r="E14" s="369"/>
      <c r="F14" s="369"/>
      <c r="G14" s="369"/>
      <c r="H14" s="369"/>
      <c r="I14" s="369"/>
      <c r="J14" s="369"/>
      <c r="K14" s="369"/>
      <c r="L14" s="477"/>
    </row>
    <row r="15" spans="1:12" ht="12.75">
      <c r="A15" s="476" t="s">
        <v>36</v>
      </c>
      <c r="B15" s="369"/>
      <c r="C15" s="369">
        <v>1</v>
      </c>
      <c r="D15" s="369">
        <f aca="true" t="shared" si="1" ref="D15:L15">+C15+1</f>
        <v>2</v>
      </c>
      <c r="E15" s="369">
        <f t="shared" si="1"/>
        <v>3</v>
      </c>
      <c r="F15" s="369">
        <f t="shared" si="1"/>
        <v>4</v>
      </c>
      <c r="G15" s="369">
        <f t="shared" si="1"/>
        <v>5</v>
      </c>
      <c r="H15" s="369">
        <f t="shared" si="1"/>
        <v>6</v>
      </c>
      <c r="I15" s="369">
        <f t="shared" si="1"/>
        <v>7</v>
      </c>
      <c r="J15" s="369">
        <f t="shared" si="1"/>
        <v>8</v>
      </c>
      <c r="K15" s="369">
        <f t="shared" si="1"/>
        <v>9</v>
      </c>
      <c r="L15" s="477">
        <f t="shared" si="1"/>
        <v>10</v>
      </c>
    </row>
    <row r="16" spans="1:22" ht="12.75">
      <c r="A16" s="476" t="s">
        <v>37</v>
      </c>
      <c r="B16" s="369"/>
      <c r="C16" s="370">
        <f>+B38+92</f>
        <v>494.8872216213474</v>
      </c>
      <c r="D16" s="370"/>
      <c r="E16" s="370"/>
      <c r="F16" s="370"/>
      <c r="G16" s="370"/>
      <c r="H16" s="370"/>
      <c r="I16" s="370"/>
      <c r="J16" s="370"/>
      <c r="K16" s="370"/>
      <c r="L16" s="483"/>
      <c r="M16" s="375"/>
      <c r="N16" s="375"/>
      <c r="O16" s="375"/>
      <c r="P16" s="375"/>
      <c r="Q16" s="375"/>
      <c r="R16" s="375"/>
      <c r="S16" s="375"/>
      <c r="T16" s="375"/>
      <c r="U16" s="375"/>
      <c r="V16" s="375"/>
    </row>
    <row r="17" spans="1:22" ht="12.75">
      <c r="A17" s="476" t="s">
        <v>38</v>
      </c>
      <c r="B17" s="369"/>
      <c r="C17" s="370">
        <f>+C16*(1-$B$12)</f>
        <v>445.3984994592127</v>
      </c>
      <c r="D17" s="370"/>
      <c r="E17" s="370"/>
      <c r="F17" s="370"/>
      <c r="G17" s="370"/>
      <c r="H17" s="370"/>
      <c r="I17" s="370"/>
      <c r="J17" s="370"/>
      <c r="K17" s="370"/>
      <c r="L17" s="483"/>
      <c r="M17" s="375"/>
      <c r="N17" s="375"/>
      <c r="O17" s="375"/>
      <c r="P17" s="375"/>
      <c r="Q17" s="375"/>
      <c r="R17" s="375"/>
      <c r="S17" s="375"/>
      <c r="T17" s="375"/>
      <c r="U17" s="375"/>
      <c r="V17" s="375"/>
    </row>
    <row r="18" spans="1:22" ht="12.75">
      <c r="A18" s="476" t="s">
        <v>39</v>
      </c>
      <c r="B18" s="369"/>
      <c r="C18" s="370">
        <f>+C17*(1-$B$13)</f>
        <v>400.8586495132914</v>
      </c>
      <c r="D18" s="370">
        <f>+C21*(1-$B$13)</f>
        <v>420.86803377847446</v>
      </c>
      <c r="E18" s="370">
        <f aca="true" t="shared" si="2" ref="E18:L18">+D21*(1-$B$13)</f>
        <v>441.87621265407154</v>
      </c>
      <c r="F18" s="370">
        <f t="shared" si="2"/>
        <v>463.9330422806102</v>
      </c>
      <c r="G18" s="370">
        <f t="shared" si="2"/>
        <v>487.09086743314026</v>
      </c>
      <c r="H18" s="370">
        <f t="shared" si="2"/>
        <v>511.40464574468416</v>
      </c>
      <c r="I18" s="370">
        <f t="shared" si="2"/>
        <v>536.9320781304631</v>
      </c>
      <c r="J18" s="370">
        <f t="shared" si="2"/>
        <v>563.7337457224193</v>
      </c>
      <c r="K18" s="370">
        <f t="shared" si="2"/>
        <v>591.8732536390044</v>
      </c>
      <c r="L18" s="483">
        <f t="shared" si="2"/>
        <v>621.4173819314244</v>
      </c>
      <c r="M18" s="375"/>
      <c r="N18" s="375"/>
      <c r="O18" s="375"/>
      <c r="P18" s="375"/>
      <c r="Q18" s="375"/>
      <c r="R18" s="375"/>
      <c r="S18" s="375"/>
      <c r="T18" s="375"/>
      <c r="U18" s="375"/>
      <c r="V18" s="375"/>
    </row>
    <row r="19" spans="1:12" ht="12.75">
      <c r="A19" s="476"/>
      <c r="B19" s="369"/>
      <c r="C19" s="369"/>
      <c r="D19" s="369"/>
      <c r="E19" s="369"/>
      <c r="F19" s="369"/>
      <c r="G19" s="369"/>
      <c r="H19" s="369"/>
      <c r="I19" s="369"/>
      <c r="J19" s="369"/>
      <c r="K19" s="369"/>
      <c r="L19" s="477"/>
    </row>
    <row r="20" spans="1:22" ht="12.75">
      <c r="A20" s="476" t="s">
        <v>40</v>
      </c>
      <c r="B20" s="369"/>
      <c r="C20" s="376">
        <f>+$B$11*C18*($B$10-$B$9)</f>
        <v>193.3847644046682</v>
      </c>
      <c r="D20" s="370">
        <f aca="true" t="shared" si="3" ref="D20:L20">+$B$11*D18*($B$10-$B$9)</f>
        <v>203.0378180850693</v>
      </c>
      <c r="E20" s="370">
        <f t="shared" si="3"/>
        <v>213.1727165769971</v>
      </c>
      <c r="F20" s="370">
        <f t="shared" si="3"/>
        <v>223.81351179501488</v>
      </c>
      <c r="G20" s="370">
        <f t="shared" si="3"/>
        <v>234.9854562364882</v>
      </c>
      <c r="H20" s="370">
        <f t="shared" si="3"/>
        <v>246.71506291024752</v>
      </c>
      <c r="I20" s="370">
        <f t="shared" si="3"/>
        <v>259.0301682566678</v>
      </c>
      <c r="J20" s="370">
        <f t="shared" si="3"/>
        <v>271.9599982084868</v>
      </c>
      <c r="K20" s="370">
        <f t="shared" si="3"/>
        <v>285.53523754913545</v>
      </c>
      <c r="L20" s="483">
        <f t="shared" si="3"/>
        <v>299.7881027331796</v>
      </c>
      <c r="M20" s="375"/>
      <c r="N20" s="375"/>
      <c r="O20" s="375"/>
      <c r="P20" s="375"/>
      <c r="Q20" s="375"/>
      <c r="R20" s="375"/>
      <c r="S20" s="375"/>
      <c r="T20" s="375"/>
      <c r="U20" s="375"/>
      <c r="V20" s="375"/>
    </row>
    <row r="21" spans="1:22" ht="12.75">
      <c r="A21" s="476" t="s">
        <v>41</v>
      </c>
      <c r="B21" s="369"/>
      <c r="C21" s="370">
        <f aca="true" t="shared" si="4" ref="C21:L21">+$B$11*C18*(1+$B$9)</f>
        <v>467.6311486427494</v>
      </c>
      <c r="D21" s="370">
        <f t="shared" si="4"/>
        <v>490.97356961563503</v>
      </c>
      <c r="E21" s="370">
        <f t="shared" si="4"/>
        <v>515.4811580895669</v>
      </c>
      <c r="F21" s="370">
        <f t="shared" si="4"/>
        <v>541.2120749257114</v>
      </c>
      <c r="G21" s="370">
        <f t="shared" si="4"/>
        <v>568.2273841607602</v>
      </c>
      <c r="H21" s="370">
        <f t="shared" si="4"/>
        <v>596.5911979227367</v>
      </c>
      <c r="I21" s="370">
        <f t="shared" si="4"/>
        <v>626.3708285804659</v>
      </c>
      <c r="J21" s="370">
        <f t="shared" si="4"/>
        <v>657.6369484877825</v>
      </c>
      <c r="K21" s="370">
        <f t="shared" si="4"/>
        <v>690.4637577015827</v>
      </c>
      <c r="L21" s="483">
        <f t="shared" si="4"/>
        <v>724.9291600717394</v>
      </c>
      <c r="M21" s="375"/>
      <c r="N21" s="375"/>
      <c r="O21" s="375"/>
      <c r="P21" s="375"/>
      <c r="Q21" s="375"/>
      <c r="R21" s="375"/>
      <c r="S21" s="375"/>
      <c r="T21" s="375"/>
      <c r="U21" s="375"/>
      <c r="V21" s="375"/>
    </row>
    <row r="22" spans="1:12" ht="12.75">
      <c r="A22" s="476"/>
      <c r="B22" s="369"/>
      <c r="C22" s="369"/>
      <c r="D22" s="369"/>
      <c r="E22" s="369"/>
      <c r="F22" s="369"/>
      <c r="G22" s="369"/>
      <c r="H22" s="369"/>
      <c r="I22" s="369"/>
      <c r="J22" s="369"/>
      <c r="K22" s="369"/>
      <c r="L22" s="477"/>
    </row>
    <row r="23" spans="1:22" ht="12.75">
      <c r="A23" s="476" t="s">
        <v>42</v>
      </c>
      <c r="B23" s="369"/>
      <c r="C23" s="370">
        <f aca="true" t="shared" si="5" ref="C23:L23">+C20-C16</f>
        <v>-301.5024572166792</v>
      </c>
      <c r="D23" s="370">
        <f t="shared" si="5"/>
        <v>203.0378180850693</v>
      </c>
      <c r="E23" s="370">
        <f t="shared" si="5"/>
        <v>213.1727165769971</v>
      </c>
      <c r="F23" s="370">
        <f t="shared" si="5"/>
        <v>223.81351179501488</v>
      </c>
      <c r="G23" s="370">
        <f t="shared" si="5"/>
        <v>234.9854562364882</v>
      </c>
      <c r="H23" s="370">
        <f t="shared" si="5"/>
        <v>246.71506291024752</v>
      </c>
      <c r="I23" s="370">
        <f t="shared" si="5"/>
        <v>259.0301682566678</v>
      </c>
      <c r="J23" s="370">
        <f t="shared" si="5"/>
        <v>271.9599982084868</v>
      </c>
      <c r="K23" s="370">
        <f t="shared" si="5"/>
        <v>285.53523754913545</v>
      </c>
      <c r="L23" s="483">
        <f t="shared" si="5"/>
        <v>299.7881027331796</v>
      </c>
      <c r="M23" s="375"/>
      <c r="N23" s="375"/>
      <c r="O23" s="375"/>
      <c r="P23" s="375"/>
      <c r="Q23" s="375"/>
      <c r="R23" s="375"/>
      <c r="S23" s="375"/>
      <c r="T23" s="375"/>
      <c r="U23" s="375"/>
      <c r="V23" s="375"/>
    </row>
    <row r="24" spans="1:12" ht="12.75">
      <c r="A24" s="487" t="s">
        <v>43</v>
      </c>
      <c r="B24" s="371"/>
      <c r="C24" s="377">
        <f>IRR(C23:L23)</f>
        <v>0.7152114995632752</v>
      </c>
      <c r="D24" s="371"/>
      <c r="E24" s="371"/>
      <c r="F24" s="371"/>
      <c r="G24" s="371"/>
      <c r="H24" s="371"/>
      <c r="I24" s="371"/>
      <c r="J24" s="371"/>
      <c r="K24" s="371"/>
      <c r="L24" s="488"/>
    </row>
    <row r="25" spans="1:12" ht="12.75">
      <c r="A25" s="476"/>
      <c r="B25" s="369"/>
      <c r="C25" s="369"/>
      <c r="D25" s="369"/>
      <c r="E25" s="369"/>
      <c r="F25" s="369"/>
      <c r="G25" s="369"/>
      <c r="H25" s="369"/>
      <c r="I25" s="369"/>
      <c r="J25" s="369"/>
      <c r="K25" s="369"/>
      <c r="L25" s="477"/>
    </row>
    <row r="26" spans="1:12" ht="12.75">
      <c r="A26" s="476" t="s">
        <v>44</v>
      </c>
      <c r="B26" s="369"/>
      <c r="C26" s="489">
        <f>1200000*(1+$B$28)</f>
        <v>1260000</v>
      </c>
      <c r="D26" s="489">
        <f aca="true" t="shared" si="6" ref="D26:L26">C26*(1+$B$28)</f>
        <v>1323000</v>
      </c>
      <c r="E26" s="489">
        <f t="shared" si="6"/>
        <v>1389150</v>
      </c>
      <c r="F26" s="489">
        <f t="shared" si="6"/>
        <v>1458607.5</v>
      </c>
      <c r="G26" s="489">
        <f t="shared" si="6"/>
        <v>1531537.875</v>
      </c>
      <c r="H26" s="489">
        <f t="shared" si="6"/>
        <v>1608114.76875</v>
      </c>
      <c r="I26" s="489">
        <f t="shared" si="6"/>
        <v>1688520.5071875001</v>
      </c>
      <c r="J26" s="489">
        <f t="shared" si="6"/>
        <v>1772946.5325468753</v>
      </c>
      <c r="K26" s="489">
        <f t="shared" si="6"/>
        <v>1861593.8591742192</v>
      </c>
      <c r="L26" s="490">
        <f t="shared" si="6"/>
        <v>1954673.5521329301</v>
      </c>
    </row>
    <row r="27" spans="1:12" ht="12.75">
      <c r="A27" s="476" t="s">
        <v>45</v>
      </c>
      <c r="B27" s="369"/>
      <c r="C27" s="489">
        <f>1200000*(1+$B$28+$B$30)</f>
        <v>1263000</v>
      </c>
      <c r="D27" s="489">
        <f aca="true" t="shared" si="7" ref="D27:L27">C27*(1+$B$28+$B$30)</f>
        <v>1329307.5</v>
      </c>
      <c r="E27" s="489">
        <f t="shared" si="7"/>
        <v>1399096.14375</v>
      </c>
      <c r="F27" s="489">
        <f t="shared" si="7"/>
        <v>1472548.691296875</v>
      </c>
      <c r="G27" s="489">
        <f t="shared" si="7"/>
        <v>1549857.497589961</v>
      </c>
      <c r="H27" s="489">
        <f t="shared" si="7"/>
        <v>1631225.0162134338</v>
      </c>
      <c r="I27" s="489">
        <f t="shared" si="7"/>
        <v>1716864.3295646391</v>
      </c>
      <c r="J27" s="489">
        <f t="shared" si="7"/>
        <v>1806999.7068667826</v>
      </c>
      <c r="K27" s="489">
        <f t="shared" si="7"/>
        <v>1901867.1914772887</v>
      </c>
      <c r="L27" s="490">
        <f t="shared" si="7"/>
        <v>2001715.2190298464</v>
      </c>
    </row>
    <row r="28" spans="1:12" ht="12.75">
      <c r="A28" s="476" t="s">
        <v>46</v>
      </c>
      <c r="B28" s="369">
        <v>0.05</v>
      </c>
      <c r="C28" s="369"/>
      <c r="D28" s="369"/>
      <c r="E28" s="369"/>
      <c r="F28" s="369"/>
      <c r="G28" s="369"/>
      <c r="H28" s="369"/>
      <c r="I28" s="369"/>
      <c r="J28" s="369"/>
      <c r="K28" s="369"/>
      <c r="L28" s="477"/>
    </row>
    <row r="29" spans="1:12" ht="12.75">
      <c r="A29" s="476"/>
      <c r="B29" s="369"/>
      <c r="C29" s="369"/>
      <c r="D29" s="369"/>
      <c r="E29" s="369"/>
      <c r="F29" s="369"/>
      <c r="G29" s="369"/>
      <c r="H29" s="369"/>
      <c r="I29" s="369"/>
      <c r="J29" s="369"/>
      <c r="K29" s="369"/>
      <c r="L29" s="477"/>
    </row>
    <row r="30" spans="1:12" ht="12.75">
      <c r="A30" s="476" t="s">
        <v>47</v>
      </c>
      <c r="B30" s="369">
        <v>0.0025</v>
      </c>
      <c r="C30" s="369"/>
      <c r="D30" s="369"/>
      <c r="E30" s="369"/>
      <c r="F30" s="369"/>
      <c r="G30" s="369"/>
      <c r="H30" s="369"/>
      <c r="I30" s="369"/>
      <c r="J30" s="369"/>
      <c r="K30" s="369"/>
      <c r="L30" s="477"/>
    </row>
    <row r="31" spans="1:12" ht="12.75">
      <c r="A31" s="476" t="s">
        <v>48</v>
      </c>
      <c r="B31" s="369"/>
      <c r="C31" s="491">
        <f aca="true" t="shared" si="8" ref="C31:L31">+C27-C26</f>
        <v>3000</v>
      </c>
      <c r="D31" s="491">
        <f>+D27-D26</f>
        <v>6307.5</v>
      </c>
      <c r="E31" s="491">
        <f t="shared" si="8"/>
        <v>9946.143750000047</v>
      </c>
      <c r="F31" s="491">
        <f t="shared" si="8"/>
        <v>13941.191296875011</v>
      </c>
      <c r="G31" s="491">
        <f t="shared" si="8"/>
        <v>18319.622589960927</v>
      </c>
      <c r="H31" s="491">
        <f t="shared" si="8"/>
        <v>23110.24746343377</v>
      </c>
      <c r="I31" s="491">
        <f t="shared" si="8"/>
        <v>28343.822377139004</v>
      </c>
      <c r="J31" s="491">
        <f t="shared" si="8"/>
        <v>34053.174319907324</v>
      </c>
      <c r="K31" s="491">
        <f t="shared" si="8"/>
        <v>40273.33230306953</v>
      </c>
      <c r="L31" s="492">
        <f t="shared" si="8"/>
        <v>47041.66689691623</v>
      </c>
    </row>
    <row r="32" spans="1:12" ht="12.75">
      <c r="A32" s="476"/>
      <c r="B32" s="369"/>
      <c r="C32" s="369"/>
      <c r="D32" s="369"/>
      <c r="E32" s="369"/>
      <c r="F32" s="369"/>
      <c r="G32" s="369"/>
      <c r="H32" s="369"/>
      <c r="I32" s="369"/>
      <c r="J32" s="369"/>
      <c r="K32" s="369"/>
      <c r="L32" s="477"/>
    </row>
    <row r="33" spans="1:12" ht="12.75">
      <c r="A33" s="476"/>
      <c r="B33" s="369"/>
      <c r="C33" s="493">
        <f>+C31*(C20-C16)*'ERR &amp; Sensitivity Analysis'!G11</f>
        <v>-904507.3716500376</v>
      </c>
      <c r="D33" s="493">
        <f>+D31*D20*'ERR &amp; Sensitivity Analysis'!$G$11</f>
        <v>1280661.0375715746</v>
      </c>
      <c r="E33" s="493">
        <f>+E31*E20*'ERR &amp; Sensitivity Analysis'!$G$11</f>
        <v>2120246.482652831</v>
      </c>
      <c r="F33" s="493">
        <f>+F31*F20*'ERR &amp; Sensitivity Analysis'!$G$11</f>
        <v>3120226.982759694</v>
      </c>
      <c r="G33" s="493">
        <f>+G31*G20*'ERR &amp; Sensitivity Analysis'!$G$11</f>
        <v>4304844.872382244</v>
      </c>
      <c r="H33" s="493">
        <f>+H31*H20*'ERR &amp; Sensitivity Analysis'!$G$11</f>
        <v>5701646.156812451</v>
      </c>
      <c r="I33" s="493">
        <f>+I31*I20*'ERR &amp; Sensitivity Analysis'!$G$11</f>
        <v>7341905.079387423</v>
      </c>
      <c r="J33" s="493">
        <f>+J31*J20*'ERR &amp; Sensitivity Analysis'!$G$11</f>
        <v>9261101.227035284</v>
      </c>
      <c r="K33" s="493">
        <f>+K31*K20*'ERR &amp; Sensitivity Analysis'!$G$11</f>
        <v>11499455.50605223</v>
      </c>
      <c r="L33" s="515">
        <f>+L31*L20*'ERR &amp; Sensitivity Analysis'!$G$11</f>
        <v>14102532.068432735</v>
      </c>
    </row>
    <row r="34" spans="1:12" ht="12.75">
      <c r="A34" s="476"/>
      <c r="B34" s="369"/>
      <c r="C34" s="494">
        <f>-(C16+C31)</f>
        <v>-3494.8872216213476</v>
      </c>
      <c r="D34" s="369"/>
      <c r="E34" s="369"/>
      <c r="F34" s="369"/>
      <c r="G34" s="369"/>
      <c r="H34" s="369"/>
      <c r="I34" s="369"/>
      <c r="J34" s="369"/>
      <c r="K34" s="369"/>
      <c r="L34" s="477"/>
    </row>
    <row r="35" spans="1:12" ht="12.75">
      <c r="A35" s="476" t="s">
        <v>43</v>
      </c>
      <c r="B35" s="369"/>
      <c r="C35" s="491">
        <f>14200000*'ERR &amp; Sensitivity Analysis'!G10</f>
        <v>14200000</v>
      </c>
      <c r="D35" s="369"/>
      <c r="E35" s="369"/>
      <c r="F35" s="369"/>
      <c r="G35" s="369"/>
      <c r="H35" s="369"/>
      <c r="I35" s="369"/>
      <c r="J35" s="369"/>
      <c r="K35" s="369"/>
      <c r="L35" s="477"/>
    </row>
    <row r="36" spans="1:12" ht="12.75">
      <c r="A36" s="476"/>
      <c r="B36" s="369"/>
      <c r="C36" s="494">
        <f>6000000*'ERR &amp; Sensitivity Analysis'!G10</f>
        <v>6000000</v>
      </c>
      <c r="D36" s="369"/>
      <c r="E36" s="369"/>
      <c r="F36" s="369"/>
      <c r="G36" s="369"/>
      <c r="H36" s="369"/>
      <c r="I36" s="369"/>
      <c r="J36" s="369"/>
      <c r="K36" s="369"/>
      <c r="L36" s="477"/>
    </row>
    <row r="37" spans="1:12" ht="12.75">
      <c r="A37" s="476"/>
      <c r="B37" s="369"/>
      <c r="C37" s="369"/>
      <c r="D37" s="369"/>
      <c r="E37" s="369"/>
      <c r="F37" s="369"/>
      <c r="G37" s="369"/>
      <c r="H37" s="369"/>
      <c r="I37" s="369"/>
      <c r="J37" s="369"/>
      <c r="K37" s="369"/>
      <c r="L37" s="477"/>
    </row>
    <row r="38" spans="1:12" ht="12.75">
      <c r="A38" s="474" t="s">
        <v>49</v>
      </c>
      <c r="B38" s="378">
        <f>Summary!$I$36</f>
        <v>402.8872216213474</v>
      </c>
      <c r="C38" s="369"/>
      <c r="D38" s="369"/>
      <c r="E38" s="369"/>
      <c r="F38" s="369"/>
      <c r="G38" s="369"/>
      <c r="H38" s="369"/>
      <c r="I38" s="369"/>
      <c r="J38" s="369"/>
      <c r="K38" s="369"/>
      <c r="L38" s="477"/>
    </row>
    <row r="39" spans="1:12" ht="12.75">
      <c r="A39" s="476" t="s">
        <v>19</v>
      </c>
      <c r="B39" s="470">
        <f>Summary!$G$18/100</f>
        <v>0.20265327505912392</v>
      </c>
      <c r="C39" s="369"/>
      <c r="D39" s="369"/>
      <c r="E39" s="369"/>
      <c r="F39" s="369"/>
      <c r="G39" s="369"/>
      <c r="H39" s="369"/>
      <c r="I39" s="369"/>
      <c r="J39" s="369"/>
      <c r="K39" s="369"/>
      <c r="L39" s="477"/>
    </row>
    <row r="40" spans="1:12" ht="12.75">
      <c r="A40" s="476" t="s">
        <v>50</v>
      </c>
      <c r="B40" s="379">
        <f>Summary!I28</f>
        <v>252.2294283733341</v>
      </c>
      <c r="C40" s="369"/>
      <c r="D40" s="369"/>
      <c r="E40" s="369"/>
      <c r="F40" s="369"/>
      <c r="G40" s="369"/>
      <c r="H40" s="369"/>
      <c r="I40" s="369"/>
      <c r="J40" s="369"/>
      <c r="K40" s="369"/>
      <c r="L40" s="477"/>
    </row>
    <row r="41" spans="1:12" ht="12.75">
      <c r="A41" s="487" t="s">
        <v>51</v>
      </c>
      <c r="B41" s="380">
        <f>ROUND(Summary!I29,0)</f>
        <v>232</v>
      </c>
      <c r="C41" s="369"/>
      <c r="D41" s="369"/>
      <c r="E41" s="369"/>
      <c r="F41" s="369"/>
      <c r="G41" s="369"/>
      <c r="H41" s="369"/>
      <c r="I41" s="369"/>
      <c r="J41" s="369"/>
      <c r="K41" s="369"/>
      <c r="L41" s="477"/>
    </row>
    <row r="42" spans="1:12" ht="12.75">
      <c r="A42" s="476"/>
      <c r="B42" s="369"/>
      <c r="C42" s="369"/>
      <c r="D42" s="369"/>
      <c r="E42" s="369"/>
      <c r="F42" s="369"/>
      <c r="G42" s="369"/>
      <c r="H42" s="369"/>
      <c r="I42" s="369"/>
      <c r="J42" s="369"/>
      <c r="K42" s="369"/>
      <c r="L42" s="477"/>
    </row>
    <row r="43" spans="1:12" ht="12.75">
      <c r="A43" s="476"/>
      <c r="B43" s="369"/>
      <c r="C43" s="369"/>
      <c r="D43" s="369"/>
      <c r="E43" s="369"/>
      <c r="F43" s="369"/>
      <c r="G43" s="369"/>
      <c r="H43" s="369"/>
      <c r="I43" s="369"/>
      <c r="J43" s="369"/>
      <c r="K43" s="369"/>
      <c r="L43" s="477"/>
    </row>
    <row r="44" spans="1:12" ht="12.75">
      <c r="A44" s="476"/>
      <c r="B44" s="369"/>
      <c r="C44" s="494">
        <f>+C33-C35-C36</f>
        <v>-21104507.37165004</v>
      </c>
      <c r="D44" s="494">
        <f>+D33-D35-D36</f>
        <v>1280661.0375715746</v>
      </c>
      <c r="E44" s="494">
        <f aca="true" t="shared" si="9" ref="E44:L44">+E33-E35-E36</f>
        <v>2120246.482652831</v>
      </c>
      <c r="F44" s="494">
        <f t="shared" si="9"/>
        <v>3120226.982759694</v>
      </c>
      <c r="G44" s="494">
        <f t="shared" si="9"/>
        <v>4304844.872382244</v>
      </c>
      <c r="H44" s="494">
        <f t="shared" si="9"/>
        <v>5701646.156812451</v>
      </c>
      <c r="I44" s="494">
        <f t="shared" si="9"/>
        <v>7341905.079387423</v>
      </c>
      <c r="J44" s="494">
        <f t="shared" si="9"/>
        <v>9261101.227035284</v>
      </c>
      <c r="K44" s="494">
        <f t="shared" si="9"/>
        <v>11499455.50605223</v>
      </c>
      <c r="L44" s="495">
        <f t="shared" si="9"/>
        <v>14102532.068432735</v>
      </c>
    </row>
    <row r="45" spans="1:12" ht="12.75">
      <c r="A45" s="476"/>
      <c r="B45" s="369"/>
      <c r="C45" s="494">
        <f>C44/1000</f>
        <v>-21104.50737165004</v>
      </c>
      <c r="D45" s="494">
        <f aca="true" t="shared" si="10" ref="D45:L45">D44/1000</f>
        <v>1280.6610375715745</v>
      </c>
      <c r="E45" s="494">
        <f t="shared" si="10"/>
        <v>2120.2464826528308</v>
      </c>
      <c r="F45" s="494">
        <f t="shared" si="10"/>
        <v>3120.2269827596942</v>
      </c>
      <c r="G45" s="494">
        <f t="shared" si="10"/>
        <v>4304.844872382244</v>
      </c>
      <c r="H45" s="494">
        <f t="shared" si="10"/>
        <v>5701.6461568124505</v>
      </c>
      <c r="I45" s="494">
        <f t="shared" si="10"/>
        <v>7341.905079387423</v>
      </c>
      <c r="J45" s="494">
        <f t="shared" si="10"/>
        <v>9261.101227035284</v>
      </c>
      <c r="K45" s="494">
        <f t="shared" si="10"/>
        <v>11499.455506052229</v>
      </c>
      <c r="L45" s="495">
        <f t="shared" si="10"/>
        <v>14102.532068432734</v>
      </c>
    </row>
    <row r="46" spans="1:12" ht="12.75">
      <c r="A46" s="476"/>
      <c r="B46" s="496" t="s">
        <v>43</v>
      </c>
      <c r="C46" s="497">
        <f>IRR(C44:L44)</f>
        <v>0.17981458376600534</v>
      </c>
      <c r="D46" s="496"/>
      <c r="E46" s="496"/>
      <c r="F46" s="369"/>
      <c r="G46" s="369"/>
      <c r="H46" s="369"/>
      <c r="I46" s="369"/>
      <c r="J46" s="369"/>
      <c r="K46" s="369"/>
      <c r="L46" s="477"/>
    </row>
    <row r="47" spans="1:12" ht="12.75">
      <c r="A47" s="476"/>
      <c r="B47" s="369"/>
      <c r="C47" s="369"/>
      <c r="D47" s="369"/>
      <c r="E47" s="369"/>
      <c r="F47" s="369"/>
      <c r="G47" s="369"/>
      <c r="H47" s="369"/>
      <c r="I47" s="369"/>
      <c r="J47" s="369"/>
      <c r="K47" s="369"/>
      <c r="L47" s="477"/>
    </row>
    <row r="48" spans="1:12" s="381" customFormat="1" ht="12.75">
      <c r="A48" s="498"/>
      <c r="B48" s="499" t="s">
        <v>52</v>
      </c>
      <c r="C48" s="500">
        <f>C31*C20</f>
        <v>580154.2932140046</v>
      </c>
      <c r="D48" s="500">
        <f>D44</f>
        <v>1280661.0375715746</v>
      </c>
      <c r="E48" s="500">
        <f aca="true" t="shared" si="11" ref="E48:L48">E44</f>
        <v>2120246.482652831</v>
      </c>
      <c r="F48" s="500">
        <f t="shared" si="11"/>
        <v>3120226.982759694</v>
      </c>
      <c r="G48" s="500">
        <f t="shared" si="11"/>
        <v>4304844.872382244</v>
      </c>
      <c r="H48" s="500">
        <f t="shared" si="11"/>
        <v>5701646.156812451</v>
      </c>
      <c r="I48" s="500">
        <f t="shared" si="11"/>
        <v>7341905.079387423</v>
      </c>
      <c r="J48" s="500">
        <f t="shared" si="11"/>
        <v>9261101.227035284</v>
      </c>
      <c r="K48" s="500">
        <f t="shared" si="11"/>
        <v>11499455.50605223</v>
      </c>
      <c r="L48" s="516">
        <f t="shared" si="11"/>
        <v>14102532.068432735</v>
      </c>
    </row>
    <row r="49" spans="1:12" ht="13.5" thickBot="1">
      <c r="A49" s="478"/>
      <c r="B49" s="484"/>
      <c r="C49" s="484"/>
      <c r="D49" s="484"/>
      <c r="E49" s="484"/>
      <c r="F49" s="484"/>
      <c r="G49" s="484"/>
      <c r="H49" s="484"/>
      <c r="I49" s="484"/>
      <c r="J49" s="484"/>
      <c r="K49" s="484"/>
      <c r="L49" s="480"/>
    </row>
  </sheetData>
  <mergeCells count="1">
    <mergeCell ref="F1:L1"/>
  </mergeCells>
  <conditionalFormatting sqref="F1">
    <cfRule type="cellIs" priority="1" dxfId="0" operator="equal" stopIfTrue="1">
      <formula>0</formula>
    </cfRule>
    <cfRule type="cellIs" priority="2" dxfId="1" operator="notEqual" stopIfTrue="1">
      <formula>0</formula>
    </cfRule>
  </conditionalFormatting>
  <hyperlinks>
    <hyperlink ref="B41" r:id="rId1" display="=@round(Synthèse!I29,0)"/>
  </hyperlinks>
  <printOptions/>
  <pageMargins left="0.75" right="0.75" top="1" bottom="1" header="0.5" footer="0.5"/>
  <pageSetup horizontalDpi="300" verticalDpi="300" orientation="portrait" r:id="rId4"/>
  <ignoredErrors>
    <ignoredError sqref="D23:L23 E44:L44" emptyCellReference="1"/>
  </ignoredErrors>
  <legacyDrawing r:id="rId3"/>
</worksheet>
</file>

<file path=xl/worksheets/sheet5.xml><?xml version="1.0" encoding="utf-8"?>
<worksheet xmlns="http://schemas.openxmlformats.org/spreadsheetml/2006/main" xmlns:r="http://schemas.openxmlformats.org/officeDocument/2006/relationships">
  <sheetPr codeName="Sheet5"/>
  <dimension ref="B1:P40"/>
  <sheetViews>
    <sheetView workbookViewId="0" topLeftCell="A1">
      <selection activeCell="I10" sqref="I10"/>
    </sheetView>
  </sheetViews>
  <sheetFormatPr defaultColWidth="9.140625" defaultRowHeight="12.75"/>
  <cols>
    <col min="1" max="1" width="3.57421875" style="0" customWidth="1"/>
    <col min="2" max="2" width="49.140625" style="0" customWidth="1"/>
    <col min="3" max="8" width="15.7109375" style="0" customWidth="1"/>
    <col min="9" max="9" width="20.57421875" style="0" customWidth="1"/>
    <col min="10" max="14" width="12.7109375" style="0" customWidth="1"/>
    <col min="15" max="16384" width="11.421875" style="0" customWidth="1"/>
  </cols>
  <sheetData>
    <row r="1" spans="3:10" ht="12.75">
      <c r="C1" s="61"/>
      <c r="D1" s="61"/>
      <c r="E1" s="61"/>
      <c r="F1" s="61"/>
      <c r="G1" s="61"/>
      <c r="H1" s="61"/>
      <c r="I1" s="61"/>
      <c r="J1" s="61"/>
    </row>
    <row r="2" spans="2:10" ht="12.75">
      <c r="B2" s="535">
        <f>IF('ERR &amp; Sensitivity Analysis'!$I$10="N","Note: Current calculations are based on user input and are not the original MCC estimates.",IF('ERR &amp; Sensitivity Analysis'!$I$11="N","Note: Current calculations are based on user input and are not the original MCC estimates.",0))</f>
        <v>0</v>
      </c>
      <c r="C2" s="535"/>
      <c r="D2" s="535"/>
      <c r="E2" s="535"/>
      <c r="F2" s="535"/>
      <c r="G2" s="535"/>
      <c r="H2" s="72"/>
      <c r="I2" s="72" t="s">
        <v>20</v>
      </c>
      <c r="J2" s="72"/>
    </row>
    <row r="3" spans="2:10" ht="15.75">
      <c r="B3" s="536" t="s">
        <v>111</v>
      </c>
      <c r="C3" s="537"/>
      <c r="D3" s="537"/>
      <c r="E3" s="537"/>
      <c r="F3" s="537"/>
      <c r="G3" s="537"/>
      <c r="H3" s="72"/>
      <c r="I3" s="72">
        <v>8.4</v>
      </c>
      <c r="J3" s="72"/>
    </row>
    <row r="4" spans="2:10" ht="16.5" thickBot="1">
      <c r="B4" s="1"/>
      <c r="C4" s="61"/>
      <c r="D4" s="61"/>
      <c r="E4" s="61"/>
      <c r="F4" s="61"/>
      <c r="G4" s="61"/>
      <c r="H4" s="350"/>
      <c r="I4" s="350"/>
      <c r="J4" s="61"/>
    </row>
    <row r="5" spans="2:14" ht="17.25" thickBot="1" thickTop="1">
      <c r="B5" s="131"/>
      <c r="C5" s="132">
        <v>2002</v>
      </c>
      <c r="D5" s="132">
        <v>2003</v>
      </c>
      <c r="E5" s="132">
        <v>2004</v>
      </c>
      <c r="F5" s="132">
        <v>2005</v>
      </c>
      <c r="G5" s="392">
        <v>2006</v>
      </c>
      <c r="H5" s="389" t="s">
        <v>21</v>
      </c>
      <c r="I5" s="353"/>
      <c r="J5" s="383"/>
      <c r="K5" s="382"/>
      <c r="L5" s="382"/>
      <c r="M5" s="382"/>
      <c r="N5" s="382"/>
    </row>
    <row r="6" spans="2:10" ht="17.25" thickBot="1" thickTop="1">
      <c r="B6" s="136" t="s">
        <v>112</v>
      </c>
      <c r="C6" s="149">
        <f>SUM('Al Amana'!B6+'Zakoura MC '!B6+'Fondep MC'!B6+FBPMC!B6+'AL Karama'!B6+'AMSSF MC'!B6+ARDI!B6+AIMC!B6+INMAA!B6+AMOS!B6+'ATIL MC'!B6)</f>
        <v>354962208</v>
      </c>
      <c r="D6" s="149">
        <f>SUM('Al Amana'!C6+'Zakoura MC '!C6+'Fondep MC'!C6+FBPMC!C6+'AL Karama'!C6+'AMSSF MC'!C6+ARDI!C6+AIMC!C6+INMAA!C6+AMOS!C6+'ATIL MC'!C6)</f>
        <v>548546015.35</v>
      </c>
      <c r="E6" s="149">
        <f>SUM('Al Amana'!D6+'Zakoura MC '!D6+'Fondep MC'!D6+FBPMC!D6+'AL Karama'!D6+'AMSSF MC'!D6+ARDI!D6+AIMC!D6+INMAA!D6+AMOS!D6+'ATIL MC'!D6)</f>
        <v>910175530.69</v>
      </c>
      <c r="F6" s="149">
        <f>SUM('Al Amana'!E6+'Zakoura MC '!E6+'Fondep MC'!E6+FBPMC!E6+'AL Karama'!E6+'AMSSF MC'!E6+ARDI!E6+AIMC!E6+INMAA!E6+AMOS!E6+'ATIL MC'!E6)</f>
        <v>1543839864.24</v>
      </c>
      <c r="G6" s="150">
        <f>SUM('Al Amana'!F6+'Zakoura MC '!F6+'Fondep MC'!F6+FBPMC!F6+'AL Karama'!F6+'AMSSF MC'!F6+ARDI!F6+AIMC!F6+INMAA!F6+AMOS!F6+'ATIL MC'!F6)</f>
        <v>3497538088.61</v>
      </c>
      <c r="H6" s="390"/>
      <c r="I6" s="351"/>
      <c r="J6" s="354"/>
    </row>
    <row r="7" spans="2:16" ht="21.75" customHeight="1" thickBot="1">
      <c r="B7" s="10" t="s">
        <v>120</v>
      </c>
      <c r="C7" s="4">
        <f>SUM('Al Amana'!B7+'Zakoura MC '!B7+'Fondep MC'!B7+FBPMC!B7+'AL Karama'!B7+'AMSSF MC'!B7+ARDI!B7+AIMC!B7+INMAA!B7+AMOS!B7+'ATIL MC'!B7)</f>
        <v>1237105480</v>
      </c>
      <c r="D7" s="4">
        <f>SUM('Al Amana'!C7+'Zakoura MC '!C7+'Fondep MC'!C7+FBPMC!C7+'AL Karama'!C7+'AMSSF MC'!C7+ARDI!C7+AIMC!C7+INMAA!C7+AMOS!C7+'ATIL MC'!C7)</f>
        <v>2098975498</v>
      </c>
      <c r="E7" s="4">
        <f>SUM('Al Amana'!D7+'Zakoura MC '!D7+'Fondep MC'!D7+FBPMC!D7+'AL Karama'!D7+'AMSSF MC'!D7+ARDI!D7+AIMC!D7+INMAA!D7+AMOS!D7+'ATIL MC'!D7)</f>
        <v>3526603951.8</v>
      </c>
      <c r="F7" s="4">
        <f>SUM('Al Amana'!E7+'Zakoura MC '!E7+'Fondep MC'!E7+FBPMC!E7+'AL Karama'!E7+'AMSSF MC'!E7+ARDI!E7+AIMC!E7+INMAA!E7+AMOS!E7+'ATIL MC'!E7)</f>
        <v>5440408174.889999</v>
      </c>
      <c r="G7" s="139">
        <f>SUM('Al Amana'!F7+'Zakoura MC '!F7+'Fondep MC'!F7+FBPMC!F7+'AL Karama'!F7+'AMSSF MC'!F7+ARDI!F7+AIMC!F7+INMAA!F7+AMOS!F7+'ATIL MC'!F7)</f>
        <v>9880226961.15</v>
      </c>
      <c r="H7" s="391">
        <f>+(G7/C7)^(1/(G$5-C$5))-1</f>
        <v>0.6810864497385491</v>
      </c>
      <c r="I7" s="352"/>
      <c r="J7" s="355"/>
      <c r="K7" s="356"/>
      <c r="L7" s="357"/>
      <c r="M7" s="357"/>
      <c r="N7" s="356"/>
      <c r="O7" s="348"/>
      <c r="P7" s="348"/>
    </row>
    <row r="8" spans="2:14" ht="21.75" customHeight="1" thickBot="1">
      <c r="B8" s="11" t="s">
        <v>7</v>
      </c>
      <c r="C8" s="4">
        <f>SUM('Al Amana'!B8+'Zakoura MC '!B8+'Fondep MC'!B8+FBPMC!B8+'AL Karama'!B8+'AMSSF MC'!B8+ARDI!B8+AIMC!B8+INMAA!B8+AMOS!B8+'ATIL MC'!B8)</f>
        <v>31589663</v>
      </c>
      <c r="D8" s="4">
        <f>SUM('Al Amana'!C8+'Zakoura MC '!C8+'Fondep MC'!C8+FBPMC!C8+'AL Karama'!C8+'AMSSF MC'!C8+ARDI!C8+AIMC!C8+INMAA!C8+AMOS!C8+'ATIL MC'!C8)</f>
        <v>48373900.5</v>
      </c>
      <c r="E8" s="4">
        <f>SUM('Al Amana'!D8+'Zakoura MC '!D8+'Fondep MC'!D8+FBPMC!D8+'AL Karama'!D8+'AMSSF MC'!D8+ARDI!D8+AIMC!D8+INMAA!D8+AMOS!D8+'ATIL MC'!D8)</f>
        <v>103151183.70451018</v>
      </c>
      <c r="F8" s="4">
        <f>SUM('Al Amana'!E8+'Zakoura MC '!E8+'Fondep MC'!E8+FBPMC!E8+'AL Karama'!E8+'AMSSF MC'!E8+ARDI!E8+AIMC!E8+INMAA!E8+AMOS!E8+'ATIL MC'!E8)</f>
        <v>304255196.15664494</v>
      </c>
      <c r="G8" s="139">
        <f>SUM('Al Amana'!F8+'Zakoura MC '!F8+'Fondep MC'!F8+FBPMC!F8+'AL Karama'!F8+'AMSSF MC'!F8+ARDI!F8+AIMC!F8+INMAA!F8+AMOS!F8+'ATIL MC'!F8)</f>
        <v>1319208512.932321</v>
      </c>
      <c r="H8" s="349"/>
      <c r="I8" s="349"/>
      <c r="J8" s="360"/>
      <c r="K8" s="360"/>
      <c r="L8" s="360"/>
      <c r="M8" s="360"/>
      <c r="N8" s="360"/>
    </row>
    <row r="9" spans="2:10" ht="21.75" customHeight="1" thickBot="1">
      <c r="B9" s="11" t="s">
        <v>114</v>
      </c>
      <c r="C9" s="4">
        <f>SUM('Al Amana'!B9+'Zakoura MC '!B9+'Fondep MC'!B9+FBPMC!B9+'AL Karama'!B9+'AMSSF MC'!B9+ARDI!B9+AIMC!B9+INMAA!B9+AMOS!B9+'ATIL MC'!B9)</f>
        <v>324428834.16450787</v>
      </c>
      <c r="D9" s="4">
        <f>SUM('Al Amana'!C9+'Zakoura MC '!C9+'Fondep MC'!C9+FBPMC!C9+'AL Karama'!C9+'AMSSF MC'!C9+ARDI!C9+AIMC!C9+INMAA!C9+AMOS!C9+'ATIL MC'!C9)</f>
        <v>536248994.004509</v>
      </c>
      <c r="E9" s="4">
        <f>SUM('Al Amana'!D9+'Zakoura MC '!D9+'Fondep MC'!D9+FBPMC!D9+'AL Karama'!D9+'AMSSF MC'!D9+ARDI!D9+AIMC!D9+INMAA!D9+AMOS!D9+'ATIL MC'!D9)</f>
        <v>809767487.1596177</v>
      </c>
      <c r="F9" s="4">
        <f>SUM('Al Amana'!E9+'Zakoura MC '!E9+'Fondep MC'!E9+FBPMC!E9+'AL Karama'!E9+'AMSSF MC'!E9+ARDI!E9+AIMC!E9+INMAA!E9+AMOS!E9+'ATIL MC'!E9)</f>
        <v>1146550728.501421</v>
      </c>
      <c r="G9" s="139">
        <f>SUM('Al Amana'!F9+'Zakoura MC '!F9+'Fondep MC'!F9+FBPMC!F9+'AL Karama'!F9+'AMSSF MC'!F9+ARDI!F9+AIMC!F9+INMAA!F9+AMOS!F9+'ATIL MC'!F9)</f>
        <v>1747918497.4000003</v>
      </c>
      <c r="H9" s="349"/>
      <c r="I9" s="349"/>
      <c r="J9" s="349"/>
    </row>
    <row r="10" spans="2:10" ht="21.75" customHeight="1" thickBot="1">
      <c r="B10" s="11" t="s">
        <v>115</v>
      </c>
      <c r="C10" s="4">
        <f>SUM('Al Amana'!B10+'Zakoura MC '!B10+'Fondep MC'!B10+FBPMC!B10+'AL Karama'!B10+'AMSSF MC'!B10+ARDI!B10+AIMC!B10+INMAA!B10+AMOS!B10+'ATIL MC'!B10)</f>
        <v>50000</v>
      </c>
      <c r="D10" s="4">
        <f>SUM('Al Amana'!C10+'Zakoura MC '!C10+'Fondep MC'!C10+FBPMC!C10+'AL Karama'!C10+'AMSSF MC'!C10+ARDI!C10+AIMC!C10+INMAA!C10+AMOS!C10+'ATIL MC'!C10)</f>
        <v>112000</v>
      </c>
      <c r="E10" s="4">
        <f>SUM('Al Amana'!D10+'Zakoura MC '!D10+'Fondep MC'!D10+FBPMC!D10+'AL Karama'!D10+'AMSSF MC'!D10+ARDI!D10+AIMC!D10+INMAA!D10+AMOS!D10+'ATIL MC'!D10)</f>
        <v>285430</v>
      </c>
      <c r="F10" s="4">
        <f>SUM('Al Amana'!E10+'Zakoura MC '!E10+'Fondep MC'!E10+FBPMC!E10+'AL Karama'!E10+'AMSSF MC'!E10+ARDI!E10+AIMC!E10+INMAA!E10+AMOS!E10+'ATIL MC'!E10)</f>
        <v>530000</v>
      </c>
      <c r="G10" s="139">
        <f>SUM('Al Amana'!F10+'Zakoura MC '!F10+'Fondep MC'!F10+FBPMC!F10+'AL Karama'!F10+'AMSSF MC'!F10+ARDI!F10+AIMC!F10+INMAA!F10+AMOS!F10+'ATIL MC'!F10)</f>
        <v>500000</v>
      </c>
      <c r="H10" s="349"/>
      <c r="I10" s="349"/>
      <c r="J10" s="349"/>
    </row>
    <row r="11" spans="2:10" ht="21.75" customHeight="1" thickBot="1">
      <c r="B11" s="11" t="s">
        <v>113</v>
      </c>
      <c r="C11" s="4">
        <f>+C7-C8-C9-C10</f>
        <v>881036982.8354921</v>
      </c>
      <c r="D11" s="4">
        <f>+D7-D8-D9-D10</f>
        <v>1514240603.495491</v>
      </c>
      <c r="E11" s="4">
        <f>+E7-E8-E9-E10</f>
        <v>2613399850.935872</v>
      </c>
      <c r="F11" s="4">
        <f>+F7-F8-F9-F10</f>
        <v>3989072250.2319336</v>
      </c>
      <c r="G11" s="139">
        <f>+G7-G8-G9-G10</f>
        <v>6812599950.8176775</v>
      </c>
      <c r="H11" s="349"/>
      <c r="I11" s="349"/>
      <c r="J11" s="349"/>
    </row>
    <row r="12" spans="2:10" ht="21.75" customHeight="1" thickBot="1">
      <c r="B12" s="10" t="s">
        <v>119</v>
      </c>
      <c r="C12" s="4">
        <f>SUM('Al Amana'!B12+'Zakoura MC '!B12+'Fondep MC'!B12+FBPMC!B12+'AL Karama'!B12+'AMSSF MC'!B12+ARDI!B12+AIMC!B12+INMAA!B12+AMOS!B12+'ATIL MC'!B12)</f>
        <v>310528</v>
      </c>
      <c r="D12" s="4">
        <f>SUM('Al Amana'!C12+'Zakoura MC '!C12+'Fondep MC'!C12+FBPMC!C12+'AL Karama'!C12+'AMSSF MC'!C12+ARDI!C12+AIMC!C12+INMAA!C12+AMOS!C12+'ATIL MC'!C12)</f>
        <v>444574</v>
      </c>
      <c r="E12" s="4">
        <f>SUM('Al Amana'!D12+'Zakoura MC '!D12+'Fondep MC'!D12+FBPMC!D12+'AL Karama'!D12+'AMSSF MC'!D12+ARDI!D12+AIMC!D12+INMAA!D12+AMOS!D12+'ATIL MC'!D12)</f>
        <v>595276</v>
      </c>
      <c r="F12" s="4">
        <f>SUM('Al Amana'!E12+'Zakoura MC '!E12+'Fondep MC'!E12+FBPMC!E12+'AL Karama'!E12+'AMSSF MC'!E12+ARDI!E12+AIMC!E12+INMAA!E12+AMOS!E12+'ATIL MC'!E12)</f>
        <v>770343</v>
      </c>
      <c r="G12" s="139">
        <f>SUM('Al Amana'!F12+'Zakoura MC '!F12+'Fondep MC'!F12+FBPMC!F12+'AL Karama'!F12+'AMSSF MC'!F12+ARDI!F12+AIMC!F12+INMAA!F12+AMOS!F12+'ATIL MC'!F12)</f>
        <v>1246387</v>
      </c>
      <c r="H12" s="391">
        <f>+(G12/C12)^(1/(G$5-C$5))-1</f>
        <v>0.41542882631009137</v>
      </c>
      <c r="I12" s="349"/>
      <c r="J12" s="349"/>
    </row>
    <row r="13" spans="2:10" ht="21.75" customHeight="1" thickBot="1">
      <c r="B13" s="362"/>
      <c r="C13" s="4"/>
      <c r="D13" s="363">
        <f>+D12/C12-1</f>
        <v>0.43167121805441044</v>
      </c>
      <c r="E13" s="363">
        <f>+E12/D12-1</f>
        <v>0.33898068712970164</v>
      </c>
      <c r="F13" s="363">
        <f>+F12/E12-1</f>
        <v>0.29409383210477147</v>
      </c>
      <c r="G13" s="393">
        <f>+G12/F12-1</f>
        <v>0.6179636863059701</v>
      </c>
      <c r="H13" s="358"/>
      <c r="I13" s="349"/>
      <c r="J13" s="349"/>
    </row>
    <row r="14" spans="2:10" ht="21.75" customHeight="1" thickBot="1">
      <c r="B14" s="11" t="s">
        <v>7</v>
      </c>
      <c r="C14" s="4">
        <f>SUM('Al Amana'!B13+'Zakoura MC '!B13+'Fondep MC'!B13+FBPMC!B13+'AL Karama'!B13+'AMSSF MC'!B13+ARDI!B13+AIMC!B13+INMAA!B13+AMOS!B13+'ATIL MC'!B13)</f>
        <v>19069.41</v>
      </c>
      <c r="D14" s="4">
        <f>SUM('Al Amana'!C13+'Zakoura MC '!C13+'Fondep MC'!C13+FBPMC!C13+'AL Karama'!C13+'AMSSF MC'!C13+ARDI!C13+AIMC!C13+INMAA!C13+AMOS!C13+'ATIL MC'!C13)</f>
        <v>28689.829999999998</v>
      </c>
      <c r="E14" s="4">
        <f>SUM('Al Amana'!D13+'Zakoura MC '!D13+'Fondep MC'!D13+FBPMC!D13+'AL Karama'!D13+'AMSSF MC'!D13+ARDI!D13+AIMC!D13+INMAA!D13+AMOS!D13+'ATIL MC'!D13)</f>
        <v>36581.11</v>
      </c>
      <c r="F14" s="4">
        <f>SUM('Al Amana'!E13+'Zakoura MC '!E13+'Fondep MC'!E13+FBPMC!E13+'AL Karama'!E13+'AMSSF MC'!E13+ARDI!E13+AIMC!E13+INMAA!E13+AMOS!E13+'ATIL MC'!E13)</f>
        <v>61333.92</v>
      </c>
      <c r="G14" s="139">
        <f>SUM('Al Amana'!F13+'Zakoura MC '!F13+'Fondep MC'!F13+FBPMC!F13+'AL Karama'!F13+'AMSSF MC'!F13+ARDI!F13+AIMC!F13+INMAA!F13+AMOS!F13+'ATIL MC'!F13)</f>
        <v>176017.13</v>
      </c>
      <c r="H14" s="349"/>
      <c r="I14" s="349"/>
      <c r="J14" s="349"/>
    </row>
    <row r="15" spans="2:10" ht="21.75" customHeight="1" thickBot="1">
      <c r="B15" s="11" t="s">
        <v>114</v>
      </c>
      <c r="C15" s="4">
        <f>SUM('Al Amana'!B14+'Zakoura MC '!B14+'Fondep MC'!B14+FBPMC!B14+'AL Karama'!B14+'AMSSF MC'!B14+ARDI!B14+AIMC!B14+INMAA!B14+AMOS!B14+'ATIL MC'!B14)</f>
        <v>68346.75</v>
      </c>
      <c r="D15" s="4">
        <f>SUM('Al Amana'!C14+'Zakoura MC '!C14+'Fondep MC'!C14+FBPMC!C14+'AL Karama'!C14+'AMSSF MC'!C14+ARDI!C14+AIMC!C14+INMAA!C14+AMOS!C14+'ATIL MC'!C14)</f>
        <v>88681.71999999999</v>
      </c>
      <c r="E15" s="4">
        <f>SUM('Al Amana'!D14+'Zakoura MC '!D14+'Fondep MC'!D14+FBPMC!D14+'AL Karama'!D14+'AMSSF MC'!D14+ARDI!D14+AIMC!D14+INMAA!D14+AMOS!D14+'ATIL MC'!D14)</f>
        <v>116246.42</v>
      </c>
      <c r="F15" s="4">
        <f>SUM('Al Amana'!E14+'Zakoura MC '!E14+'Fondep MC'!E14+FBPMC!E14+'AL Karama'!E14+'AMSSF MC'!E14+ARDI!E14+AIMC!E14+INMAA!E14+AMOS!E14+'ATIL MC'!E14)</f>
        <v>144791.71</v>
      </c>
      <c r="G15" s="139">
        <f>SUM('Al Amana'!F14+'Zakoura MC '!F14+'Fondep MC'!F14+FBPMC!F14+'AL Karama'!F14+'AMSSF MC'!F14+ARDI!F14+AIMC!F14+INMAA!F14+AMOS!F14+'ATIL MC'!F14)</f>
        <v>202656.49000000002</v>
      </c>
      <c r="H15" s="349"/>
      <c r="I15" s="349"/>
      <c r="J15" s="349"/>
    </row>
    <row r="16" spans="2:10" ht="21.75" customHeight="1" thickBot="1">
      <c r="B16" s="11" t="s">
        <v>115</v>
      </c>
      <c r="C16" s="4">
        <f>SUM('Al Amana'!B15+'Zakoura MC '!B15+'Fondep MC'!B15+FBPMC!B15+'AL Karama'!B15+'AMSSF MC'!B15+ARDI!B15+AIMC!B15+INMAA!B15+AMOS!B15+'ATIL MC'!B15)</f>
        <v>124</v>
      </c>
      <c r="D16" s="4">
        <f>SUM('Al Amana'!C15+'Zakoura MC '!C15+'Fondep MC'!C15+FBPMC!C15+'AL Karama'!C15+'AMSSF MC'!C15+ARDI!C15+AIMC!C15+INMAA!C15+AMOS!C15+'ATIL MC'!C15)</f>
        <v>214.77777777777777</v>
      </c>
      <c r="E16" s="4">
        <f>SUM('Al Amana'!D15+'Zakoura MC '!D15+'Fondep MC'!D15+FBPMC!D15+'AL Karama'!D15+'AMSSF MC'!D15+ARDI!D15+AIMC!D15+INMAA!D15+AMOS!D15+'ATIL MC'!D15)</f>
        <v>220.76</v>
      </c>
      <c r="F16" s="4">
        <f>SUM('Al Amana'!E15+'Zakoura MC '!E15+'Fondep MC'!E15+FBPMC!E15+'AL Karama'!E15+'AMSSF MC'!E15+ARDI!E15+AIMC!E15+INMAA!E15+AMOS!E15+'ATIL MC'!E15)</f>
        <v>428</v>
      </c>
      <c r="G16" s="139">
        <f>SUM('Al Amana'!F15+'Zakoura MC '!F15+'Fondep MC'!F15+FBPMC!F15+'AL Karama'!F15+'AMSSF MC'!F15+ARDI!F15+AIMC!F15+INMAA!F15+AMOS!F15+'ATIL MC'!F15)</f>
        <v>414</v>
      </c>
      <c r="H16" s="349"/>
      <c r="I16" s="349"/>
      <c r="J16" s="349"/>
    </row>
    <row r="17" spans="2:10" ht="21.75" customHeight="1" thickBot="1">
      <c r="B17" s="11" t="s">
        <v>113</v>
      </c>
      <c r="C17" s="4">
        <f>+C12-C14-C15-C16</f>
        <v>222987.84000000003</v>
      </c>
      <c r="D17" s="4">
        <f>+D12-D14-D15-D16</f>
        <v>326987.67222222226</v>
      </c>
      <c r="E17" s="4">
        <f>+E12-E14-E15-E16</f>
        <v>442227.71</v>
      </c>
      <c r="F17" s="4">
        <f>+F12-F14-F15-F16</f>
        <v>563789.37</v>
      </c>
      <c r="G17" s="139">
        <f>+G12-G14-G15-G16</f>
        <v>867299.3800000001</v>
      </c>
      <c r="H17" s="349"/>
      <c r="I17" s="349"/>
      <c r="J17" s="349"/>
    </row>
    <row r="18" spans="2:14" ht="21.75" customHeight="1" thickBot="1">
      <c r="B18" s="10" t="s">
        <v>116</v>
      </c>
      <c r="C18" s="4">
        <f>AVERAGE('Al Amana'!B17,'Zakoura MC '!B17,'Fondep MC'!B17,FBPMC!B17,'AL Karama'!B17,'AMSSF MC'!B17,ARDI!B17,AIMC!B17,INMAA!B17,AMOS!B17,'ATIL MC'!B17,FMCN!B17)</f>
        <v>23.7</v>
      </c>
      <c r="D18" s="4">
        <f>AVERAGE('Al Amana'!C17,'Zakoura MC '!C17,'Fondep MC'!C17,FBPMC!C17,'AL Karama'!C17,'AMSSF MC'!C17,ARDI!C17,AIMC!C17,INMAA!C17,AMOS!C17,'ATIL MC'!C17,FMCN!C17)</f>
        <v>23.18476078409439</v>
      </c>
      <c r="E18" s="4">
        <f>AVERAGE('Al Amana'!D17,'Zakoura MC '!D17,'Fondep MC'!D17,FBPMC!D17,'AL Karama'!D17,'AMSSF MC'!D17,ARDI!D17,AIMC!D17,INMAA!D17,AMOS!D17,'ATIL MC'!D17,FMCN!D17)</f>
        <v>22.556637028512757</v>
      </c>
      <c r="F18" s="4">
        <f>AVERAGE('Al Amana'!E17,'Zakoura MC '!E17,'Fondep MC'!E17,FBPMC!E17,'AL Karama'!E17,'AMSSF MC'!E17,ARDI!E17,AIMC!E17,INMAA!E17,AMOS!E17,'ATIL MC'!E17,FMCN!E17)</f>
        <v>21.648249804862218</v>
      </c>
      <c r="G18" s="139">
        <f>AVERAGE('Al Amana'!F17,'Zakoura MC '!F17,'Fondep MC'!F17,FBPMC!F17,'AL Karama'!F17,'AMSSF MC'!F17,ARDI!F17,AIMC!F17,INMAA!F17,AMOS!F17,'ATIL MC'!F17,FMCN!F17)</f>
        <v>20.265327505912392</v>
      </c>
      <c r="H18" s="349"/>
      <c r="I18" s="349"/>
      <c r="J18" s="364"/>
      <c r="K18" s="365"/>
      <c r="L18" s="365"/>
      <c r="M18" s="366"/>
      <c r="N18" s="366"/>
    </row>
    <row r="19" spans="2:10" ht="21.75" customHeight="1" thickBot="1">
      <c r="B19" s="11" t="s">
        <v>7</v>
      </c>
      <c r="C19" s="4">
        <f>AVERAGE('Al Amana'!B18,'Zakoura MC '!B18,'Fondep MC'!B18,FBPMC!B18,'AL Karama'!B18,'AMSSF MC'!B18,ARDI!B18,AIMC!B18,INMAA!B18,AMOS!B18,'ATIL MC'!B18,FMCN!B18)</f>
        <v>21</v>
      </c>
      <c r="D19" s="4">
        <f>AVERAGE('Al Amana'!C18,'Zakoura MC '!C18,'Fondep MC'!C18,FBPMC!C18,'AL Karama'!C18,'AMSSF MC'!C18,ARDI!C18,AIMC!C18,INMAA!C18,AMOS!C18,'ATIL MC'!C18,FMCN!C18)</f>
        <v>20.246347712125853</v>
      </c>
      <c r="E19" s="4">
        <f>AVERAGE('Al Amana'!D18,'Zakoura MC '!D18,'Fondep MC'!D18,FBPMC!D18,'AL Karama'!D18,'AMSSF MC'!D18,ARDI!D18,AIMC!D18,INMAA!D18,AMOS!D18,'ATIL MC'!D18,FMCN!D18)</f>
        <v>21.606627149128123</v>
      </c>
      <c r="F19" s="4">
        <f>AVERAGE('Al Amana'!E18,'Zakoura MC '!E18,'Fondep MC'!E18,FBPMC!E18,'AL Karama'!E18,'AMSSF MC'!E18,ARDI!E18,AIMC!E18,INMAA!E18,AMOS!E18,'ATIL MC'!E18,FMCN!E18)</f>
        <v>20.230666406482957</v>
      </c>
      <c r="G19" s="139">
        <f>AVERAGE('Al Amana'!F18,'Zakoura MC '!F18,'Fondep MC'!F18,FBPMC!F18,'AL Karama'!F18,'AMSSF MC'!F18,ARDI!F18,AIMC!F18,INMAA!F18,AMOS!F18,'ATIL MC'!F18,FMCN!F18)</f>
        <v>18.4978811189943</v>
      </c>
      <c r="H19" s="349"/>
      <c r="I19" s="349"/>
      <c r="J19" s="349"/>
    </row>
    <row r="20" spans="2:10" ht="21.75" customHeight="1" thickBot="1">
      <c r="B20" s="11" t="s">
        <v>114</v>
      </c>
      <c r="C20" s="4">
        <f>AVERAGE('Al Amana'!B19,'Zakoura MC '!B19,'Fondep MC'!B19,FBPMC!B19,'AL Karama'!B19,'AMSSF MC'!B19,ARDI!B19,AIMC!B19,INMAA!B19,AMOS!B19,'ATIL MC'!B19,FMCN!B19)</f>
        <v>23</v>
      </c>
      <c r="D20" s="4">
        <f>AVERAGE('Al Amana'!C19,'Zakoura MC '!C19,'Fondep MC'!C19,FBPMC!C19,'AL Karama'!C19,'AMSSF MC'!C19,ARDI!C19,AIMC!C19,INMAA!C19,AMOS!C19,'ATIL MC'!C19,FMCN!C19)</f>
        <v>22.42171294091327</v>
      </c>
      <c r="E20" s="4">
        <f>AVERAGE('Al Amana'!D19,'Zakoura MC '!D19,'Fondep MC'!D19,FBPMC!D19,'AL Karama'!D19,'AMSSF MC'!D19,ARDI!D19,AIMC!D19,INMAA!D19,AMOS!D19,'ATIL MC'!D19,FMCN!D19)</f>
        <v>20.939960482461455</v>
      </c>
      <c r="F20" s="4">
        <f>AVERAGE('Al Amana'!E19,'Zakoura MC '!E19,'Fondep MC'!E19,FBPMC!E19,'AL Karama'!E19,'AMSSF MC'!E19,ARDI!E19,AIMC!E19,INMAA!E19,AMOS!E19,'ATIL MC'!E19,FMCN!E19)</f>
        <v>20.230666406482957</v>
      </c>
      <c r="G20" s="139">
        <f>AVERAGE('Al Amana'!F19,'Zakoura MC '!F19,'Fondep MC'!F19,FBPMC!F19,'AL Karama'!F19,'AMSSF MC'!F19,ARDI!F19,AIMC!F19,INMAA!F19,AMOS!F19,'ATIL MC'!F19,FMCN!F19)</f>
        <v>18.23121445232763</v>
      </c>
      <c r="H20" s="349"/>
      <c r="I20" s="349"/>
      <c r="J20" s="349"/>
    </row>
    <row r="21" spans="2:10" ht="21.75" customHeight="1" thickBot="1">
      <c r="B21" s="11" t="s">
        <v>115</v>
      </c>
      <c r="C21" s="4"/>
      <c r="D21" s="4"/>
      <c r="E21" s="4"/>
      <c r="F21" s="4"/>
      <c r="G21" s="139"/>
      <c r="H21" s="349"/>
      <c r="I21" s="349"/>
      <c r="J21" s="349"/>
    </row>
    <row r="22" spans="2:10" ht="21.75" customHeight="1" thickBot="1">
      <c r="B22" s="11" t="s">
        <v>113</v>
      </c>
      <c r="C22" s="4"/>
      <c r="D22" s="4"/>
      <c r="E22" s="4"/>
      <c r="F22" s="4"/>
      <c r="G22" s="139"/>
      <c r="H22" s="349"/>
      <c r="I22" s="349"/>
      <c r="J22" s="349"/>
    </row>
    <row r="23" spans="2:10" ht="21.75" customHeight="1" thickBot="1">
      <c r="B23" s="10" t="s">
        <v>133</v>
      </c>
      <c r="C23" s="4">
        <f>AVERAGE('Al Amana'!B22,'Zakoura MC '!B22,'Fondep MC'!B22,FBPMC!B22,'AL Karama'!B22,'AMSSF MC'!B22,ARDI!B22,AIMC!B22,INMAA!B22,AMOS!B22,'ATIL MC'!B22,FMCN!B22)</f>
        <v>7.7829999999999995</v>
      </c>
      <c r="D23" s="4">
        <f>AVERAGE('Al Amana'!C22,'Zakoura MC '!C22,'Fondep MC'!C22,FBPMC!C22,'AL Karama'!C22,'AMSSF MC'!C22,ARDI!C22,AIMC!C22,INMAA!C22,AMOS!C22,'ATIL MC'!C22,FMCN!C22)</f>
        <v>7.5772225</v>
      </c>
      <c r="E23" s="4">
        <f>AVERAGE('Al Amana'!D22,'Zakoura MC '!D22,'Fondep MC'!D22,FBPMC!D22,'AL Karama'!D22,'AMSSF MC'!D22,ARDI!D22,AIMC!D22,INMAA!D22,AMOS!D22,'ATIL MC'!D22,FMCN!D22)</f>
        <v>7.593889166666667</v>
      </c>
      <c r="F23" s="4">
        <f>AVERAGE('Al Amana'!E22,'Zakoura MC '!E22,'Fondep MC'!E22,FBPMC!E22,'AL Karama'!E22,'AMSSF MC'!E22,ARDI!E22,AIMC!E22,INMAA!E22,AMOS!E22,'ATIL MC'!E22,FMCN!E22)</f>
        <v>8.676389166666667</v>
      </c>
      <c r="G23" s="139">
        <f>AVERAGE('Al Amana'!F22,'Zakoura MC '!F22,'Fondep MC'!F22,FBPMC!F22,'AL Karama'!F22,'AMSSF MC'!F22,ARDI!F22,AIMC!F22,INMAA!F22,AMOS!F22,'ATIL MC'!F22,FMCN!F22)</f>
        <v>9.468055833333333</v>
      </c>
      <c r="H23" s="349"/>
      <c r="I23" s="349"/>
      <c r="J23" s="349"/>
    </row>
    <row r="24" spans="2:10" ht="21.75" customHeight="1" thickBot="1">
      <c r="B24" s="11" t="s">
        <v>7</v>
      </c>
      <c r="C24" s="4">
        <f>AVERAGE('Al Amana'!B23,'Zakoura MC '!B23,'Fondep MC'!B23,FBPMC!B23,'AL Karama'!B23,'AMSSF MC'!B23,ARDI!B23,AIMC!B23,INMAA!B23,AMOS!B23,'ATIL MC'!B23,FMCN!B23)</f>
        <v>7.786666666666666</v>
      </c>
      <c r="D24" s="4">
        <f>AVERAGE('Al Amana'!C23,'Zakoura MC '!C23,'Fondep MC'!C23,FBPMC!C23,'AL Karama'!C23,'AMSSF MC'!C23,ARDI!C23,AIMC!C23,INMAA!C23,AMOS!C23,'ATIL MC'!C23,FMCN!C23)</f>
        <v>7.741</v>
      </c>
      <c r="E24" s="4">
        <f>AVERAGE('Al Amana'!D23,'Zakoura MC '!D23,'Fondep MC'!D23,FBPMC!D23,'AL Karama'!D23,'AMSSF MC'!D23,ARDI!D23,AIMC!D23,INMAA!D23,AMOS!D23,'ATIL MC'!D23,FMCN!D23)</f>
        <v>8.361</v>
      </c>
      <c r="F24" s="4">
        <f>AVERAGE('Al Amana'!E23,'Zakoura MC '!E23,'Fondep MC'!E23,FBPMC!E23,'AL Karama'!E23,'AMSSF MC'!E23,ARDI!E23,AIMC!E23,INMAA!E23,AMOS!E23,'ATIL MC'!E23,FMCN!E23)</f>
        <v>8.959999999999999</v>
      </c>
      <c r="G24" s="139">
        <f>AVERAGE('Al Amana'!F23,'Zakoura MC '!F23,'Fondep MC'!F23,FBPMC!F23,'AL Karama'!F23,'AMSSF MC'!F23,ARDI!F23,AIMC!F23,INMAA!F23,AMOS!F23,'ATIL MC'!F23,FMCN!F23)</f>
        <v>9.809999999999999</v>
      </c>
      <c r="H24" s="349"/>
      <c r="I24" s="349"/>
      <c r="J24" s="349"/>
    </row>
    <row r="25" spans="2:10" ht="21.75" customHeight="1" thickBot="1">
      <c r="B25" s="11" t="s">
        <v>114</v>
      </c>
      <c r="C25" s="4">
        <f>AVERAGE('Al Amana'!B24,'Zakoura MC '!B24,'Fondep MC'!B24,FBPMC!B24,'AL Karama'!B24,'AMSSF MC'!B24,ARDI!B24,AIMC!B24,INMAA!B24,AMOS!B24,'ATIL MC'!B24,FMCN!B24)</f>
        <v>7.564444444444444</v>
      </c>
      <c r="D25" s="4">
        <f>AVERAGE('Al Amana'!C24,'Zakoura MC '!C24,'Fondep MC'!C24,FBPMC!C24,'AL Karama'!C24,'AMSSF MC'!C24,ARDI!C24,AIMC!C24,INMAA!C24,AMOS!C24,'ATIL MC'!C24,FMCN!C24)</f>
        <v>7.379697272727273</v>
      </c>
      <c r="E25" s="4">
        <f>AVERAGE('Al Amana'!D24,'Zakoura MC '!D24,'Fondep MC'!D24,FBPMC!D24,'AL Karama'!D24,'AMSSF MC'!D24,ARDI!D24,AIMC!D24,INMAA!D24,AMOS!D24,'ATIL MC'!D24,FMCN!D24)</f>
        <v>7.3978790909090915</v>
      </c>
      <c r="F25" s="4">
        <f>AVERAGE('Al Amana'!E24,'Zakoura MC '!E24,'Fondep MC'!E24,FBPMC!E24,'AL Karama'!E24,'AMSSF MC'!E24,ARDI!E24,AIMC!E24,INMAA!E24,AMOS!E24,'ATIL MC'!E24,FMCN!E24)</f>
        <v>8.124242727272728</v>
      </c>
      <c r="G25" s="139">
        <f>AVERAGE('Al Amana'!F24,'Zakoura MC '!F24,'Fondep MC'!F24,FBPMC!F24,'AL Karama'!F24,'AMSSF MC'!F24,ARDI!F24,AIMC!F24,INMAA!F24,AMOS!F24,'ATIL MC'!F24,FMCN!F24)</f>
        <v>8.987879090909091</v>
      </c>
      <c r="H25" s="349"/>
      <c r="I25" s="349"/>
      <c r="J25" s="349"/>
    </row>
    <row r="26" spans="2:10" ht="21.75" customHeight="1" thickBot="1">
      <c r="B26" s="11" t="s">
        <v>115</v>
      </c>
      <c r="C26" s="4"/>
      <c r="D26" s="4"/>
      <c r="E26" s="4"/>
      <c r="F26" s="4"/>
      <c r="G26" s="139"/>
      <c r="H26" s="349"/>
      <c r="I26" s="349"/>
      <c r="J26" s="349"/>
    </row>
    <row r="27" spans="2:10" ht="21.75" customHeight="1" thickBot="1">
      <c r="B27" s="11" t="s">
        <v>113</v>
      </c>
      <c r="C27" s="4"/>
      <c r="D27" s="4"/>
      <c r="E27" s="4"/>
      <c r="F27" s="4"/>
      <c r="G27" s="139"/>
      <c r="H27" s="349"/>
      <c r="I27" s="349"/>
      <c r="J27" s="349"/>
    </row>
    <row r="28" spans="2:10" ht="21.75" customHeight="1" thickBot="1">
      <c r="B28" s="10" t="s">
        <v>126</v>
      </c>
      <c r="C28" s="4">
        <f>AVERAGE('Al Amana'!B27,'Zakoura MC '!B27,'Fondep MC'!B27,FBPMC!B27,'AL Karama'!B27,'AMSSF MC'!B27,ARDI!B27,AIMC!B27,INMAA!B27,AMOS!B27,'ATIL MC'!B27,FMCN!B27)</f>
        <v>1454.7457183816016</v>
      </c>
      <c r="D28" s="4">
        <f>AVERAGE('Al Amana'!C27,'Zakoura MC '!C27,'Fondep MC'!C27,FBPMC!C27,'AL Karama'!C27,'AMSSF MC'!C27,ARDI!C27,AIMC!C27,INMAA!C27,AMOS!C27,'ATIL MC'!C27,FMCN!C27)</f>
        <v>1654.2123517126918</v>
      </c>
      <c r="E28" s="4">
        <f>AVERAGE('Al Amana'!D27,'Zakoura MC '!D27,'Fondep MC'!D27,FBPMC!D27,'AL Karama'!D27,'AMSSF MC'!D27,ARDI!D27,AIMC!D27,INMAA!D27,AMOS!D27,'ATIL MC'!D27,FMCN!D27)</f>
        <v>1597.2009335835003</v>
      </c>
      <c r="F28" s="4">
        <f>AVERAGE('Al Amana'!E27,'Zakoura MC '!E27,'Fondep MC'!E27,FBPMC!E27,'AL Karama'!E27,'AMSSF MC'!E27,ARDI!E27,AIMC!E27,INMAA!E27,AMOS!E27,'ATIL MC'!E27,FMCN!E27)</f>
        <v>1633.487318277165</v>
      </c>
      <c r="G28" s="139">
        <f>AVERAGE('Al Amana'!F27,'Zakoura MC '!F27,'Fondep MC'!F27,FBPMC!F27,'AL Karama'!F27,'AMSSF MC'!F27,ARDI!F27,AIMC!F27,INMAA!F27,AMOS!F27,'ATIL MC'!F27,FMCN!F27)</f>
        <v>2118.7271983360065</v>
      </c>
      <c r="H28" s="349"/>
      <c r="I28" s="349">
        <f>+G28/$I$3</f>
        <v>252.2294283733341</v>
      </c>
      <c r="J28" s="349"/>
    </row>
    <row r="29" spans="2:10" ht="21.75" customHeight="1" thickBot="1">
      <c r="B29" s="10" t="s">
        <v>127</v>
      </c>
      <c r="C29" s="4">
        <f>AVERAGE('Al Amana'!B28,'Zakoura MC '!B28,'Fondep MC'!B28,FBPMC!B28,'AL Karama'!B28,'AMSSF MC'!B28,ARDI!B28,AIMC!B28,INMAA!B28,AMOS!B28,'ATIL MC'!B28,FMCN!B28)</f>
        <v>1200</v>
      </c>
      <c r="D29" s="4">
        <f>AVERAGE('Al Amana'!C28,'Zakoura MC '!C28,'Fondep MC'!C28,FBPMC!C28,'AL Karama'!C28,'AMSSF MC'!C28,ARDI!C28,AIMC!C28,INMAA!C28,AMOS!C28,'ATIL MC'!C28,FMCN!C28)</f>
        <v>1850</v>
      </c>
      <c r="E29" s="4">
        <f>AVERAGE('Al Amana'!D28,'Zakoura MC '!D28,'Fondep MC'!D28,FBPMC!D28,'AL Karama'!D28,'AMSSF MC'!D28,ARDI!D28,AIMC!D28,INMAA!D28,AMOS!D28,'ATIL MC'!D28,FMCN!D28)</f>
        <v>1950</v>
      </c>
      <c r="F29" s="4">
        <f>AVERAGE('Al Amana'!E28,'Zakoura MC '!E28,'Fondep MC'!E28,FBPMC!E28,'AL Karama'!E28,'AMSSF MC'!E28,ARDI!E28,AIMC!E28,INMAA!E28,AMOS!E28,'ATIL MC'!E28,FMCN!E28)</f>
        <v>1950</v>
      </c>
      <c r="G29" s="139">
        <f>AVERAGE('Al Amana'!F28,'Zakoura MC '!F28,'Fondep MC'!F28,FBPMC!F28,'AL Karama'!F28,'AMSSF MC'!F28,ARDI!F28,AIMC!F28,INMAA!F28,AMOS!F28,'ATIL MC'!F28,FMCN!F28)</f>
        <v>1950</v>
      </c>
      <c r="H29" s="349"/>
      <c r="I29" s="349">
        <f>+G29/$I$3</f>
        <v>232.14285714285714</v>
      </c>
      <c r="J29" s="349"/>
    </row>
    <row r="30" spans="2:10" ht="21.75" customHeight="1" thickBot="1">
      <c r="B30" s="10" t="s">
        <v>117</v>
      </c>
      <c r="C30" s="4">
        <f>SUM('Al Amana'!B29+'Zakoura MC '!B29+'Fondep MC'!B29+FBPMC!B29+'AL Karama'!B29+'AMSSF MC'!B29+ARDI!B29+AIMC!B29+INMAA!B29+AMOS!B29+'ATIL MC'!B29)</f>
        <v>103135772.10299176</v>
      </c>
      <c r="D30" s="4">
        <f>SUM('Al Amana'!C29+'Zakoura MC '!C29+'Fondep MC'!C29+FBPMC!C29+'AL Karama'!C29+'AMSSF MC'!C29+ARDI!C29+AIMC!C29+INMAA!C29+AMOS!C29+'ATIL MC'!C29)</f>
        <v>137777000.90781257</v>
      </c>
      <c r="E30" s="4">
        <f>SUM('Al Amana'!D29+'Zakoura MC '!D29+'Fondep MC'!D29+FBPMC!D29+'AL Karama'!D29+'AMSSF MC'!D29+ARDI!D29+AIMC!D29+INMAA!D29+AMOS!D29+'ATIL MC'!D29)</f>
        <v>219368622.02674234</v>
      </c>
      <c r="F30" s="4">
        <f>SUM('Al Amana'!E29+'Zakoura MC '!E29+'Fondep MC'!E29+FBPMC!E29+'AL Karama'!E29+'AMSSF MC'!E29+ARDI!E29+AIMC!E29+INMAA!E29+AMOS!E29+'ATIL MC'!E29)</f>
        <v>298030112.65451354</v>
      </c>
      <c r="G30" s="139">
        <f>SUM('Al Amana'!F29+'Zakoura MC '!F29+'Fondep MC'!F29+FBPMC!F29+'AL Karama'!F29+'AMSSF MC'!F29+ARDI!F29+AIMC!F29+INMAA!F29+AMOS!F29+'ATIL MC'!F29)</f>
        <v>486451710.56776726</v>
      </c>
      <c r="H30" s="359">
        <f>+G30/G7</f>
        <v>0.04923487208143518</v>
      </c>
      <c r="I30" s="349">
        <f>+(G30/$I$3)/G12</f>
        <v>46.46303108483497</v>
      </c>
      <c r="J30" s="349"/>
    </row>
    <row r="31" spans="2:10" ht="21.75" customHeight="1" thickBot="1">
      <c r="B31" s="11" t="s">
        <v>7</v>
      </c>
      <c r="C31" s="4"/>
      <c r="D31" s="4"/>
      <c r="E31" s="4"/>
      <c r="F31" s="4"/>
      <c r="G31" s="139"/>
      <c r="H31" s="349"/>
      <c r="I31" s="349"/>
      <c r="J31" s="349"/>
    </row>
    <row r="32" spans="2:10" ht="21.75" customHeight="1" thickBot="1">
      <c r="B32" s="11" t="s">
        <v>114</v>
      </c>
      <c r="C32" s="4"/>
      <c r="D32" s="4"/>
      <c r="E32" s="4"/>
      <c r="F32" s="4"/>
      <c r="G32" s="139"/>
      <c r="H32" s="349"/>
      <c r="I32" s="349"/>
      <c r="J32" s="349"/>
    </row>
    <row r="33" spans="2:10" ht="21.75" customHeight="1" thickBot="1">
      <c r="B33" s="11" t="s">
        <v>115</v>
      </c>
      <c r="C33" s="4"/>
      <c r="D33" s="4"/>
      <c r="E33" s="4"/>
      <c r="F33" s="4"/>
      <c r="G33" s="139"/>
      <c r="H33" s="349"/>
      <c r="I33" s="349"/>
      <c r="J33" s="349"/>
    </row>
    <row r="34" spans="2:10" ht="21.75" customHeight="1" thickBot="1">
      <c r="B34" s="11" t="s">
        <v>113</v>
      </c>
      <c r="C34" s="367">
        <f>+C30/C7</f>
        <v>0.08336861631474768</v>
      </c>
      <c r="D34" s="367">
        <f>+D30/D7</f>
        <v>0.06564011873368356</v>
      </c>
      <c r="E34" s="367">
        <f>+E30/E7</f>
        <v>0.06220392905610375</v>
      </c>
      <c r="F34" s="367">
        <f>+F30/F7</f>
        <v>0.0547808368552309</v>
      </c>
      <c r="G34" s="394">
        <f>+G30/G7</f>
        <v>0.04923487208143518</v>
      </c>
      <c r="H34" s="349"/>
      <c r="I34" s="349"/>
      <c r="J34" s="349"/>
    </row>
    <row r="35" spans="2:10" ht="21.75" customHeight="1" thickBot="1">
      <c r="B35" s="135"/>
      <c r="C35" s="361">
        <f>+C30/C12</f>
        <v>332.13034606538463</v>
      </c>
      <c r="D35" s="361">
        <f>+D30/D12</f>
        <v>309.9079138856806</v>
      </c>
      <c r="E35" s="361">
        <f>+E30/E12</f>
        <v>368.51581791764215</v>
      </c>
      <c r="F35" s="361">
        <f>+F30/F12</f>
        <v>386.87975701020656</v>
      </c>
      <c r="G35" s="395">
        <f>+G30/G12</f>
        <v>390.2894611126137</v>
      </c>
      <c r="H35" s="349"/>
      <c r="I35" s="349"/>
      <c r="J35" s="349"/>
    </row>
    <row r="36" spans="2:10" ht="21.75" customHeight="1" thickBot="1">
      <c r="B36" s="10" t="s">
        <v>118</v>
      </c>
      <c r="C36" s="4">
        <f>AVERAGE('Al Amana'!B34,'Zakoura MC '!B34,'Fondep MC'!B34,FBPMC!B34,'AL Karama'!B34,'AMSSF MC'!B34,ARDI!B34,AIMC!B34,INMAA!B34,AMOS!B34,'ATIL MC'!B34,FMCN!B34)</f>
        <v>1895.5171376960207</v>
      </c>
      <c r="D36" s="4">
        <f>AVERAGE('Al Amana'!C34,'Zakoura MC '!C34,'Fondep MC'!C34,FBPMC!C34,'AL Karama'!C34,'AMSSF MC'!C34,ARDI!C34,AIMC!C34,INMAA!C34,AMOS!C34,'ATIL MC'!C34,FMCN!C34)</f>
        <v>2031.6911679324119</v>
      </c>
      <c r="E36" s="4">
        <f>AVERAGE('Al Amana'!D34,'Zakoura MC '!D34,'Fondep MC'!D34,FBPMC!D34,'AL Karama'!D34,'AMSSF MC'!D34,ARDI!D34,AIMC!D34,INMAA!D34,AMOS!D34,'ATIL MC'!D34,FMCN!D34)</f>
        <v>2400.248559449621</v>
      </c>
      <c r="F36" s="4">
        <f>AVERAGE('Al Amana'!E34,'Zakoura MC '!E34,'Fondep MC'!E34,FBPMC!E34,'AL Karama'!E34,'AMSSF MC'!E34,ARDI!E34,AIMC!E34,INMAA!E34,AMOS!E34,'ATIL MC'!E34,FMCN!E34)</f>
        <v>2742.4983700096946</v>
      </c>
      <c r="G36" s="139">
        <f>AVERAGE('Al Amana'!F34,'Zakoura MC '!F34,'Fondep MC'!F34,FBPMC!F34,'AL Karama'!F34,'AMSSF MC'!F34,ARDI!F34,AIMC!F34,INMAA!F34,AMOS!F34,'ATIL MC'!F34,FMCN!F34)</f>
        <v>3384.2526616193186</v>
      </c>
      <c r="H36" s="391">
        <f>+(G36/C36)^(1/(G$5-C$5))-1</f>
        <v>0.15593593751757662</v>
      </c>
      <c r="I36" s="349">
        <f>+G36/$I$3</f>
        <v>402.8872216213474</v>
      </c>
      <c r="J36" s="349"/>
    </row>
    <row r="37" spans="2:10" ht="21.75" customHeight="1" thickBot="1">
      <c r="B37" s="11" t="s">
        <v>7</v>
      </c>
      <c r="C37" s="4">
        <f>AVERAGE('Al Amana'!B35,'Zakoura MC '!B35,'Fondep MC'!B35,FBPMC!B35,'AL Karama'!B35,'AMSSF MC'!B35,ARDI!B35,AIMC!B35,INMAA!B35,AMOS!B35,'ATIL MC'!B35,FMCN!B35)</f>
        <v>1770.167046917047</v>
      </c>
      <c r="D37" s="4">
        <f>AVERAGE('Al Amana'!C35,'Zakoura MC '!C35,'Fondep MC'!C35,FBPMC!C35,'AL Karama'!C35,'AMSSF MC'!C35,ARDI!C35,AIMC!C35,INMAA!C35,AMOS!C35,'ATIL MC'!C35,FMCN!C35)</f>
        <v>1973.0316867236027</v>
      </c>
      <c r="E37" s="4">
        <f>AVERAGE('Al Amana'!D35,'Zakoura MC '!D35,'Fondep MC'!D35,FBPMC!D35,'AL Karama'!D35,'AMSSF MC'!D35,ARDI!D35,AIMC!D35,INMAA!D35,AMOS!D35,'ATIL MC'!D35,FMCN!D35)</f>
        <v>2493.880575851268</v>
      </c>
      <c r="F37" s="4">
        <f>AVERAGE('Al Amana'!E35,'Zakoura MC '!E35,'Fondep MC'!E35,FBPMC!E35,'AL Karama'!E35,'AMSSF MC'!E35,ARDI!E35,AIMC!E35,INMAA!E35,AMOS!E35,'ATIL MC'!E35,FMCN!E35)</f>
        <v>2839.8341996474483</v>
      </c>
      <c r="G37" s="139">
        <f>AVERAGE('Al Amana'!F35,'Zakoura MC '!F35,'Fondep MC'!F35,FBPMC!F35,'AL Karama'!F35,'AMSSF MC'!F35,ARDI!F35,AIMC!F35,INMAA!F35,AMOS!F35,'ATIL MC'!F35,FMCN!F35)</f>
        <v>3188.5911550105284</v>
      </c>
      <c r="H37" s="349"/>
      <c r="I37" s="349">
        <f>+G37/$I$3</f>
        <v>379.594185120301</v>
      </c>
      <c r="J37" s="349"/>
    </row>
    <row r="38" spans="2:10" ht="21.75" customHeight="1" thickBot="1">
      <c r="B38" s="11" t="s">
        <v>114</v>
      </c>
      <c r="C38" s="4">
        <f>AVERAGE('Al Amana'!B36,'Zakoura MC '!B36,'Fondep MC'!B36,FBPMC!B36,'AL Karama'!B36,'AMSSF MC'!B36,ARDI!B36,AIMC!B36,INMAA!B36,AMOS!B36,'ATIL MC'!B36,FMCN!B36)</f>
        <v>1865.7214670882568</v>
      </c>
      <c r="D38" s="4">
        <f>AVERAGE('Al Amana'!C36,'Zakoura MC '!C36,'Fondep MC'!C36,FBPMC!C36,'AL Karama'!C36,'AMSSF MC'!C36,ARDI!C36,AIMC!C36,INMAA!C36,AMOS!C36,'ATIL MC'!C36,FMCN!C36)</f>
        <v>1937.3176699069263</v>
      </c>
      <c r="E38" s="4">
        <f>AVERAGE('Al Amana'!D36,'Zakoura MC '!D36,'Fondep MC'!D36,FBPMC!D36,'AL Karama'!D36,'AMSSF MC'!D36,ARDI!D36,AIMC!D36,INMAA!D36,AMOS!D36,'ATIL MC'!D36,FMCN!D36)</f>
        <v>2145.6818801321488</v>
      </c>
      <c r="F38" s="4">
        <f>AVERAGE('Al Amana'!E36,'Zakoura MC '!E36,'Fondep MC'!E36,FBPMC!E36,'AL Karama'!E36,'AMSSF MC'!E36,ARDI!E36,AIMC!E36,INMAA!E36,AMOS!E36,'ATIL MC'!E36,FMCN!E36)</f>
        <v>2423.7023221523227</v>
      </c>
      <c r="G38" s="139">
        <f>AVERAGE('Al Amana'!F36,'Zakoura MC '!F36,'Fondep MC'!F36,FBPMC!F36,'AL Karama'!F36,'AMSSF MC'!F36,ARDI!F36,AIMC!F36,INMAA!F36,AMOS!F36,'ATIL MC'!F36,FMCN!F36)</f>
        <v>2852.2792621191147</v>
      </c>
      <c r="H38" s="349"/>
      <c r="I38" s="349">
        <f>+G38/$I$3</f>
        <v>339.5570550141803</v>
      </c>
      <c r="J38" s="349"/>
    </row>
    <row r="39" spans="2:10" ht="21.75" customHeight="1" thickBot="1">
      <c r="B39" s="501" t="s">
        <v>115</v>
      </c>
      <c r="C39" s="502"/>
      <c r="D39" s="502"/>
      <c r="E39" s="502"/>
      <c r="F39" s="502"/>
      <c r="G39" s="503"/>
      <c r="H39" s="349"/>
      <c r="I39" s="349"/>
      <c r="J39" s="349"/>
    </row>
    <row r="40" spans="2:10" ht="21.75" customHeight="1" thickBot="1">
      <c r="B40" s="504" t="s">
        <v>113</v>
      </c>
      <c r="C40" s="505">
        <f>AVERAGE('Al Amana'!B38,'Zakoura MC '!B38,'Fondep MC'!B38,FBPMC!B38,'AL Karama'!B38,'AMSSF MC'!B38,ARDI!B38,AIMC!B38,INMAA!B38,AMOS!B38,'ATIL MC'!B38,FMCN!B38)</f>
        <v>1899.3199378881986</v>
      </c>
      <c r="D40" s="506">
        <f>AVERAGE('Al Amana'!C38,'Zakoura MC '!C38,'Fondep MC'!C38,FBPMC!C38,'AL Karama'!C38,'AMSSF MC'!C38,ARDI!C38,AIMC!C38,INMAA!C38,AMOS!C38,'ATIL MC'!C38,FMCN!C38)</f>
        <v>2023.9794078457837</v>
      </c>
      <c r="E40" s="506">
        <f>AVERAGE('Al Amana'!D38,'Zakoura MC '!D38,'Fondep MC'!D38,FBPMC!D38,'AL Karama'!D38,'AMSSF MC'!D38,ARDI!D38,AIMC!D38,INMAA!D38,AMOS!D38,'ATIL MC'!D38,FMCN!D38)</f>
        <v>2306.149986038474</v>
      </c>
      <c r="F40" s="506">
        <f>AVERAGE('Al Amana'!E38,'Zakoura MC '!E38,'Fondep MC'!E38,FBPMC!E38,'AL Karama'!E38,'AMSSF MC'!E38,ARDI!E38,AIMC!E38,INMAA!E38,AMOS!E38,'ATIL MC'!E38,FMCN!E38)</f>
        <v>2920.425327916873</v>
      </c>
      <c r="G40" s="507">
        <f>AVERAGE('Al Amana'!F38,'Zakoura MC '!F38,'Fondep MC'!F38,FBPMC!F38,'AL Karama'!F38,'AMSSF MC'!F38,ARDI!F38,AIMC!F38,INMAA!F38,AMOS!F38,'ATIL MC'!F38,FMCN!F38)</f>
        <v>3915.163538305356</v>
      </c>
      <c r="H40" s="349"/>
      <c r="I40" s="349">
        <f>+G40/$I$3</f>
        <v>466.09089741730423</v>
      </c>
      <c r="J40" s="349"/>
    </row>
  </sheetData>
  <mergeCells count="2">
    <mergeCell ref="B2:G2"/>
    <mergeCell ref="B3:G3"/>
  </mergeCells>
  <conditionalFormatting sqref="B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horizontalDpi="600" verticalDpi="600" orientation="portrait" r:id="rId1"/>
  <ignoredErrors>
    <ignoredError sqref="D6:G40 C7:C40" emptyCellReference="1"/>
  </ignoredErrors>
</worksheet>
</file>

<file path=xl/worksheets/sheet6.xml><?xml version="1.0" encoding="utf-8"?>
<worksheet xmlns="http://schemas.openxmlformats.org/spreadsheetml/2006/main" xmlns:r="http://schemas.openxmlformats.org/officeDocument/2006/relationships">
  <sheetPr codeName="Sheet6"/>
  <dimension ref="A1:G46"/>
  <sheetViews>
    <sheetView workbookViewId="0" topLeftCell="A1">
      <selection activeCell="A1" sqref="A1"/>
    </sheetView>
  </sheetViews>
  <sheetFormatPr defaultColWidth="9.140625" defaultRowHeight="12.75"/>
  <cols>
    <col min="1" max="1" width="51.8515625" style="0" customWidth="1"/>
    <col min="2" max="6" width="15.7109375" style="0" customWidth="1"/>
    <col min="7" max="7" width="12.421875" style="0" bestFit="1" customWidth="1"/>
    <col min="8" max="16384" width="11.421875" style="0" customWidth="1"/>
  </cols>
  <sheetData>
    <row r="1" spans="2:6" ht="12.75">
      <c r="B1" s="3"/>
      <c r="C1" s="3"/>
      <c r="D1" s="3"/>
      <c r="E1" s="3"/>
      <c r="F1" s="3"/>
    </row>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6</v>
      </c>
      <c r="B3" s="537"/>
      <c r="C3" s="537"/>
      <c r="D3" s="537"/>
      <c r="E3" s="537"/>
      <c r="F3" s="537"/>
    </row>
    <row r="4" ht="16.5" thickBot="1">
      <c r="A4" s="1"/>
    </row>
    <row r="5" spans="1:6" ht="17.25" thickBot="1" thickTop="1">
      <c r="A5" s="131"/>
      <c r="B5" s="132">
        <v>2002</v>
      </c>
      <c r="C5" s="132">
        <v>2003</v>
      </c>
      <c r="D5" s="132">
        <v>2004</v>
      </c>
      <c r="E5" s="132">
        <v>2005</v>
      </c>
      <c r="F5" s="132">
        <v>2006</v>
      </c>
    </row>
    <row r="6" spans="1:6" ht="16.5" thickBot="1">
      <c r="A6" s="133" t="s">
        <v>112</v>
      </c>
      <c r="B6" s="134">
        <v>155002752</v>
      </c>
      <c r="C6" s="134">
        <v>247862280.56</v>
      </c>
      <c r="D6" s="134">
        <v>407399173.74</v>
      </c>
      <c r="E6" s="134">
        <v>763817174.98</v>
      </c>
      <c r="F6" s="347">
        <v>1849254825.7100003</v>
      </c>
    </row>
    <row r="7" spans="1:6" ht="27" customHeight="1">
      <c r="A7" s="178" t="s">
        <v>128</v>
      </c>
      <c r="B7" s="4">
        <v>564518880</v>
      </c>
      <c r="C7" s="4">
        <v>928570112</v>
      </c>
      <c r="D7" s="4">
        <v>1480776398</v>
      </c>
      <c r="E7" s="4">
        <v>2544252494</v>
      </c>
      <c r="F7" s="183">
        <v>4799639908</v>
      </c>
    </row>
    <row r="8" spans="1:6" ht="19.5" customHeight="1">
      <c r="A8" s="179" t="s">
        <v>7</v>
      </c>
      <c r="B8" s="343"/>
      <c r="C8" s="343"/>
      <c r="D8" s="344">
        <v>24645681.404510178</v>
      </c>
      <c r="E8" s="344">
        <v>173766599.02664492</v>
      </c>
      <c r="F8" s="345">
        <v>1063100412.8623211</v>
      </c>
    </row>
    <row r="9" spans="1:6" ht="19.5" customHeight="1">
      <c r="A9" s="179" t="s">
        <v>114</v>
      </c>
      <c r="B9" s="344">
        <v>205630727.1645079</v>
      </c>
      <c r="C9" s="344">
        <v>319267837.004509</v>
      </c>
      <c r="D9" s="344">
        <v>445400271.05961764</v>
      </c>
      <c r="E9" s="344">
        <v>612554744.5714209</v>
      </c>
      <c r="F9" s="345">
        <v>917134196.9600003</v>
      </c>
    </row>
    <row r="10" spans="1:6" ht="19.5" customHeight="1">
      <c r="A10" s="179" t="s">
        <v>115</v>
      </c>
      <c r="B10" s="50"/>
      <c r="C10" s="50"/>
      <c r="D10" s="50"/>
      <c r="E10" s="51"/>
      <c r="F10" s="346"/>
    </row>
    <row r="11" spans="1:6" ht="19.5" customHeight="1" thickBot="1">
      <c r="A11" s="179" t="s">
        <v>113</v>
      </c>
      <c r="B11" s="50">
        <v>358888152.8354921</v>
      </c>
      <c r="C11" s="50">
        <v>609302274.995491</v>
      </c>
      <c r="D11" s="50">
        <v>1010730445.5358721</v>
      </c>
      <c r="E11" s="51">
        <v>1757931150.4019341</v>
      </c>
      <c r="F11" s="346">
        <v>2819405298.1776786</v>
      </c>
    </row>
    <row r="12" spans="1:6" ht="27" customHeight="1">
      <c r="A12" s="178" t="s">
        <v>122</v>
      </c>
      <c r="B12" s="4">
        <f>SUM(B13:B16)</f>
        <v>78114</v>
      </c>
      <c r="C12" s="4">
        <f>SUM(C13:C16)</f>
        <v>101610</v>
      </c>
      <c r="D12" s="4">
        <f>SUM(D13:D16)</f>
        <v>160235</v>
      </c>
      <c r="E12" s="4">
        <f>SUM(E13:E16)</f>
        <v>249715</v>
      </c>
      <c r="F12" s="183">
        <f>SUM(F13:F16)</f>
        <v>405704</v>
      </c>
    </row>
    <row r="13" spans="1:6" ht="19.5" customHeight="1">
      <c r="A13" s="179" t="s">
        <v>7</v>
      </c>
      <c r="B13" s="201"/>
      <c r="C13" s="200"/>
      <c r="D13" s="200">
        <v>1652</v>
      </c>
      <c r="E13" s="200">
        <v>16158</v>
      </c>
      <c r="F13" s="184">
        <v>102256</v>
      </c>
    </row>
    <row r="14" spans="1:6" ht="19.5" customHeight="1">
      <c r="A14" s="179" t="s">
        <v>114</v>
      </c>
      <c r="B14" s="200">
        <v>30378</v>
      </c>
      <c r="C14" s="200">
        <v>38194</v>
      </c>
      <c r="D14" s="200">
        <v>53153</v>
      </c>
      <c r="E14" s="200">
        <v>66919</v>
      </c>
      <c r="F14" s="184">
        <v>81805</v>
      </c>
    </row>
    <row r="15" spans="1:6" ht="19.5" customHeight="1">
      <c r="A15" s="179" t="s">
        <v>115</v>
      </c>
      <c r="B15" s="6"/>
      <c r="C15" s="6"/>
      <c r="D15" s="6"/>
      <c r="E15" s="7"/>
      <c r="F15" s="185"/>
    </row>
    <row r="16" spans="1:7" ht="19.5" customHeight="1" thickBot="1">
      <c r="A16" s="180" t="s">
        <v>113</v>
      </c>
      <c r="B16" s="53">
        <v>47736</v>
      </c>
      <c r="C16" s="53">
        <v>63416</v>
      </c>
      <c r="D16" s="53">
        <v>105430</v>
      </c>
      <c r="E16" s="53">
        <v>166638</v>
      </c>
      <c r="F16" s="186">
        <v>221643</v>
      </c>
      <c r="G16" s="2"/>
    </row>
    <row r="17" spans="1:7" ht="19.5" customHeight="1">
      <c r="A17" s="181" t="s">
        <v>116</v>
      </c>
      <c r="B17" s="202">
        <v>20</v>
      </c>
      <c r="C17" s="202">
        <v>17.2171294091327</v>
      </c>
      <c r="D17" s="202">
        <v>13.4596443421531</v>
      </c>
      <c r="E17" s="202">
        <v>14.0759976583466</v>
      </c>
      <c r="F17" s="187">
        <v>11.0809300709487</v>
      </c>
      <c r="G17" s="2"/>
    </row>
    <row r="18" spans="1:7" ht="19.5" customHeight="1">
      <c r="A18" s="179" t="s">
        <v>7</v>
      </c>
      <c r="B18" s="203">
        <v>20</v>
      </c>
      <c r="C18" s="203">
        <v>17.2171294091327</v>
      </c>
      <c r="D18" s="203">
        <v>13.4596443421531</v>
      </c>
      <c r="E18" s="203">
        <v>14.0759976583466</v>
      </c>
      <c r="F18" s="188">
        <v>11.0809300709487</v>
      </c>
      <c r="G18" s="2"/>
    </row>
    <row r="19" spans="1:7" ht="19.5" customHeight="1">
      <c r="A19" s="179" t="s">
        <v>114</v>
      </c>
      <c r="B19" s="203">
        <v>20</v>
      </c>
      <c r="C19" s="203">
        <v>17.2171294091327</v>
      </c>
      <c r="D19" s="203">
        <v>13.4596443421531</v>
      </c>
      <c r="E19" s="203">
        <v>14.0759976583466</v>
      </c>
      <c r="F19" s="188">
        <v>11.0809300709487</v>
      </c>
      <c r="G19" s="2"/>
    </row>
    <row r="20" spans="1:7" ht="19.5" customHeight="1">
      <c r="A20" s="179" t="s">
        <v>115</v>
      </c>
      <c r="B20" s="6"/>
      <c r="C20" s="6"/>
      <c r="D20" s="6"/>
      <c r="E20" s="7"/>
      <c r="F20" s="185"/>
      <c r="G20" s="2"/>
    </row>
    <row r="21" spans="1:7" ht="19.5" customHeight="1" thickBot="1">
      <c r="A21" s="179" t="s">
        <v>113</v>
      </c>
      <c r="B21" s="203">
        <v>20</v>
      </c>
      <c r="C21" s="203">
        <v>17</v>
      </c>
      <c r="D21" s="203">
        <v>13</v>
      </c>
      <c r="E21" s="203">
        <v>14</v>
      </c>
      <c r="F21" s="188">
        <v>11</v>
      </c>
      <c r="G21" s="2"/>
    </row>
    <row r="22" spans="1:7" ht="19.5" customHeight="1">
      <c r="A22" s="10" t="s">
        <v>133</v>
      </c>
      <c r="B22" s="204">
        <v>8.07</v>
      </c>
      <c r="C22" s="204">
        <v>8.22</v>
      </c>
      <c r="D22" s="204">
        <v>8.36</v>
      </c>
      <c r="E22" s="205">
        <v>8.31</v>
      </c>
      <c r="F22" s="189">
        <v>12.6</v>
      </c>
      <c r="G22" s="2"/>
    </row>
    <row r="23" spans="1:7" ht="19.5" customHeight="1">
      <c r="A23" s="179" t="s">
        <v>7</v>
      </c>
      <c r="B23" s="206">
        <v>8.07</v>
      </c>
      <c r="C23" s="206">
        <v>8.22</v>
      </c>
      <c r="D23" s="204">
        <v>8.36</v>
      </c>
      <c r="E23" s="207">
        <v>8.31</v>
      </c>
      <c r="F23" s="190">
        <v>12.6</v>
      </c>
      <c r="G23" s="2"/>
    </row>
    <row r="24" spans="1:7" ht="19.5" customHeight="1">
      <c r="A24" s="179" t="s">
        <v>114</v>
      </c>
      <c r="B24" s="206">
        <v>8.07</v>
      </c>
      <c r="C24" s="206">
        <v>8.22</v>
      </c>
      <c r="D24" s="206">
        <v>8.36</v>
      </c>
      <c r="E24" s="207">
        <v>8.31</v>
      </c>
      <c r="F24" s="190">
        <v>12.6</v>
      </c>
      <c r="G24" s="2"/>
    </row>
    <row r="25" spans="1:7" ht="19.5" customHeight="1">
      <c r="A25" s="179" t="s">
        <v>115</v>
      </c>
      <c r="B25" s="5"/>
      <c r="C25" s="5"/>
      <c r="D25" s="5"/>
      <c r="E25" s="58"/>
      <c r="F25" s="191"/>
      <c r="G25" s="2"/>
    </row>
    <row r="26" spans="1:7" ht="19.5" customHeight="1" thickBot="1">
      <c r="A26" s="179" t="s">
        <v>113</v>
      </c>
      <c r="B26" s="208">
        <v>8.07</v>
      </c>
      <c r="C26" s="208">
        <v>8.22</v>
      </c>
      <c r="D26" s="208">
        <v>8.36</v>
      </c>
      <c r="E26" s="209">
        <v>8.31</v>
      </c>
      <c r="F26" s="192">
        <v>12.6</v>
      </c>
      <c r="G26" s="2"/>
    </row>
    <row r="27" spans="1:7" ht="19.5" customHeight="1" thickBot="1">
      <c r="A27" s="178" t="s">
        <v>126</v>
      </c>
      <c r="B27" s="210">
        <v>2464.237155144805</v>
      </c>
      <c r="C27" s="210">
        <v>2662.6370551380746</v>
      </c>
      <c r="D27" s="210">
        <v>2291.6028007505006</v>
      </c>
      <c r="E27" s="210">
        <v>2400.461954831495</v>
      </c>
      <c r="F27" s="193">
        <v>3806.18159500802</v>
      </c>
      <c r="G27" s="2"/>
    </row>
    <row r="28" spans="1:7" ht="19.5" customHeight="1" thickBot="1">
      <c r="A28" s="178" t="s">
        <v>127</v>
      </c>
      <c r="B28" s="15"/>
      <c r="C28" s="15"/>
      <c r="D28" s="15"/>
      <c r="E28" s="15"/>
      <c r="F28" s="194"/>
      <c r="G28" s="2"/>
    </row>
    <row r="29" spans="1:7" ht="19.5" customHeight="1">
      <c r="A29" s="178" t="s">
        <v>123</v>
      </c>
      <c r="B29" s="52">
        <f>SUM(B30:B33)</f>
        <v>34241097.101287946</v>
      </c>
      <c r="C29" s="52">
        <f>SUM(C30:C33)</f>
        <v>43565820.360364884</v>
      </c>
      <c r="D29" s="52">
        <f>SUM(D30:D33)</f>
        <v>69294343.54494166</v>
      </c>
      <c r="E29" s="52">
        <f>SUM(E30:E33)</f>
        <v>121638168.12823765</v>
      </c>
      <c r="F29" s="195">
        <f>SUM(F30:F33)</f>
        <v>217668144.90682974</v>
      </c>
      <c r="G29" s="2"/>
    </row>
    <row r="30" spans="1:7" ht="19.5" customHeight="1">
      <c r="A30" s="179" t="s">
        <v>7</v>
      </c>
      <c r="B30" s="200">
        <v>0</v>
      </c>
      <c r="C30" s="200">
        <v>0</v>
      </c>
      <c r="D30" s="200">
        <v>1153318.1615353331</v>
      </c>
      <c r="E30" s="200">
        <v>8307607.335551563</v>
      </c>
      <c r="F30" s="184">
        <v>48212594.947736226</v>
      </c>
      <c r="G30" s="2"/>
    </row>
    <row r="31" spans="1:7" ht="19.5" customHeight="1">
      <c r="A31" s="179" t="s">
        <v>114</v>
      </c>
      <c r="B31" s="200">
        <v>12472606.101287946</v>
      </c>
      <c r="C31" s="200">
        <v>14979122.360364886</v>
      </c>
      <c r="D31" s="200">
        <v>20842930.383406322</v>
      </c>
      <c r="E31" s="200">
        <v>29285629.79268609</v>
      </c>
      <c r="F31" s="184">
        <v>41592890.95909352</v>
      </c>
      <c r="G31" s="2"/>
    </row>
    <row r="32" spans="1:7" ht="19.5" customHeight="1">
      <c r="A32" s="179" t="s">
        <v>115</v>
      </c>
      <c r="B32" s="16"/>
      <c r="C32" s="16"/>
      <c r="D32" s="16"/>
      <c r="E32" s="16"/>
      <c r="F32" s="196"/>
      <c r="G32" s="2"/>
    </row>
    <row r="33" spans="1:7" ht="19.5" customHeight="1" thickBot="1">
      <c r="A33" s="179" t="s">
        <v>113</v>
      </c>
      <c r="B33" s="60">
        <v>21768491</v>
      </c>
      <c r="C33" s="60">
        <v>28586698</v>
      </c>
      <c r="D33" s="60">
        <v>47298095</v>
      </c>
      <c r="E33" s="60">
        <v>84044931</v>
      </c>
      <c r="F33" s="197">
        <v>127862659</v>
      </c>
      <c r="G33" s="2"/>
    </row>
    <row r="34" spans="1:7" ht="19.5" customHeight="1">
      <c r="A34" s="178" t="s">
        <v>118</v>
      </c>
      <c r="B34" s="211">
        <v>1984.3146170980874</v>
      </c>
      <c r="C34" s="211">
        <v>2439.349282157268</v>
      </c>
      <c r="D34" s="211">
        <v>2542.5105235435453</v>
      </c>
      <c r="E34" s="211">
        <v>3058.7556813967926</v>
      </c>
      <c r="F34" s="198">
        <v>4558.138016164495</v>
      </c>
      <c r="G34" s="2"/>
    </row>
    <row r="35" spans="1:7" ht="15.75">
      <c r="A35" s="179" t="s">
        <v>7</v>
      </c>
      <c r="B35" s="211"/>
      <c r="C35" s="211"/>
      <c r="D35" s="211">
        <v>4104.511221082385</v>
      </c>
      <c r="E35" s="211">
        <v>3228.5529115675026</v>
      </c>
      <c r="F35" s="198">
        <v>4005.655461251122</v>
      </c>
      <c r="G35" s="2"/>
    </row>
    <row r="36" spans="1:7" ht="15.75">
      <c r="A36" s="179" t="s">
        <v>114</v>
      </c>
      <c r="B36" s="211">
        <v>1858.616423463952</v>
      </c>
      <c r="C36" s="211">
        <v>2231.2887054412017</v>
      </c>
      <c r="D36" s="211">
        <v>2305.437514175742</v>
      </c>
      <c r="E36" s="211">
        <v>2748.0502922301343</v>
      </c>
      <c r="F36" s="198">
        <v>4319.576235044292</v>
      </c>
      <c r="G36" s="2"/>
    </row>
    <row r="37" spans="1:7" ht="15.75">
      <c r="A37" s="179" t="s">
        <v>115</v>
      </c>
      <c r="B37" s="16"/>
      <c r="C37" s="16"/>
      <c r="D37" s="16"/>
      <c r="E37" s="16"/>
      <c r="F37" s="196"/>
      <c r="G37" s="2"/>
    </row>
    <row r="38" spans="1:7" ht="16.5" thickBot="1">
      <c r="A38" s="182" t="s">
        <v>113</v>
      </c>
      <c r="B38" s="212">
        <v>2067</v>
      </c>
      <c r="C38" s="212">
        <v>2569</v>
      </c>
      <c r="D38" s="212">
        <v>2643</v>
      </c>
      <c r="E38" s="212">
        <v>3241</v>
      </c>
      <c r="F38" s="199">
        <v>4958</v>
      </c>
      <c r="G38" s="2"/>
    </row>
    <row r="39" spans="1:7" ht="16.5">
      <c r="A39" s="9"/>
      <c r="G39" s="3"/>
    </row>
    <row r="40" spans="1:6" ht="15.75">
      <c r="A40" s="175" t="s">
        <v>17</v>
      </c>
      <c r="B40" s="62"/>
      <c r="C40" s="62"/>
      <c r="D40" s="62"/>
      <c r="E40" s="62"/>
      <c r="F40" s="62"/>
    </row>
    <row r="41" spans="1:6" ht="15.75">
      <c r="A41" s="508"/>
      <c r="B41" s="62"/>
      <c r="C41" s="62"/>
      <c r="D41" s="62"/>
      <c r="E41" s="62"/>
      <c r="F41" s="62"/>
    </row>
    <row r="42" ht="15.75">
      <c r="A42" s="177" t="s">
        <v>134</v>
      </c>
    </row>
    <row r="43" ht="15.75">
      <c r="A43" s="509" t="s">
        <v>135</v>
      </c>
    </row>
    <row r="44" ht="15.75">
      <c r="A44" s="510" t="s">
        <v>136</v>
      </c>
    </row>
    <row r="45" ht="16.5">
      <c r="A45" s="8"/>
    </row>
    <row r="46" ht="16.5">
      <c r="A46" s="9"/>
    </row>
  </sheetData>
  <mergeCells count="2">
    <mergeCell ref="A2:F2"/>
    <mergeCell ref="A3:F3"/>
  </mergeCells>
  <conditionalFormatting sqref="A2">
    <cfRule type="cellIs" priority="1" dxfId="0" operator="equal" stopIfTrue="1">
      <formula>0</formula>
    </cfRule>
    <cfRule type="cellIs" priority="2" dxfId="1" operator="notEqual" stopIfTrue="1">
      <formula>0</formula>
    </cfRule>
  </conditionalFormatting>
  <hyperlinks>
    <hyperlink ref="A42" r:id="rId1" tooltip="http://www.mixmarket.org/en/demand/demand.show.profile.asp?token=&amp;ett=304" display="http://www.mixmarket.org/en/demand/demand.show.profile.asp?token=&amp;ett=304"/>
    <hyperlink ref="A43" r:id="rId2" display="http://www.mixmarket.org/en/demand/demand.show.profile.asp?token=&amp;ett=304#  . You will find the various audit reports and the references of listeners."/>
    <hyperlink ref="A44" r:id="rId3" tooltip="http://www.alamana.org/Al-Amana-en-chiffres/strategie1.htm" display="http://www.alamana.org/Al-Amana-en-chiffres/strategie1.htm"/>
  </hyperlinks>
  <printOptions/>
  <pageMargins left="0.36" right="0.22" top="0.24" bottom="0.42" header="0.22" footer="0.24"/>
  <pageSetup horizontalDpi="600" verticalDpi="600" orientation="landscape" paperSize="9" scale="78" r:id="rId4"/>
  <ignoredErrors>
    <ignoredError sqref="B12:F12 B29:F29" emptyCellReference="1" formulaRange="1"/>
  </ignoredErrors>
</worksheet>
</file>

<file path=xl/worksheets/sheet7.xml><?xml version="1.0" encoding="utf-8"?>
<worksheet xmlns="http://schemas.openxmlformats.org/spreadsheetml/2006/main" xmlns:r="http://schemas.openxmlformats.org/officeDocument/2006/relationships">
  <sheetPr codeName="Sheet7"/>
  <dimension ref="A2:K44"/>
  <sheetViews>
    <sheetView workbookViewId="0" topLeftCell="A1">
      <selection activeCell="A1" sqref="A1"/>
    </sheetView>
  </sheetViews>
  <sheetFormatPr defaultColWidth="9.140625" defaultRowHeight="12.75"/>
  <cols>
    <col min="1" max="1" width="54.42187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8</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136" t="s">
        <v>112</v>
      </c>
      <c r="B6" s="137">
        <v>85380000</v>
      </c>
      <c r="C6" s="137">
        <v>106919000</v>
      </c>
      <c r="D6" s="137">
        <v>205922000</v>
      </c>
      <c r="E6" s="137">
        <v>306338000</v>
      </c>
      <c r="F6" s="138">
        <v>711610000</v>
      </c>
    </row>
    <row r="7" spans="1:6" ht="21.75" customHeight="1">
      <c r="A7" s="10" t="s">
        <v>129</v>
      </c>
      <c r="B7" s="4">
        <v>211709000</v>
      </c>
      <c r="C7" s="4">
        <v>322492000</v>
      </c>
      <c r="D7" s="4">
        <v>592914320</v>
      </c>
      <c r="E7" s="4">
        <v>682724873</v>
      </c>
      <c r="F7" s="139">
        <v>1347784704</v>
      </c>
    </row>
    <row r="8" spans="1:6" ht="21.75" customHeight="1">
      <c r="A8" s="11" t="s">
        <v>7</v>
      </c>
      <c r="B8" s="50">
        <v>16936720</v>
      </c>
      <c r="C8" s="50">
        <v>25799360</v>
      </c>
      <c r="D8" s="50">
        <v>47433145.6</v>
      </c>
      <c r="E8" s="50">
        <v>54617989.84</v>
      </c>
      <c r="F8" s="140">
        <v>107822776.32</v>
      </c>
    </row>
    <row r="9" spans="1:6" ht="21.75" customHeight="1">
      <c r="A9" s="11" t="s">
        <v>114</v>
      </c>
      <c r="B9" s="50">
        <v>23287990</v>
      </c>
      <c r="C9" s="50">
        <v>35474120</v>
      </c>
      <c r="D9" s="50">
        <v>65220575.2</v>
      </c>
      <c r="E9" s="50">
        <v>75099736.03</v>
      </c>
      <c r="F9" s="140">
        <v>148256317.44</v>
      </c>
    </row>
    <row r="10" spans="1:6" ht="21.75" customHeight="1">
      <c r="A10" s="11" t="s">
        <v>115</v>
      </c>
      <c r="B10" s="50"/>
      <c r="C10" s="50"/>
      <c r="D10" s="50"/>
      <c r="E10" s="51"/>
      <c r="F10" s="140"/>
    </row>
    <row r="11" spans="1:6" ht="21.75" customHeight="1" thickBot="1">
      <c r="A11" s="11" t="s">
        <v>113</v>
      </c>
      <c r="B11" s="50">
        <v>171484290</v>
      </c>
      <c r="C11" s="50">
        <v>261218519.99999997</v>
      </c>
      <c r="D11" s="50">
        <v>480260599.2</v>
      </c>
      <c r="E11" s="50">
        <v>553007147.13</v>
      </c>
      <c r="F11" s="140">
        <v>1091705610.24</v>
      </c>
    </row>
    <row r="12" spans="1:7" ht="21.75" customHeight="1">
      <c r="A12" s="10" t="s">
        <v>122</v>
      </c>
      <c r="B12" s="4">
        <v>163977</v>
      </c>
      <c r="C12" s="4">
        <v>244016</v>
      </c>
      <c r="D12" s="4">
        <v>303106</v>
      </c>
      <c r="E12" s="4">
        <v>332799</v>
      </c>
      <c r="F12" s="139">
        <v>554241</v>
      </c>
      <c r="G12" s="61"/>
    </row>
    <row r="13" spans="1:6" ht="21.75" customHeight="1">
      <c r="A13" s="11" t="s">
        <v>7</v>
      </c>
      <c r="B13" s="50">
        <v>13118.16</v>
      </c>
      <c r="C13" s="50">
        <v>19521.28</v>
      </c>
      <c r="D13" s="50">
        <v>24248.48</v>
      </c>
      <c r="E13" s="50">
        <v>26623.92</v>
      </c>
      <c r="F13" s="140">
        <v>44339.28</v>
      </c>
    </row>
    <row r="14" spans="1:6" ht="21.75" customHeight="1">
      <c r="A14" s="11" t="s">
        <v>114</v>
      </c>
      <c r="B14" s="50">
        <v>18037.47</v>
      </c>
      <c r="C14" s="50">
        <v>26841.76</v>
      </c>
      <c r="D14" s="50">
        <v>33341.66</v>
      </c>
      <c r="E14" s="50">
        <v>36607.89</v>
      </c>
      <c r="F14" s="140">
        <v>60966.51</v>
      </c>
    </row>
    <row r="15" spans="1:6" ht="21.75" customHeight="1">
      <c r="A15" s="11" t="s">
        <v>115</v>
      </c>
      <c r="B15" s="50"/>
      <c r="C15" s="50"/>
      <c r="D15" s="50"/>
      <c r="E15" s="50"/>
      <c r="F15" s="140"/>
    </row>
    <row r="16" spans="1:6" ht="21.75" customHeight="1" thickBot="1">
      <c r="A16" s="11" t="s">
        <v>113</v>
      </c>
      <c r="B16" s="50">
        <v>132821.37</v>
      </c>
      <c r="C16" s="50">
        <v>197652.96</v>
      </c>
      <c r="D16" s="50">
        <v>245515.86</v>
      </c>
      <c r="E16" s="50">
        <v>269567.19</v>
      </c>
      <c r="F16" s="140">
        <v>448935.21</v>
      </c>
    </row>
    <row r="17" spans="1:6" ht="21.75" customHeight="1" thickBot="1">
      <c r="A17" s="10" t="s">
        <v>116</v>
      </c>
      <c r="B17" s="4">
        <v>22</v>
      </c>
      <c r="C17" s="4">
        <v>18</v>
      </c>
      <c r="D17" s="4">
        <v>16</v>
      </c>
      <c r="E17" s="4">
        <v>15</v>
      </c>
      <c r="F17" s="139">
        <v>13</v>
      </c>
    </row>
    <row r="18" spans="1:6" ht="21.75" customHeight="1" thickBot="1">
      <c r="A18" s="11" t="s">
        <v>7</v>
      </c>
      <c r="B18" s="4">
        <v>22</v>
      </c>
      <c r="C18" s="4">
        <v>18</v>
      </c>
      <c r="D18" s="4">
        <v>16</v>
      </c>
      <c r="E18" s="4">
        <v>15</v>
      </c>
      <c r="F18" s="139">
        <v>13</v>
      </c>
    </row>
    <row r="19" spans="1:6" ht="21.75" customHeight="1" thickBot="1">
      <c r="A19" s="11" t="s">
        <v>114</v>
      </c>
      <c r="B19" s="4">
        <v>22</v>
      </c>
      <c r="C19" s="4">
        <v>18</v>
      </c>
      <c r="D19" s="4">
        <v>16</v>
      </c>
      <c r="E19" s="4">
        <v>15</v>
      </c>
      <c r="F19" s="139">
        <v>13</v>
      </c>
    </row>
    <row r="20" spans="1:6" ht="21.75" customHeight="1" thickBot="1">
      <c r="A20" s="11" t="s">
        <v>115</v>
      </c>
      <c r="B20" s="4"/>
      <c r="C20" s="4"/>
      <c r="D20" s="4"/>
      <c r="E20" s="4"/>
      <c r="F20" s="139"/>
    </row>
    <row r="21" spans="1:6" ht="21.75" customHeight="1" thickBot="1">
      <c r="A21" s="11" t="s">
        <v>113</v>
      </c>
      <c r="B21" s="4">
        <v>22</v>
      </c>
      <c r="C21" s="4">
        <v>18</v>
      </c>
      <c r="D21" s="4">
        <v>16</v>
      </c>
      <c r="E21" s="4">
        <v>15</v>
      </c>
      <c r="F21" s="139">
        <v>13</v>
      </c>
    </row>
    <row r="22" spans="1:6" ht="21.75" customHeight="1">
      <c r="A22" s="10" t="s">
        <v>133</v>
      </c>
      <c r="B22" s="56">
        <v>8.01</v>
      </c>
      <c r="C22" s="56">
        <v>8.19</v>
      </c>
      <c r="D22" s="56">
        <v>8.25</v>
      </c>
      <c r="E22" s="57">
        <v>8.29</v>
      </c>
      <c r="F22" s="141">
        <v>11.5</v>
      </c>
    </row>
    <row r="23" spans="1:6" ht="21.75" customHeight="1">
      <c r="A23" s="11" t="s">
        <v>7</v>
      </c>
      <c r="B23" s="56">
        <v>8.01</v>
      </c>
      <c r="C23" s="56">
        <v>8.19</v>
      </c>
      <c r="D23" s="56">
        <v>8.25</v>
      </c>
      <c r="E23" s="57">
        <v>8.29</v>
      </c>
      <c r="F23" s="141">
        <v>11.5</v>
      </c>
    </row>
    <row r="24" spans="1:6" ht="21.75" customHeight="1">
      <c r="A24" s="11" t="s">
        <v>114</v>
      </c>
      <c r="B24" s="56">
        <v>8.01</v>
      </c>
      <c r="C24" s="56">
        <v>8.19</v>
      </c>
      <c r="D24" s="56">
        <v>8.25</v>
      </c>
      <c r="E24" s="57">
        <v>8.29</v>
      </c>
      <c r="F24" s="141">
        <v>11.5</v>
      </c>
    </row>
    <row r="25" spans="1:6" ht="21.75" customHeight="1">
      <c r="A25" s="11" t="s">
        <v>115</v>
      </c>
      <c r="B25" s="56"/>
      <c r="C25" s="56"/>
      <c r="D25" s="56"/>
      <c r="E25" s="57"/>
      <c r="F25" s="141"/>
    </row>
    <row r="26" spans="1:6" ht="21.75" customHeight="1" thickBot="1">
      <c r="A26" s="11" t="s">
        <v>113</v>
      </c>
      <c r="B26" s="56">
        <v>8.01</v>
      </c>
      <c r="C26" s="56">
        <v>8.19</v>
      </c>
      <c r="D26" s="56">
        <v>8.25</v>
      </c>
      <c r="E26" s="57">
        <v>8.29</v>
      </c>
      <c r="F26" s="141">
        <v>11.5</v>
      </c>
    </row>
    <row r="27" spans="1:6" ht="21.75" customHeight="1" thickBot="1">
      <c r="A27" s="10" t="s">
        <v>126</v>
      </c>
      <c r="B27" s="59"/>
      <c r="C27" s="59"/>
      <c r="D27" s="59"/>
      <c r="E27" s="59"/>
      <c r="F27" s="142"/>
    </row>
    <row r="28" spans="1:6" ht="21.75" customHeight="1" thickBot="1">
      <c r="A28" s="10" t="s">
        <v>127</v>
      </c>
      <c r="B28" s="15"/>
      <c r="C28" s="15"/>
      <c r="D28" s="15"/>
      <c r="E28" s="15"/>
      <c r="F28" s="143"/>
    </row>
    <row r="29" spans="1:6" ht="21.75" customHeight="1">
      <c r="A29" s="10" t="s">
        <v>117</v>
      </c>
      <c r="B29" s="16">
        <v>46767869.25490381</v>
      </c>
      <c r="C29" s="16">
        <v>56683205.259883694</v>
      </c>
      <c r="D29" s="16">
        <v>100848531.93689826</v>
      </c>
      <c r="E29" s="16">
        <v>108724188.92424713</v>
      </c>
      <c r="F29" s="144">
        <v>158642168.81734774</v>
      </c>
    </row>
    <row r="30" spans="1:6" ht="21.75" customHeight="1">
      <c r="A30" s="11" t="s">
        <v>7</v>
      </c>
      <c r="B30" s="6"/>
      <c r="C30" s="6"/>
      <c r="D30" s="6"/>
      <c r="E30" s="7"/>
      <c r="F30" s="145"/>
    </row>
    <row r="31" spans="1:6" ht="21.75" customHeight="1">
      <c r="A31" s="11" t="s">
        <v>114</v>
      </c>
      <c r="B31" s="6"/>
      <c r="C31" s="6"/>
      <c r="D31" s="6"/>
      <c r="E31" s="7"/>
      <c r="F31" s="145"/>
    </row>
    <row r="32" spans="1:6" ht="21.75" customHeight="1">
      <c r="A32" s="11" t="s">
        <v>115</v>
      </c>
      <c r="B32" s="16"/>
      <c r="C32" s="16"/>
      <c r="D32" s="16"/>
      <c r="E32" s="16"/>
      <c r="F32" s="144"/>
    </row>
    <row r="33" spans="1:6" ht="21.75" customHeight="1" thickBot="1">
      <c r="A33" s="11" t="s">
        <v>113</v>
      </c>
      <c r="B33" s="17"/>
      <c r="C33" s="17"/>
      <c r="D33" s="17"/>
      <c r="E33" s="17"/>
      <c r="F33" s="146"/>
    </row>
    <row r="34" spans="1:6" ht="21.75" customHeight="1">
      <c r="A34" s="10" t="s">
        <v>118</v>
      </c>
      <c r="B34" s="12">
        <v>1291</v>
      </c>
      <c r="C34" s="12">
        <v>1322</v>
      </c>
      <c r="D34" s="12">
        <v>1956</v>
      </c>
      <c r="E34" s="13">
        <v>2051</v>
      </c>
      <c r="F34" s="147">
        <v>2432</v>
      </c>
    </row>
    <row r="35" spans="1:6" ht="21.75" customHeight="1">
      <c r="A35" s="11" t="s">
        <v>7</v>
      </c>
      <c r="B35" s="6"/>
      <c r="C35" s="6"/>
      <c r="D35" s="6"/>
      <c r="E35" s="7"/>
      <c r="F35" s="145"/>
    </row>
    <row r="36" spans="1:6" ht="21.75" customHeight="1">
      <c r="A36" s="11" t="s">
        <v>114</v>
      </c>
      <c r="B36" s="6"/>
      <c r="C36" s="6"/>
      <c r="D36" s="6"/>
      <c r="E36" s="7"/>
      <c r="F36" s="145"/>
    </row>
    <row r="37" spans="1:6" ht="21.75" customHeight="1">
      <c r="A37" s="11" t="s">
        <v>115</v>
      </c>
      <c r="B37" s="16"/>
      <c r="C37" s="16"/>
      <c r="D37" s="16"/>
      <c r="E37" s="16"/>
      <c r="F37" s="144"/>
    </row>
    <row r="38" spans="1:6" ht="21.75" customHeight="1" thickBot="1">
      <c r="A38" s="18" t="s">
        <v>113</v>
      </c>
      <c r="B38" s="19"/>
      <c r="C38" s="19"/>
      <c r="D38" s="19"/>
      <c r="E38" s="19"/>
      <c r="F38" s="148"/>
    </row>
    <row r="39" ht="17.25" thickTop="1">
      <c r="A39" s="9"/>
    </row>
    <row r="40" ht="15.75">
      <c r="A40" s="175" t="s">
        <v>17</v>
      </c>
    </row>
    <row r="42" spans="1:11" ht="12.75">
      <c r="A42" s="511" t="s">
        <v>137</v>
      </c>
      <c r="B42" s="176"/>
      <c r="C42" s="176"/>
      <c r="D42" s="176"/>
      <c r="E42" s="176"/>
      <c r="F42" s="176"/>
      <c r="G42" s="176"/>
      <c r="H42" s="176"/>
      <c r="I42" s="176"/>
      <c r="J42" s="176"/>
      <c r="K42" s="176"/>
    </row>
    <row r="43" spans="1:11" ht="12.75">
      <c r="A43" s="511" t="s">
        <v>138</v>
      </c>
      <c r="B43" s="176"/>
      <c r="C43" s="176"/>
      <c r="D43" s="176"/>
      <c r="E43" s="176"/>
      <c r="F43" s="176"/>
      <c r="G43" s="176"/>
      <c r="H43" s="176"/>
      <c r="I43" s="176"/>
      <c r="J43" s="176"/>
      <c r="K43" s="176"/>
    </row>
    <row r="44" ht="12.75">
      <c r="A44" s="511" t="s">
        <v>139</v>
      </c>
    </row>
  </sheetData>
  <mergeCells count="2">
    <mergeCell ref="A2:F2"/>
    <mergeCell ref="A3:F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2:F46"/>
  <sheetViews>
    <sheetView workbookViewId="0" topLeftCell="A1">
      <selection activeCell="A1" sqref="A1"/>
    </sheetView>
  </sheetViews>
  <sheetFormatPr defaultColWidth="9.140625" defaultRowHeight="12.75"/>
  <cols>
    <col min="1" max="1" width="58.8515625" style="0" customWidth="1"/>
    <col min="2" max="6" width="15.7109375" style="0" customWidth="1"/>
    <col min="7" max="16384" width="11.421875" style="0" customWidth="1"/>
  </cols>
  <sheetData>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9</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213" t="s">
        <v>112</v>
      </c>
      <c r="B6" s="217">
        <v>10250234</v>
      </c>
      <c r="C6" s="218">
        <v>13040454</v>
      </c>
      <c r="D6" s="218">
        <v>31476814</v>
      </c>
      <c r="E6" s="218">
        <v>100664901</v>
      </c>
      <c r="F6" s="219">
        <v>226018291</v>
      </c>
    </row>
    <row r="7" spans="1:6" ht="21.75" customHeight="1">
      <c r="A7" s="214" t="s">
        <v>120</v>
      </c>
      <c r="B7" s="220">
        <f>B8+B9+B11</f>
        <v>27912320</v>
      </c>
      <c r="C7" s="105">
        <f>C8+C9+C11</f>
        <v>36465330</v>
      </c>
      <c r="D7" s="105">
        <f>D8+D9+D11</f>
        <v>60444367.8</v>
      </c>
      <c r="E7" s="105">
        <f>E8+E9+E11</f>
        <v>115689782.89</v>
      </c>
      <c r="F7" s="221">
        <f>F8+F9+F11</f>
        <v>422464863.15</v>
      </c>
    </row>
    <row r="8" spans="1:6" ht="21.75" customHeight="1">
      <c r="A8" s="215" t="s">
        <v>7</v>
      </c>
      <c r="B8" s="222">
        <v>5024218</v>
      </c>
      <c r="C8" s="106">
        <v>4740493</v>
      </c>
      <c r="D8" s="106">
        <v>6490936.7</v>
      </c>
      <c r="E8" s="106">
        <f>16820860+11787.29</f>
        <v>16832647.29</v>
      </c>
      <c r="F8" s="107">
        <f>50345968.6+6632.65</f>
        <v>50352601.25</v>
      </c>
    </row>
    <row r="9" spans="1:6" ht="21.75" customHeight="1">
      <c r="A9" s="215" t="s">
        <v>114</v>
      </c>
      <c r="B9" s="222">
        <v>12002298</v>
      </c>
      <c r="C9" s="106">
        <v>17138705</v>
      </c>
      <c r="D9" s="106">
        <v>20615407.9</v>
      </c>
      <c r="E9" s="108">
        <v>51258065.9</v>
      </c>
      <c r="F9" s="107">
        <v>109901248</v>
      </c>
    </row>
    <row r="10" spans="1:6" ht="21.75" customHeight="1">
      <c r="A10" s="215" t="s">
        <v>115</v>
      </c>
      <c r="B10" s="222"/>
      <c r="C10" s="106"/>
      <c r="D10" s="106"/>
      <c r="E10" s="108"/>
      <c r="F10" s="107"/>
    </row>
    <row r="11" spans="1:6" ht="21.75" customHeight="1" thickBot="1">
      <c r="A11" s="215" t="s">
        <v>113</v>
      </c>
      <c r="B11" s="222">
        <v>10885804</v>
      </c>
      <c r="C11" s="106">
        <v>14586132</v>
      </c>
      <c r="D11" s="106">
        <f>23089479+10248544.2</f>
        <v>33338023.2</v>
      </c>
      <c r="E11" s="108">
        <v>47599069.7</v>
      </c>
      <c r="F11" s="107">
        <f>69570713.9+192640300</f>
        <v>262211013.9</v>
      </c>
    </row>
    <row r="12" spans="1:6" ht="21.75" customHeight="1">
      <c r="A12" s="214" t="s">
        <v>122</v>
      </c>
      <c r="B12" s="220">
        <v>21149</v>
      </c>
      <c r="C12" s="105">
        <f>C13+C14+C16</f>
        <v>24837</v>
      </c>
      <c r="D12" s="105">
        <f>D13+D14+D16</f>
        <v>27685</v>
      </c>
      <c r="E12" s="105">
        <f>E13+E14+E16</f>
        <v>53818</v>
      </c>
      <c r="F12" s="221">
        <f>F13+F14+F16</f>
        <v>91579</v>
      </c>
    </row>
    <row r="13" spans="1:6" ht="21.75" customHeight="1">
      <c r="A13" s="215" t="s">
        <v>7</v>
      </c>
      <c r="B13" s="222">
        <v>2849</v>
      </c>
      <c r="C13" s="106">
        <v>2944</v>
      </c>
      <c r="D13" s="106">
        <v>3181</v>
      </c>
      <c r="E13" s="106">
        <v>5032</v>
      </c>
      <c r="F13" s="107">
        <v>10318</v>
      </c>
    </row>
    <row r="14" spans="1:6" ht="21.75" customHeight="1">
      <c r="A14" s="215" t="s">
        <v>114</v>
      </c>
      <c r="B14" s="222">
        <v>9100</v>
      </c>
      <c r="C14" s="106">
        <v>9051</v>
      </c>
      <c r="D14" s="106">
        <v>9781</v>
      </c>
      <c r="E14" s="106">
        <v>17113</v>
      </c>
      <c r="F14" s="107">
        <v>26099</v>
      </c>
    </row>
    <row r="15" spans="1:6" ht="21.75" customHeight="1">
      <c r="A15" s="215" t="s">
        <v>115</v>
      </c>
      <c r="B15" s="222"/>
      <c r="C15" s="106"/>
      <c r="D15" s="106"/>
      <c r="E15" s="106"/>
      <c r="F15" s="107"/>
    </row>
    <row r="16" spans="1:6" ht="21.75" customHeight="1" thickBot="1">
      <c r="A16" s="215" t="s">
        <v>113</v>
      </c>
      <c r="B16" s="222">
        <v>9200</v>
      </c>
      <c r="C16" s="106">
        <v>12842</v>
      </c>
      <c r="D16" s="106">
        <f>10275+4448</f>
        <v>14723</v>
      </c>
      <c r="E16" s="106">
        <f>17585+14088</f>
        <v>31673</v>
      </c>
      <c r="F16" s="107">
        <f>12971+42191</f>
        <v>55162</v>
      </c>
    </row>
    <row r="17" spans="1:6" ht="21.75" customHeight="1">
      <c r="A17" s="214" t="s">
        <v>116</v>
      </c>
      <c r="B17" s="223">
        <v>30</v>
      </c>
      <c r="C17" s="109">
        <v>30</v>
      </c>
      <c r="D17" s="109">
        <v>30</v>
      </c>
      <c r="E17" s="109">
        <v>27</v>
      </c>
      <c r="F17" s="110">
        <v>18</v>
      </c>
    </row>
    <row r="18" spans="1:6" ht="21.75" customHeight="1">
      <c r="A18" s="215" t="s">
        <v>7</v>
      </c>
      <c r="B18" s="224">
        <v>30</v>
      </c>
      <c r="C18" s="111">
        <v>30</v>
      </c>
      <c r="D18" s="111">
        <v>30</v>
      </c>
      <c r="E18" s="111">
        <v>26</v>
      </c>
      <c r="F18" s="112">
        <v>18</v>
      </c>
    </row>
    <row r="19" spans="1:6" ht="21.75" customHeight="1">
      <c r="A19" s="215" t="s">
        <v>114</v>
      </c>
      <c r="B19" s="224">
        <v>30</v>
      </c>
      <c r="C19" s="111">
        <v>30</v>
      </c>
      <c r="D19" s="111">
        <v>30</v>
      </c>
      <c r="E19" s="113">
        <v>26</v>
      </c>
      <c r="F19" s="114">
        <v>18</v>
      </c>
    </row>
    <row r="20" spans="1:6" ht="21.75" customHeight="1">
      <c r="A20" s="215" t="s">
        <v>115</v>
      </c>
      <c r="B20" s="224"/>
      <c r="C20" s="111"/>
      <c r="D20" s="111"/>
      <c r="E20" s="113"/>
      <c r="F20" s="114"/>
    </row>
    <row r="21" spans="1:6" ht="21.75" customHeight="1" thickBot="1">
      <c r="A21" s="215" t="s">
        <v>113</v>
      </c>
      <c r="B21" s="225">
        <v>30</v>
      </c>
      <c r="C21" s="115">
        <v>30</v>
      </c>
      <c r="D21" s="115">
        <v>30</v>
      </c>
      <c r="E21" s="116">
        <v>30</v>
      </c>
      <c r="F21" s="117">
        <v>18</v>
      </c>
    </row>
    <row r="22" spans="1:6" ht="21.75" customHeight="1">
      <c r="A22" s="10" t="s">
        <v>133</v>
      </c>
      <c r="B22" s="118">
        <v>6</v>
      </c>
      <c r="C22" s="119">
        <v>6</v>
      </c>
      <c r="D22" s="119">
        <v>6</v>
      </c>
      <c r="E22" s="119">
        <v>9</v>
      </c>
      <c r="F22" s="120">
        <v>9</v>
      </c>
    </row>
    <row r="23" spans="1:6" ht="21.75" customHeight="1">
      <c r="A23" s="215" t="s">
        <v>7</v>
      </c>
      <c r="B23" s="121">
        <v>6</v>
      </c>
      <c r="C23" s="122">
        <v>6</v>
      </c>
      <c r="D23" s="122">
        <v>12</v>
      </c>
      <c r="E23" s="122">
        <v>12</v>
      </c>
      <c r="F23" s="123">
        <v>12</v>
      </c>
    </row>
    <row r="24" spans="1:6" ht="21.75" customHeight="1">
      <c r="A24" s="215" t="s">
        <v>114</v>
      </c>
      <c r="B24" s="121">
        <v>6</v>
      </c>
      <c r="C24" s="122">
        <v>6</v>
      </c>
      <c r="D24" s="122">
        <v>6</v>
      </c>
      <c r="E24" s="122">
        <v>9</v>
      </c>
      <c r="F24" s="123">
        <v>9</v>
      </c>
    </row>
    <row r="25" spans="1:6" ht="21.75" customHeight="1">
      <c r="A25" s="215" t="s">
        <v>115</v>
      </c>
      <c r="B25" s="124"/>
      <c r="C25" s="94"/>
      <c r="D25" s="94"/>
      <c r="E25" s="94"/>
      <c r="F25" s="96"/>
    </row>
    <row r="26" spans="1:6" ht="21.75" customHeight="1" thickBot="1">
      <c r="A26" s="215" t="s">
        <v>113</v>
      </c>
      <c r="B26" s="125">
        <v>6</v>
      </c>
      <c r="C26" s="99">
        <v>6</v>
      </c>
      <c r="D26" s="99">
        <v>6</v>
      </c>
      <c r="E26" s="99">
        <v>8</v>
      </c>
      <c r="F26" s="100">
        <v>9</v>
      </c>
    </row>
    <row r="27" spans="1:6" ht="21.75" customHeight="1" thickBot="1">
      <c r="A27" s="214" t="s">
        <v>126</v>
      </c>
      <c r="B27" s="226"/>
      <c r="C27" s="126"/>
      <c r="D27" s="126"/>
      <c r="E27" s="126"/>
      <c r="F27" s="127"/>
    </row>
    <row r="28" spans="1:6" ht="21.75" customHeight="1" thickBot="1">
      <c r="A28" s="214" t="s">
        <v>127</v>
      </c>
      <c r="B28" s="227"/>
      <c r="C28" s="128"/>
      <c r="D28" s="128"/>
      <c r="E28" s="128"/>
      <c r="F28" s="129"/>
    </row>
    <row r="29" spans="1:6" ht="21.75" customHeight="1">
      <c r="A29" s="214" t="s">
        <v>117</v>
      </c>
      <c r="B29" s="228">
        <v>982960.2611199999</v>
      </c>
      <c r="C29" s="97">
        <v>1181886.2118084228</v>
      </c>
      <c r="D29" s="97">
        <v>1795358.2572003463</v>
      </c>
      <c r="E29" s="97">
        <v>3131624.523379991</v>
      </c>
      <c r="F29" s="98">
        <v>16971046.654718086</v>
      </c>
    </row>
    <row r="30" spans="1:6" ht="21.75" customHeight="1">
      <c r="A30" s="215" t="s">
        <v>7</v>
      </c>
      <c r="B30" s="124"/>
      <c r="C30" s="94"/>
      <c r="D30" s="94"/>
      <c r="E30" s="95"/>
      <c r="F30" s="96"/>
    </row>
    <row r="31" spans="1:6" ht="21.75" customHeight="1">
      <c r="A31" s="215" t="s">
        <v>114</v>
      </c>
      <c r="B31" s="124"/>
      <c r="C31" s="94"/>
      <c r="D31" s="94"/>
      <c r="E31" s="95"/>
      <c r="F31" s="96"/>
    </row>
    <row r="32" spans="1:6" ht="21.75" customHeight="1">
      <c r="A32" s="215" t="s">
        <v>115</v>
      </c>
      <c r="B32" s="228"/>
      <c r="C32" s="97"/>
      <c r="D32" s="97"/>
      <c r="E32" s="97"/>
      <c r="F32" s="98"/>
    </row>
    <row r="33" spans="1:6" ht="21.75" customHeight="1" thickBot="1">
      <c r="A33" s="215" t="s">
        <v>113</v>
      </c>
      <c r="B33" s="125"/>
      <c r="C33" s="99"/>
      <c r="D33" s="99"/>
      <c r="E33" s="99"/>
      <c r="F33" s="100"/>
    </row>
    <row r="34" spans="1:6" ht="21.75" customHeight="1">
      <c r="A34" s="214" t="s">
        <v>118</v>
      </c>
      <c r="B34" s="229">
        <v>1250</v>
      </c>
      <c r="C34" s="101">
        <v>1500</v>
      </c>
      <c r="D34" s="101">
        <v>2100</v>
      </c>
      <c r="E34" s="102">
        <v>2800</v>
      </c>
      <c r="F34" s="103">
        <v>4500</v>
      </c>
    </row>
    <row r="35" spans="1:6" ht="21.75" customHeight="1">
      <c r="A35" s="215" t="s">
        <v>7</v>
      </c>
      <c r="B35" s="222">
        <f aca="true" t="shared" si="0" ref="B35:F36">B8/B13</f>
        <v>1763.5022815022814</v>
      </c>
      <c r="C35" s="106">
        <f t="shared" si="0"/>
        <v>1610.2218070652175</v>
      </c>
      <c r="D35" s="106">
        <f t="shared" si="0"/>
        <v>2040.5333857277585</v>
      </c>
      <c r="E35" s="106">
        <f t="shared" si="0"/>
        <v>3345.1206856120825</v>
      </c>
      <c r="F35" s="107">
        <f t="shared" si="0"/>
        <v>4880.073778833107</v>
      </c>
    </row>
    <row r="36" spans="1:6" ht="21.75" customHeight="1">
      <c r="A36" s="215" t="s">
        <v>114</v>
      </c>
      <c r="B36" s="222">
        <f t="shared" si="0"/>
        <v>1318.9338461538462</v>
      </c>
      <c r="C36" s="106">
        <f t="shared" si="0"/>
        <v>1893.5703237211358</v>
      </c>
      <c r="D36" s="106">
        <f t="shared" si="0"/>
        <v>2107.6994070135975</v>
      </c>
      <c r="E36" s="106">
        <f t="shared" si="0"/>
        <v>2995.27060714077</v>
      </c>
      <c r="F36" s="107">
        <f t="shared" si="0"/>
        <v>4210.9371240277405</v>
      </c>
    </row>
    <row r="37" spans="1:6" ht="21.75" customHeight="1">
      <c r="A37" s="215" t="s">
        <v>115</v>
      </c>
      <c r="B37" s="228"/>
      <c r="C37" s="97"/>
      <c r="D37" s="97"/>
      <c r="E37" s="97"/>
      <c r="F37" s="98"/>
    </row>
    <row r="38" spans="1:6" ht="21.75" customHeight="1" thickBot="1">
      <c r="A38" s="216" t="s">
        <v>113</v>
      </c>
      <c r="B38" s="230">
        <f>B11/B16</f>
        <v>1183.2395652173914</v>
      </c>
      <c r="C38" s="130">
        <f>C11/C16</f>
        <v>1135.8146706120542</v>
      </c>
      <c r="D38" s="130">
        <f>D11/D16</f>
        <v>2264.349874346261</v>
      </c>
      <c r="E38" s="130">
        <f>E11/E16</f>
        <v>1502.827951251855</v>
      </c>
      <c r="F38" s="231">
        <f>F11/F16</f>
        <v>4753.471844748196</v>
      </c>
    </row>
    <row r="39" ht="17.25" thickTop="1">
      <c r="A39" s="9"/>
    </row>
    <row r="41" ht="15.75">
      <c r="A41" s="175" t="s">
        <v>17</v>
      </c>
    </row>
    <row r="42" spans="1:2" ht="15.75">
      <c r="A42" s="177" t="s">
        <v>140</v>
      </c>
      <c r="B42" s="72"/>
    </row>
    <row r="43" ht="15.75">
      <c r="A43" s="177" t="s">
        <v>141</v>
      </c>
    </row>
    <row r="44" ht="15.75">
      <c r="A44" s="177"/>
    </row>
    <row r="45" ht="15.75">
      <c r="A45" s="177"/>
    </row>
    <row r="46" ht="15.75">
      <c r="A46" s="177"/>
    </row>
  </sheetData>
  <mergeCells count="2">
    <mergeCell ref="A2:F2"/>
    <mergeCell ref="A3:F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F42"/>
  <sheetViews>
    <sheetView workbookViewId="0" topLeftCell="A1">
      <selection activeCell="A1" sqref="A1"/>
    </sheetView>
  </sheetViews>
  <sheetFormatPr defaultColWidth="9.140625" defaultRowHeight="12.75"/>
  <cols>
    <col min="1" max="1" width="51.57421875" style="0" customWidth="1"/>
    <col min="2" max="3" width="15.7109375" style="0" customWidth="1"/>
    <col min="4" max="4" width="17.140625" style="0" customWidth="1"/>
    <col min="5" max="5" width="16.7109375" style="0" customWidth="1"/>
    <col min="6" max="6" width="17.57421875" style="0" customWidth="1"/>
    <col min="7" max="16384" width="11.421875" style="0" customWidth="1"/>
  </cols>
  <sheetData>
    <row r="1" spans="2:6" ht="12.75">
      <c r="B1" s="61"/>
      <c r="C1" s="61"/>
      <c r="D1" s="61"/>
      <c r="E1" s="61"/>
      <c r="F1" s="61"/>
    </row>
    <row r="2" spans="1:6" ht="12.75">
      <c r="A2" s="535">
        <f>IF('ERR &amp; Sensitivity Analysis'!$I$10="N","Note: Current calculations are based on user input and are not the original MCC estimates.",IF('ERR &amp; Sensitivity Analysis'!$I$11="N","Note: Current calculations are based on user input and are not the original MCC estimates.",0))</f>
        <v>0</v>
      </c>
      <c r="B2" s="535"/>
      <c r="C2" s="535"/>
      <c r="D2" s="535"/>
      <c r="E2" s="535"/>
      <c r="F2" s="535"/>
    </row>
    <row r="3" spans="1:6" ht="15.75">
      <c r="A3" s="536" t="s">
        <v>10</v>
      </c>
      <c r="B3" s="537"/>
      <c r="C3" s="537"/>
      <c r="D3" s="537"/>
      <c r="E3" s="537"/>
      <c r="F3" s="537"/>
    </row>
    <row r="4" ht="16.5" thickBot="1">
      <c r="A4" s="1"/>
    </row>
    <row r="5" spans="1:6" ht="17.25" thickBot="1" thickTop="1">
      <c r="A5" s="131"/>
      <c r="B5" s="132">
        <v>2002</v>
      </c>
      <c r="C5" s="132">
        <v>2003</v>
      </c>
      <c r="D5" s="132">
        <v>2004</v>
      </c>
      <c r="E5" s="132">
        <v>2005</v>
      </c>
      <c r="F5" s="132">
        <v>2006</v>
      </c>
    </row>
    <row r="6" spans="1:6" ht="17.25" thickBot="1" thickTop="1">
      <c r="A6" s="213" t="s">
        <v>112</v>
      </c>
      <c r="B6" s="232">
        <v>71851876</v>
      </c>
      <c r="C6" s="233">
        <v>138158837</v>
      </c>
      <c r="D6" s="233">
        <v>205515000</v>
      </c>
      <c r="E6" s="233">
        <v>294711000</v>
      </c>
      <c r="F6" s="234">
        <v>592058000</v>
      </c>
    </row>
    <row r="7" spans="1:6" ht="21.75" customHeight="1">
      <c r="A7" s="214" t="s">
        <v>120</v>
      </c>
      <c r="B7" s="250">
        <v>361000000</v>
      </c>
      <c r="C7" s="251">
        <v>713000000</v>
      </c>
      <c r="D7" s="251">
        <v>1255000000</v>
      </c>
      <c r="E7" s="251">
        <v>1905000000</v>
      </c>
      <c r="F7" s="252">
        <v>3006179000</v>
      </c>
    </row>
    <row r="8" spans="1:6" ht="21.75" customHeight="1">
      <c r="A8" s="215" t="s">
        <v>7</v>
      </c>
      <c r="B8" s="222">
        <v>1100000</v>
      </c>
      <c r="C8" s="106">
        <v>2200000</v>
      </c>
      <c r="D8" s="106">
        <v>5423000</v>
      </c>
      <c r="E8" s="106">
        <v>12987000</v>
      </c>
      <c r="F8" s="107">
        <v>33035000</v>
      </c>
    </row>
    <row r="9" spans="1:6" ht="21.75" customHeight="1">
      <c r="A9" s="215" t="s">
        <v>114</v>
      </c>
      <c r="B9" s="222">
        <v>63880000</v>
      </c>
      <c r="C9" s="106">
        <v>140400000</v>
      </c>
      <c r="D9" s="106">
        <v>245577000</v>
      </c>
      <c r="E9" s="106">
        <v>367878000</v>
      </c>
      <c r="F9" s="107">
        <v>508077220</v>
      </c>
    </row>
    <row r="10" spans="1:6" ht="21.75" customHeight="1">
      <c r="A10" s="215" t="s">
        <v>115</v>
      </c>
      <c r="B10" s="222"/>
      <c r="C10" s="106"/>
      <c r="D10" s="106"/>
      <c r="E10" s="106">
        <v>135000</v>
      </c>
      <c r="F10" s="107"/>
    </row>
    <row r="11" spans="1:6" ht="21.75" customHeight="1" thickBot="1">
      <c r="A11" s="215" t="s">
        <v>130</v>
      </c>
      <c r="B11" s="222">
        <v>296020000</v>
      </c>
      <c r="C11" s="106">
        <v>570400000</v>
      </c>
      <c r="D11" s="106">
        <v>1004000000</v>
      </c>
      <c r="E11" s="106">
        <v>1524000000</v>
      </c>
      <c r="F11" s="107">
        <v>2465066780</v>
      </c>
    </row>
    <row r="12" spans="1:6" ht="21.75" customHeight="1" thickBot="1">
      <c r="A12" s="214" t="s">
        <v>122</v>
      </c>
      <c r="B12" s="250">
        <v>26346</v>
      </c>
      <c r="C12" s="251">
        <v>47182</v>
      </c>
      <c r="D12" s="251">
        <v>70112</v>
      </c>
      <c r="E12" s="251">
        <v>82649</v>
      </c>
      <c r="F12" s="252">
        <v>131781</v>
      </c>
    </row>
    <row r="13" spans="1:6" ht="21.75" customHeight="1" thickBot="1">
      <c r="A13" s="215" t="s">
        <v>7</v>
      </c>
      <c r="B13" s="220">
        <v>210</v>
      </c>
      <c r="C13" s="105">
        <v>400</v>
      </c>
      <c r="D13" s="105">
        <v>701</v>
      </c>
      <c r="E13" s="105">
        <v>1653</v>
      </c>
      <c r="F13" s="221">
        <v>3953</v>
      </c>
    </row>
    <row r="14" spans="1:6" ht="21.75" customHeight="1">
      <c r="A14" s="215" t="s">
        <v>114</v>
      </c>
      <c r="B14" s="220">
        <v>4532.28</v>
      </c>
      <c r="C14" s="105">
        <v>8092.76</v>
      </c>
      <c r="D14" s="105">
        <v>11919.16</v>
      </c>
      <c r="E14" s="105">
        <v>13178.82</v>
      </c>
      <c r="F14" s="221">
        <v>19767.58</v>
      </c>
    </row>
    <row r="15" spans="1:6" ht="21.75" customHeight="1" thickBot="1">
      <c r="A15" s="215" t="s">
        <v>115</v>
      </c>
      <c r="B15" s="235"/>
      <c r="C15" s="236"/>
      <c r="D15" s="236"/>
      <c r="E15" s="95">
        <v>45</v>
      </c>
      <c r="F15" s="237"/>
    </row>
    <row r="16" spans="1:6" ht="21.75" customHeight="1" thickBot="1">
      <c r="A16" s="215" t="s">
        <v>131</v>
      </c>
      <c r="B16" s="220">
        <v>21603.72</v>
      </c>
      <c r="C16" s="105">
        <v>38689.24</v>
      </c>
      <c r="D16" s="105">
        <v>57491.84</v>
      </c>
      <c r="E16" s="105">
        <v>67772.18</v>
      </c>
      <c r="F16" s="221">
        <v>108060.42</v>
      </c>
    </row>
    <row r="17" spans="1:6" ht="21.75" customHeight="1">
      <c r="A17" s="214" t="s">
        <v>116</v>
      </c>
      <c r="B17" s="220">
        <v>15</v>
      </c>
      <c r="C17" s="105">
        <v>15</v>
      </c>
      <c r="D17" s="105">
        <v>15</v>
      </c>
      <c r="E17" s="105">
        <v>15</v>
      </c>
      <c r="F17" s="221">
        <v>14.4</v>
      </c>
    </row>
    <row r="18" spans="1:6" ht="21.75" customHeight="1">
      <c r="A18" s="215" t="s">
        <v>7</v>
      </c>
      <c r="B18" s="121">
        <v>15</v>
      </c>
      <c r="C18" s="122">
        <v>15</v>
      </c>
      <c r="D18" s="122">
        <v>15</v>
      </c>
      <c r="E18" s="122">
        <v>15</v>
      </c>
      <c r="F18" s="123">
        <v>14.4</v>
      </c>
    </row>
    <row r="19" spans="1:6" ht="21.75" customHeight="1">
      <c r="A19" s="215" t="s">
        <v>114</v>
      </c>
      <c r="B19" s="121">
        <v>15</v>
      </c>
      <c r="C19" s="122">
        <v>15</v>
      </c>
      <c r="D19" s="122">
        <v>15</v>
      </c>
      <c r="E19" s="122">
        <v>15</v>
      </c>
      <c r="F19" s="123">
        <v>12</v>
      </c>
    </row>
    <row r="20" spans="1:6" ht="21.75" customHeight="1">
      <c r="A20" s="215" t="s">
        <v>115</v>
      </c>
      <c r="B20" s="121">
        <v>15</v>
      </c>
      <c r="C20" s="122">
        <v>15</v>
      </c>
      <c r="D20" s="122">
        <v>15</v>
      </c>
      <c r="E20" s="122">
        <v>15</v>
      </c>
      <c r="F20" s="96">
        <v>15</v>
      </c>
    </row>
    <row r="21" spans="1:6" ht="21.75" customHeight="1" thickBot="1">
      <c r="A21" s="215" t="s">
        <v>113</v>
      </c>
      <c r="B21" s="121">
        <v>15</v>
      </c>
      <c r="C21" s="122">
        <v>15</v>
      </c>
      <c r="D21" s="122">
        <v>15</v>
      </c>
      <c r="E21" s="122">
        <v>15</v>
      </c>
      <c r="F21" s="96">
        <v>15</v>
      </c>
    </row>
    <row r="22" spans="1:6" ht="21.75" customHeight="1">
      <c r="A22" s="10" t="s">
        <v>133</v>
      </c>
      <c r="B22" s="238">
        <v>8</v>
      </c>
      <c r="C22" s="239">
        <v>8</v>
      </c>
      <c r="D22" s="239">
        <v>8</v>
      </c>
      <c r="E22" s="239">
        <v>10</v>
      </c>
      <c r="F22" s="240">
        <v>11</v>
      </c>
    </row>
    <row r="23" spans="1:6" ht="21.75" customHeight="1">
      <c r="A23" s="215" t="s">
        <v>7</v>
      </c>
      <c r="B23" s="238">
        <v>7</v>
      </c>
      <c r="C23" s="239">
        <v>8</v>
      </c>
      <c r="D23" s="239">
        <v>8</v>
      </c>
      <c r="E23" s="239">
        <v>9</v>
      </c>
      <c r="F23" s="240">
        <v>9</v>
      </c>
    </row>
    <row r="24" spans="1:6" ht="21.75" customHeight="1">
      <c r="A24" s="215" t="s">
        <v>114</v>
      </c>
      <c r="B24" s="238">
        <v>8</v>
      </c>
      <c r="C24" s="239">
        <v>8</v>
      </c>
      <c r="D24" s="239">
        <v>8</v>
      </c>
      <c r="E24" s="239">
        <v>9</v>
      </c>
      <c r="F24" s="240">
        <v>9</v>
      </c>
    </row>
    <row r="25" spans="1:6" ht="21.75" customHeight="1">
      <c r="A25" s="215" t="s">
        <v>115</v>
      </c>
      <c r="B25" s="241"/>
      <c r="C25" s="242"/>
      <c r="D25" s="242"/>
      <c r="E25" s="239">
        <v>9</v>
      </c>
      <c r="F25" s="243"/>
    </row>
    <row r="26" spans="1:6" ht="21.75" customHeight="1" thickBot="1">
      <c r="A26" s="215" t="s">
        <v>113</v>
      </c>
      <c r="B26" s="238">
        <v>9</v>
      </c>
      <c r="C26" s="239">
        <v>9</v>
      </c>
      <c r="D26" s="239">
        <v>9</v>
      </c>
      <c r="E26" s="239">
        <v>12</v>
      </c>
      <c r="F26" s="240">
        <v>13</v>
      </c>
    </row>
    <row r="27" spans="1:6" ht="21.75" customHeight="1" thickBot="1">
      <c r="A27" s="214" t="s">
        <v>126</v>
      </c>
      <c r="B27" s="226"/>
      <c r="C27" s="126"/>
      <c r="D27" s="126"/>
      <c r="E27" s="126"/>
      <c r="F27" s="127"/>
    </row>
    <row r="28" spans="1:6" ht="21.75" customHeight="1" thickBot="1">
      <c r="A28" s="214" t="s">
        <v>127</v>
      </c>
      <c r="B28" s="227"/>
      <c r="C28" s="128"/>
      <c r="D28" s="128"/>
      <c r="E28" s="128"/>
      <c r="F28" s="129"/>
    </row>
    <row r="29" spans="1:6" ht="21.75" customHeight="1">
      <c r="A29" s="214" t="s">
        <v>117</v>
      </c>
      <c r="B29" s="244">
        <v>15060000</v>
      </c>
      <c r="C29" s="245">
        <v>24004000</v>
      </c>
      <c r="D29" s="245">
        <v>31196000</v>
      </c>
      <c r="E29" s="245">
        <v>43898000</v>
      </c>
      <c r="F29" s="246">
        <v>65791000</v>
      </c>
    </row>
    <row r="30" spans="1:6" ht="21.75" customHeight="1">
      <c r="A30" s="215" t="s">
        <v>7</v>
      </c>
      <c r="B30" s="124"/>
      <c r="C30" s="94"/>
      <c r="D30" s="94"/>
      <c r="E30" s="95"/>
      <c r="F30" s="96"/>
    </row>
    <row r="31" spans="1:6" ht="21.75" customHeight="1">
      <c r="A31" s="215" t="s">
        <v>114</v>
      </c>
      <c r="B31" s="124"/>
      <c r="C31" s="94"/>
      <c r="D31" s="94"/>
      <c r="E31" s="95"/>
      <c r="F31" s="96"/>
    </row>
    <row r="32" spans="1:6" ht="21.75" customHeight="1">
      <c r="A32" s="215" t="s">
        <v>115</v>
      </c>
      <c r="B32" s="228"/>
      <c r="C32" s="97"/>
      <c r="D32" s="97"/>
      <c r="E32" s="97"/>
      <c r="F32" s="98"/>
    </row>
    <row r="33" spans="1:6" ht="21.75" customHeight="1" thickBot="1">
      <c r="A33" s="215" t="s">
        <v>113</v>
      </c>
      <c r="B33" s="125"/>
      <c r="C33" s="99"/>
      <c r="D33" s="99"/>
      <c r="E33" s="99"/>
      <c r="F33" s="100"/>
    </row>
    <row r="34" spans="1:6" ht="21.75" customHeight="1">
      <c r="A34" s="214" t="s">
        <v>118</v>
      </c>
      <c r="B34" s="222">
        <v>3500</v>
      </c>
      <c r="C34" s="106">
        <v>4150</v>
      </c>
      <c r="D34" s="106">
        <v>4600</v>
      </c>
      <c r="E34" s="106">
        <v>5600</v>
      </c>
      <c r="F34" s="98">
        <v>7000</v>
      </c>
    </row>
    <row r="35" spans="1:6" ht="21.75" customHeight="1">
      <c r="A35" s="215" t="s">
        <v>7</v>
      </c>
      <c r="B35" s="222">
        <v>3500</v>
      </c>
      <c r="C35" s="106">
        <v>4000</v>
      </c>
      <c r="D35" s="106">
        <v>4600</v>
      </c>
      <c r="E35" s="106">
        <v>5200</v>
      </c>
      <c r="F35" s="107">
        <v>5800</v>
      </c>
    </row>
    <row r="36" spans="1:6" ht="21.75" customHeight="1">
      <c r="A36" s="215" t="s">
        <v>114</v>
      </c>
      <c r="B36" s="222">
        <v>3200</v>
      </c>
      <c r="C36" s="106">
        <v>3600</v>
      </c>
      <c r="D36" s="106">
        <v>4100</v>
      </c>
      <c r="E36" s="106">
        <v>4400</v>
      </c>
      <c r="F36" s="107">
        <v>4700</v>
      </c>
    </row>
    <row r="37" spans="1:6" ht="21.75" customHeight="1">
      <c r="A37" s="215" t="s">
        <v>115</v>
      </c>
      <c r="B37" s="244"/>
      <c r="C37" s="245"/>
      <c r="D37" s="245"/>
      <c r="E37" s="106">
        <v>3000</v>
      </c>
      <c r="F37" s="246"/>
    </row>
    <row r="38" spans="1:6" ht="21.75" customHeight="1" thickBot="1">
      <c r="A38" s="216" t="s">
        <v>113</v>
      </c>
      <c r="B38" s="247">
        <v>3700</v>
      </c>
      <c r="C38" s="248">
        <v>4500</v>
      </c>
      <c r="D38" s="248">
        <v>5000</v>
      </c>
      <c r="E38" s="248">
        <v>9500</v>
      </c>
      <c r="F38" s="249">
        <v>11000</v>
      </c>
    </row>
    <row r="39" ht="17.25" thickTop="1">
      <c r="A39" s="9"/>
    </row>
    <row r="40" ht="15.75">
      <c r="A40" s="175" t="s">
        <v>17</v>
      </c>
    </row>
    <row r="41" ht="12.75">
      <c r="A41" s="512" t="s">
        <v>142</v>
      </c>
    </row>
    <row r="42" ht="12.75">
      <c r="A42" s="253" t="s">
        <v>143</v>
      </c>
    </row>
  </sheetData>
  <mergeCells count="2">
    <mergeCell ref="A2:F2"/>
    <mergeCell ref="A3:F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l.elidrissi</dc:creator>
  <cp:keywords/>
  <dc:description>Created on 08/24/07 by renaming "Morocco Microcrédit ERR's.WARNER.xls"</dc:description>
  <cp:lastModifiedBy>benyishaya</cp:lastModifiedBy>
  <cp:lastPrinted>2007-05-14T10:12:40Z</cp:lastPrinted>
  <dcterms:created xsi:type="dcterms:W3CDTF">2006-05-25T11:09:42Z</dcterms:created>
  <dcterms:modified xsi:type="dcterms:W3CDTF">2008-10-14T18:37:45Z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