
<file path=[Content_Types].xml><?xml version="1.0" encoding="utf-8"?>
<Types xmlns="http://schemas.openxmlformats.org/package/2006/content-type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4921" yWindow="45" windowWidth="19320" windowHeight="15135" tabRatio="896" activeTab="0"/>
  </bookViews>
  <sheets>
    <sheet name="Introduction" sheetId="1" r:id="rId1"/>
    <sheet name="How-To-Use" sheetId="2" r:id="rId2"/>
    <sheet name="Input-Output" sheetId="3" r:id="rId3"/>
    <sheet name="SPH_REC" sheetId="4" r:id="rId4"/>
    <sheet name="Trans_Origin" sheetId="5" r:id="rId5"/>
    <sheet name="Rec_Photo" sheetId="6" r:id="rId6"/>
    <sheet name="AUX_PT" sheetId="7" r:id="rId7"/>
    <sheet name="Photo_Setup" sheetId="8" r:id="rId8"/>
    <sheet name="Intersection_Calc" sheetId="9" r:id="rId9"/>
    <sheet name="ReTrans_Origin" sheetId="10" r:id="rId10"/>
    <sheet name="REC_SPH" sheetId="11" r:id="rId11"/>
    <sheet name="Surf_Dist" sheetId="12" r:id="rId12"/>
    <sheet name="Pixel_Scale" sheetId="13" r:id="rId13"/>
    <sheet name="Drop_Lists" sheetId="14" r:id="rId14"/>
  </sheets>
  <definedNames>
    <definedName name="Altitude">'Drop_Lists'!$G$13:$G$14</definedName>
    <definedName name="Camera_Lens">'Drop_Lists'!$A$13:$A$24</definedName>
    <definedName name="Image_Format">'Drop_Lists'!$C$13:$E$19</definedName>
    <definedName name="_xlnm.Print_Area" localSheetId="1">'How-To-Use'!$A$1:$M$156</definedName>
    <definedName name="_xlnm.Print_Area" localSheetId="2">'Input-Output'!$A$55:$K$131</definedName>
    <definedName name="_xlnm.Print_Area" localSheetId="8">'Intersection_Calc'!$A$12:$L$59</definedName>
    <definedName name="_xlnm.Print_Area" localSheetId="0">'Introduction'!$A$1:$L$138</definedName>
    <definedName name="Z_639AFAB4_5603_11D6_A08E_0030659AD632_.wvu.PrintArea" localSheetId="1" hidden="1">'How-To-Use'!$A$1:$L$158</definedName>
    <definedName name="Z_639AFAB4_5603_11D6_A08E_0030659AD632_.wvu.PrintArea" localSheetId="2" hidden="1">'Input-Output'!$A$55:$K$134</definedName>
    <definedName name="Z_639AFAB4_5603_11D6_A08E_0030659AD632_.wvu.PrintArea" localSheetId="8" hidden="1">'Intersection_Calc'!$A$12:$L$59</definedName>
    <definedName name="Z_639AFAB4_5603_11D6_A08E_0030659AD632_.wvu.PrintArea" localSheetId="0" hidden="1">'Introduction'!$A$1:$M$133</definedName>
  </definedNames>
  <calcPr fullCalcOnLoad="1"/>
</workbook>
</file>

<file path=xl/sharedStrings.xml><?xml version="1.0" encoding="utf-8"?>
<sst xmlns="http://schemas.openxmlformats.org/spreadsheetml/2006/main" count="4581" uniqueCount="1842">
  <si>
    <t xml:space="preserve">Multiply the computed distance by the elements of the Normalized vector from the Auxiliary </t>
  </si>
  <si>
    <t>Convert the Auxiliary Point on the Photo to the Photo Coordinate System</t>
  </si>
  <si>
    <t>Choose an auxiliary point that is a prominent feature common to both the</t>
  </si>
  <si>
    <t xml:space="preserve">                     South Pole      -90 Latitude</t>
  </si>
  <si>
    <t>Unit Vector for Point "p4"</t>
  </si>
  <si>
    <t xml:space="preserve">i_gi_p4 = </t>
  </si>
  <si>
    <t xml:space="preserve">j_gi_p4 = </t>
  </si>
  <si>
    <t xml:space="preserve">k_gi_p4 = </t>
  </si>
  <si>
    <t>Mathematical Location of the Auxiliary Point</t>
  </si>
  <si>
    <t>Access the Focal Length and Image Format Sizes based on the user Drop-Down Menu selection and set the values to be used in the program</t>
  </si>
  <si>
    <t xml:space="preserve">                    Lat_sn</t>
  </si>
  <si>
    <t xml:space="preserve">                      South Pole      -Z Axis</t>
  </si>
  <si>
    <t xml:space="preserve">Delta Angle = </t>
  </si>
  <si>
    <t>rotated in order compensate for the camera</t>
  </si>
  <si>
    <t>orientation at the time of exposure.</t>
  </si>
  <si>
    <t>This convention provides the proper direction of Photo Rotation</t>
  </si>
  <si>
    <t>Zeta = Asin      Sin(Gamma) * Dist from Shuttle to Earth Center</t>
  </si>
  <si>
    <t>Compute the Global Earth Centered Coordinates for Point "p1"</t>
  </si>
  <si>
    <t xml:space="preserve">X_gi_p1 = </t>
  </si>
  <si>
    <t>2-D Linear Distance to Auxiliary Pt =</t>
  </si>
  <si>
    <t>When the photo center "pc" is far way from the shuttle nadir "sn" (I.e. when the two are separated by more then 7-10 degrees in Latitude</t>
  </si>
  <si>
    <t>acos(Vector A • Vector B/ (||Vector A|| * ||Vector B||))=</t>
  </si>
  <si>
    <t>Compute the Global Earth Centered Coordinates for Point "p3"</t>
  </si>
  <si>
    <t xml:space="preserve">X_gi_p3 = </t>
  </si>
  <si>
    <t xml:space="preserve">Y_gi_p3 = </t>
  </si>
  <si>
    <t>Compute the Global Earth Centered Coordinates for the Principle Point "pp"</t>
  </si>
  <si>
    <t xml:space="preserve">X_gi_pp = </t>
  </si>
  <si>
    <t xml:space="preserve">3)  Longitude Equation #2 computes the angle in the equatorial plane from either the Greenwich meridian or the 180th degree meridian, </t>
  </si>
  <si>
    <t>Computed Deflection Angle Based upon Above Rules=</t>
  </si>
  <si>
    <t xml:space="preserve">By taking the difference between the User entered </t>
  </si>
  <si>
    <t>rotation angle and the computed deflection angle</t>
  </si>
  <si>
    <t>Local Shuttle Coordinates for point "pc"</t>
  </si>
  <si>
    <t>The Delta Angle calculation is computed as</t>
  </si>
  <si>
    <t xml:space="preserve">If the above calculations are accurate we should be able to compute the Global Spherical Coordinates for Points "pc" and "sn" using the </t>
  </si>
  <si>
    <t xml:space="preserve">When "sn" and "pc" are both within 10 degrees of, but on opposite sides of the </t>
  </si>
  <si>
    <t xml:space="preserve">     k_RLpc * Focal Length = </t>
  </si>
  <si>
    <t xml:space="preserve">     j_RLpc * Focal Length = </t>
  </si>
  <si>
    <t xml:space="preserve">     i_RLpc * Focal Length = </t>
  </si>
  <si>
    <t>TEST #1</t>
  </si>
  <si>
    <t>Test #2</t>
  </si>
  <si>
    <t>+Y axis</t>
  </si>
  <si>
    <t>+X axis</t>
  </si>
  <si>
    <t>Photo -X Axis</t>
  </si>
  <si>
    <t>Original User Entered Spherical Coordinates for Point "pc"</t>
  </si>
  <si>
    <t>Compute the Normalized Vector from the Auxiliary Point to the Shuttle</t>
  </si>
  <si>
    <t>Rotation #2:     We rotate about the +Y axis of the Global Rectangular Coordinates System by an angle equal to (90-Latitude of "sn")</t>
  </si>
  <si>
    <t>Compute the Angle between the Vector from the Photo Center to the Shuttle Location and the Vector from the Auxiliary Point the Shuttle Location</t>
  </si>
  <si>
    <t>Normalized Vector from the Auxiliary Point to the Shuttle</t>
  </si>
  <si>
    <t>IF we project the vector from the Auxiliary Point through the Shuttle Location it will intersect the photo</t>
  </si>
  <si>
    <t xml:space="preserve">        Auxiliary Point on Photo</t>
  </si>
  <si>
    <t>and we can compute the coordinates for the intersection point in the Shuttle Rectangular Coordinate System</t>
  </si>
  <si>
    <t xml:space="preserve">              sn</t>
  </si>
  <si>
    <t xml:space="preserve">          0 Deg Latitude</t>
  </si>
  <si>
    <t>We can Calculate the distance from the Shuttle to the point of intersection of the Auxiliary Point</t>
  </si>
  <si>
    <t xml:space="preserve">      Auxiliary Point to the Shuttle and the</t>
  </si>
  <si>
    <t>We then multiply the elements of the normalized vector (from the Auxiliary Point to the Shuttle)</t>
  </si>
  <si>
    <t>Compute Unit Vector from Earth Center to the Rectangular Coordinates of the Photo Center</t>
  </si>
  <si>
    <t>i_pc =</t>
  </si>
  <si>
    <t>Xpc/Radius of Earth =</t>
  </si>
  <si>
    <t>j_pc =</t>
  </si>
  <si>
    <t>Ypc/Radius of Earth =</t>
  </si>
  <si>
    <t>Value</t>
  </si>
  <si>
    <t xml:space="preserve"> - Original Definition of Variable Values</t>
  </si>
  <si>
    <t xml:space="preserve"> - Copy of Value Defined Previously</t>
  </si>
  <si>
    <t>Coordinates of the Photo Principle Point in the Shuttle Coordinate System</t>
  </si>
  <si>
    <t xml:space="preserve"> 1)  We begin by selecting the Unit Photo Pointing Vector from the Shuttle Location to one of the Photo Points</t>
  </si>
  <si>
    <t>Shuttle Location (Perspective Center) in Shuttle Rectangular System</t>
  </si>
  <si>
    <t>Compute the Linear Distance between the Shuttle Location and the Auxiliary Point</t>
  </si>
  <si>
    <t>Compute the Distance from the Shuttle to the Projection of the Auxiliary Point on the Photo</t>
  </si>
  <si>
    <t>Go back to the map, draw a horizontal or vertical line through the center point and</t>
  </si>
  <si>
    <t>a positive value for the rotation will be computed rather then a negative value.</t>
  </si>
  <si>
    <t>This list contains the lists for the Drop-down menus on the "Input-Output" worksheet.</t>
  </si>
  <si>
    <t>Selected</t>
  </si>
  <si>
    <t>Hand Entered</t>
  </si>
  <si>
    <t xml:space="preserve"> in mm</t>
  </si>
  <si>
    <t>Value to be used in subsequent calculations</t>
  </si>
  <si>
    <t>A little bit of House-Keeping</t>
  </si>
  <si>
    <t xml:space="preserve">k_gi_p3 = </t>
  </si>
  <si>
    <t>Spherical to Rectangular Conversion Equations</t>
  </si>
  <si>
    <t xml:space="preserve">j_gi_p2 = </t>
  </si>
  <si>
    <t xml:space="preserve">k_gi_p2 = </t>
  </si>
  <si>
    <t>Unit Vector for Point "p3"</t>
  </si>
  <si>
    <t xml:space="preserve">i_gi_p3 = </t>
  </si>
  <si>
    <t xml:space="preserve">j_gi_p3 = </t>
  </si>
  <si>
    <t xml:space="preserve"> of the point in the Global Rectangular Coordinate System</t>
  </si>
  <si>
    <t>X=Radius of Earth*Cos(Latitude)*Cos(Longitude)</t>
  </si>
  <si>
    <t>Y=Radius of Earth*Cos(Latitude)*Sin(Longitude)</t>
  </si>
  <si>
    <t xml:space="preserve">        Long_sn</t>
  </si>
  <si>
    <t xml:space="preserve">         Greenwich Meridian</t>
  </si>
  <si>
    <t>Compute the difference between the Deflection angle based on the Auxiliary Point Location and the User Input Rotation angle</t>
  </si>
  <si>
    <t>And applying the following rules</t>
  </si>
  <si>
    <t>The Deflection angle relative to -X axis equals</t>
  </si>
  <si>
    <t>which lies in a single plane.  The third side of the triangle always consists of the Earth's Radius</t>
  </si>
  <si>
    <t xml:space="preserve">Shuttle Coordinates </t>
  </si>
  <si>
    <t>Compute the Angles between the adjacent vectors to boundary photo points and computed the Earth Surface Arc distance.</t>
  </si>
  <si>
    <t>by calculating the angle between vectors from the earth's center to a pair of photo points and then</t>
  </si>
  <si>
    <t xml:space="preserve">Longitude = </t>
  </si>
  <si>
    <t>Global Rectangular Coordinates of Graphical North Pole (Point "np")</t>
  </si>
  <si>
    <t xml:space="preserve">X_np = </t>
  </si>
  <si>
    <t xml:space="preserve">Y_np = </t>
  </si>
  <si>
    <t xml:space="preserve">Z_np = </t>
  </si>
  <si>
    <t>Linear Distance from Earth Center to North Pole =</t>
  </si>
  <si>
    <t>Convert the Shuttle Rectangular Coordinates of the Photo Points Back to the</t>
  </si>
  <si>
    <r>
      <t>1)   LATITUDE</t>
    </r>
    <r>
      <rPr>
        <sz val="10"/>
        <rFont val="Geneva"/>
        <family val="0"/>
      </rPr>
      <t xml:space="preserve"> - Use the computed Latitude directly without any modification.</t>
    </r>
  </si>
  <si>
    <t xml:space="preserve">we get the angle by which the photo must be </t>
  </si>
  <si>
    <t>Delta Angle =</t>
  </si>
  <si>
    <t>We then convert it to a 0 to 360 degree clockwise rotation angle</t>
  </si>
  <si>
    <t>\</t>
  </si>
  <si>
    <t>Convert the Global Rectangular Coordinates for Point "p8" to Spherical Coordinates</t>
  </si>
  <si>
    <t>For Point "p8"</t>
  </si>
  <si>
    <t>Correlate Photo Point Numbers to Top and Bottom of Image</t>
  </si>
  <si>
    <t xml:space="preserve">           Top Right</t>
  </si>
  <si>
    <t>Angle Between Point "p4 and "p6</t>
  </si>
  <si>
    <t>Angle Between Point "p1 and "p4</t>
  </si>
  <si>
    <t>Unit Vector for "p4</t>
  </si>
  <si>
    <t xml:space="preserve">Rotation #1:     We rotate about the +Z axis of the Global Rectangular Coordinates System by an angle equal to the Longitude of the Shuttle Nadir (Long_sn) </t>
  </si>
  <si>
    <t>To align the two coordinate systems we apply three separate rotations</t>
  </si>
  <si>
    <t>Compute the Normalized Vector from the Shuttle Location to the Auxiliary Point</t>
  </si>
  <si>
    <t>Shuttle Centered Rectangular Coordinates for Auxiliary Photo Point</t>
  </si>
  <si>
    <t>X_Lap</t>
  </si>
  <si>
    <t xml:space="preserve"> Xap</t>
  </si>
  <si>
    <t>Y_Lap</t>
  </si>
  <si>
    <t xml:space="preserve"> Yap      +</t>
  </si>
  <si>
    <t>To prevent mathematical complexities later in the process (specifically in calculations which</t>
  </si>
  <si>
    <t>Rotation #3:     We rotate about the +Z axis of the Global Rectangular Coordinates System by the angle "Theta" defined as being the line of</t>
  </si>
  <si>
    <t>Compute the Angle between the two Normal Vectors which equals the Theta angle between the two planes</t>
  </si>
  <si>
    <t>Angle between 2 vectors = arcos (Vector A • Vector B / (|| Vector A || * || Vector B || ))</t>
  </si>
  <si>
    <t>Vector A * Vector B =</t>
  </si>
  <si>
    <t>|| Vector A || =</t>
  </si>
  <si>
    <t>|| Vector B || =</t>
  </si>
  <si>
    <t>to align the global +Z axis with the vector from the earth's center through point "sn".</t>
  </si>
  <si>
    <t>If either case 1 or case 2 is true modify the Theta angle by the respective rule.</t>
  </si>
  <si>
    <t xml:space="preserve">Is the absolute value of the Original Longitude of "sn" and </t>
  </si>
  <si>
    <t xml:space="preserve">                     TOP OF PHOTO</t>
  </si>
  <si>
    <t>the Unit Photo Vector does not intersect the surface of the earth.</t>
  </si>
  <si>
    <t xml:space="preserve">X_ei_p8 = </t>
  </si>
  <si>
    <t xml:space="preserve">Y_ei_p8 = </t>
  </si>
  <si>
    <t xml:space="preserve">Z_ei_p8 = </t>
  </si>
  <si>
    <r>
      <t xml:space="preserve">                </t>
    </r>
    <r>
      <rPr>
        <b/>
        <sz val="10"/>
        <rFont val="Geneva"/>
        <family val="0"/>
      </rPr>
      <t>np</t>
    </r>
  </si>
  <si>
    <r>
      <t xml:space="preserve">        </t>
    </r>
    <r>
      <rPr>
        <b/>
        <sz val="10"/>
        <rFont val="Geneva"/>
        <family val="0"/>
      </rPr>
      <t>+X axis in Shuttle Coordinate System</t>
    </r>
  </si>
  <si>
    <t xml:space="preserve">    sn</t>
  </si>
  <si>
    <r>
      <t xml:space="preserve">                  </t>
    </r>
    <r>
      <rPr>
        <b/>
        <sz val="10"/>
        <rFont val="Geneva"/>
        <family val="0"/>
      </rPr>
      <t>esn</t>
    </r>
  </si>
  <si>
    <t xml:space="preserve"> - Newly Calculated Value</t>
  </si>
  <si>
    <t>Existing Global Rectangular Coordinate System</t>
  </si>
  <si>
    <t>Due to the way I set up the different coordinate systems throughout this program Photo Point #1 is the  Upper Left</t>
  </si>
  <si>
    <t>at the time of exposure will create uncertainty in the locator ellipse.</t>
  </si>
  <si>
    <t>The Above Rules work with one exception:    "sn" and "pc "are within 10 degrees of AND on different sides of the Greenwich Meridian</t>
  </si>
  <si>
    <t>"pc" both within 10 degrees of the Greenwich Meridian</t>
  </si>
  <si>
    <t>If the "pc" has a negative Longitude the  "sn" has a positive Longitude the</t>
  </si>
  <si>
    <t>This relationship will be employed when the results are transferred back to the "input-output' worksheet.</t>
  </si>
  <si>
    <t xml:space="preserve">   Top Right</t>
  </si>
  <si>
    <t>Point 6</t>
  </si>
  <si>
    <t>Point 1</t>
  </si>
  <si>
    <t>Point 4</t>
  </si>
  <si>
    <t>Point 7</t>
  </si>
  <si>
    <t>Point 2</t>
  </si>
  <si>
    <t>Point 8</t>
  </si>
  <si>
    <t>Point 3</t>
  </si>
  <si>
    <t>Point 5</t>
  </si>
  <si>
    <t>Phase VI</t>
  </si>
  <si>
    <t>Compute the Arc Distance on the Spheroid Between Each of the Parameter Photo Point</t>
  </si>
  <si>
    <t>Angle Between Point "p6" and "p7"</t>
  </si>
  <si>
    <t>Unit Vector for "p6"</t>
  </si>
  <si>
    <t>Unit Vector for "p7"</t>
  </si>
  <si>
    <t xml:space="preserve">Z_ce = </t>
  </si>
  <si>
    <t>For completeness it should be stated that the coordinates for the "Center of the Earth" in the Global Rectangular Coordinate System are:</t>
  </si>
  <si>
    <t xml:space="preserve">X_ce = </t>
  </si>
  <si>
    <t>m</t>
  </si>
  <si>
    <t xml:space="preserve">Y_ce = </t>
  </si>
  <si>
    <t>Unit Vector for Point "p5"</t>
  </si>
  <si>
    <t xml:space="preserve">i_gi_p5 = </t>
  </si>
  <si>
    <t xml:space="preserve">j_gi_p5 = </t>
  </si>
  <si>
    <t xml:space="preserve">k_gi_p5 = </t>
  </si>
  <si>
    <t>Unit Vector for Point "p6"</t>
  </si>
  <si>
    <t xml:space="preserve">i_gi_p6 = </t>
  </si>
  <si>
    <t xml:space="preserve">j_gi_p6 = </t>
  </si>
  <si>
    <t xml:space="preserve">k_gi_p6 = </t>
  </si>
  <si>
    <t>Unit Vector for Point "p7"</t>
  </si>
  <si>
    <t xml:space="preserve">i_gi_p7 = </t>
  </si>
  <si>
    <t>(Direction</t>
  </si>
  <si>
    <t>Given the Latitude and Longitude of a point (and the radius of the earth) the following equations will compute the coordinates</t>
  </si>
  <si>
    <t>Unit Vector for "p2"</t>
  </si>
  <si>
    <t>Angle Calculations</t>
  </si>
  <si>
    <t>Surface Distance</t>
  </si>
  <si>
    <t>Angle "Epsilon"</t>
  </si>
  <si>
    <t xml:space="preserve">             esn</t>
  </si>
  <si>
    <t xml:space="preserve">2)  Compute Angle "Gamma" from vector algebra using the Unit Photo </t>
  </si>
  <si>
    <t xml:space="preserve">Z_gi_p3 = </t>
  </si>
  <si>
    <t>Compute the Global Earth Centered Coordinates for Point "p4"</t>
  </si>
  <si>
    <t xml:space="preserve">X_gi_p4 = </t>
  </si>
  <si>
    <t xml:space="preserve">Y_gi_pp = </t>
  </si>
  <si>
    <t xml:space="preserve">Z_gi_pp = </t>
  </si>
  <si>
    <t>There are NO User Inputs on the Computation Sheets</t>
  </si>
  <si>
    <t>of a point at the geographical North Pole of the Earth (Point "np")</t>
  </si>
  <si>
    <t>Spherical Coordinates of Geographical North Pole</t>
  </si>
  <si>
    <t xml:space="preserve">Latitude = </t>
  </si>
  <si>
    <t>Compute the Global Earth Centered Coordinates for Point "p8"</t>
  </si>
  <si>
    <t xml:space="preserve">X_gi_p8 = </t>
  </si>
  <si>
    <t xml:space="preserve">Y_gi_p8 = </t>
  </si>
  <si>
    <t xml:space="preserve">Z_gi_p8 = </t>
  </si>
  <si>
    <t>Phase V</t>
  </si>
  <si>
    <t>computing the arc distance using the following:</t>
  </si>
  <si>
    <t>The shuttle centered rectangular coordinate system was defined as:</t>
  </si>
  <si>
    <t>of a point on the Equator which has the same Longitude as the Shuttle Nadir Location (Point "esn")</t>
  </si>
  <si>
    <t>Yax/Radius of Earth =</t>
  </si>
  <si>
    <t>Error Message #3</t>
  </si>
  <si>
    <t>k_ap =</t>
  </si>
  <si>
    <t>Global (Earth Centered) Rectangular Coordinate System</t>
  </si>
  <si>
    <t>Compute the Location of the Principle Point</t>
  </si>
  <si>
    <t>Unit Vector for "p6</t>
  </si>
  <si>
    <t>of Shuttle Nadir Location</t>
  </si>
  <si>
    <t xml:space="preserve">      Origin</t>
  </si>
  <si>
    <r>
      <t>2)   LONGITUDE</t>
    </r>
    <r>
      <rPr>
        <sz val="10"/>
        <rFont val="Geneva"/>
        <family val="0"/>
      </rPr>
      <t xml:space="preserve"> - Use the angle computed by the Longitude#1 equation and apply to it the SIGN of the angle computed by the Longitude#2 equation</t>
    </r>
  </si>
  <si>
    <t>Compute the Vector Normal to the Plane defined by the points:  Earth Center, "np" and "esn".</t>
  </si>
  <si>
    <t>When the computed value exceeds 1.0 then the Asin of it does not exist which</t>
  </si>
  <si>
    <t xml:space="preserve"> to the X_local, Y_local, Z_local axes of the Local Shuttle Centered Rectangular Coordinate System</t>
  </si>
  <si>
    <t>means that the vector does not intersect with the earth's surface</t>
  </si>
  <si>
    <t>Spherical Coordinates (i.e. Latitude and Longitude) of the point in the Global Spherical Coordinate System</t>
  </si>
  <si>
    <t xml:space="preserve">   Longitude- Measured in the Equatorial Plane from the Greenwich Meridian</t>
  </si>
  <si>
    <t xml:space="preserve">                      North Pole      +Z Axis</t>
  </si>
  <si>
    <t xml:space="preserve">        Earth</t>
  </si>
  <si>
    <t xml:space="preserve">       Center</t>
  </si>
  <si>
    <t>Z_Intersection_Coordiante =</t>
  </si>
  <si>
    <t>Magnitude of Photo Point Vector * k_element of Unit Photo Point Vector</t>
  </si>
  <si>
    <t>Compute Unit Vector from Earth Center to the Rectangular Coordinates of the Auxiliary Photo Point</t>
  </si>
  <si>
    <t>i_ap =</t>
  </si>
  <si>
    <t>Xax/Radius of Earth =</t>
  </si>
  <si>
    <t>j_ap =</t>
  </si>
  <si>
    <t xml:space="preserve">j_np2 = </t>
  </si>
  <si>
    <t xml:space="preserve">k_np2 = </t>
  </si>
  <si>
    <t xml:space="preserve">3 )  </t>
  </si>
  <si>
    <t>Original</t>
  </si>
  <si>
    <t xml:space="preserve">            Earth Pointing</t>
  </si>
  <si>
    <t>i_RSX_p1</t>
  </si>
  <si>
    <t xml:space="preserve">       =   -1.0 *</t>
  </si>
  <si>
    <t>j_RSX_p1</t>
  </si>
  <si>
    <t>k_RSX_p1</t>
  </si>
  <si>
    <t>2)</t>
  </si>
  <si>
    <t>Compute the "Gamma" Angle</t>
  </si>
  <si>
    <t xml:space="preserve">Gamma = </t>
  </si>
  <si>
    <t>Photo Principle Point Location</t>
  </si>
  <si>
    <t>Transpose of the Rotation matrix from the Shuttle Coordinate System to the Photo System</t>
  </si>
  <si>
    <t>Reversing the vector from the shuttle location to point "pc" gives the direction vector to the Principle Point</t>
  </si>
  <si>
    <t>(the point on the photo plane at its intersection with the central axis of the photo).</t>
  </si>
  <si>
    <t>Photo Corners</t>
  </si>
  <si>
    <t>Principle Point</t>
  </si>
  <si>
    <t xml:space="preserve">     Local +Y</t>
  </si>
  <si>
    <t xml:space="preserve">      Local +X</t>
  </si>
  <si>
    <t xml:space="preserve">      Local +Y</t>
  </si>
  <si>
    <t xml:space="preserve">           means that the vector does not intersect with the earth's surface</t>
  </si>
  <si>
    <t>Calculation Message</t>
  </si>
  <si>
    <t>+ Latitude #1</t>
  </si>
  <si>
    <t>- Longitude Side</t>
  </si>
  <si>
    <t>+ Longitude Side</t>
  </si>
  <si>
    <t>Greenwich</t>
  </si>
  <si>
    <t xml:space="preserve">Greenwich </t>
  </si>
  <si>
    <t xml:space="preserve">    Meridian</t>
  </si>
  <si>
    <t xml:space="preserve">  Meridian</t>
  </si>
  <si>
    <t xml:space="preserve">  - LATITUDE</t>
  </si>
  <si>
    <t>+ Longitude 1 &amp;2</t>
  </si>
  <si>
    <t>Compute the Earth Intersection Point with the Earth Pointing Photo Point Vectors</t>
  </si>
  <si>
    <t>and Point Coordinates</t>
  </si>
  <si>
    <t>The Global Earth Centered Spherical Coordinate System was defined as:</t>
  </si>
  <si>
    <t xml:space="preserve">             0 Deg. Longitude</t>
  </si>
  <si>
    <t>Hand Corner of the photo.  The Following Chart will relate the Photo Point Numbers to the orientation of the Photo.</t>
  </si>
  <si>
    <t>Global Rectangular Coordinates for Center of the Earth</t>
  </si>
  <si>
    <t>Global Rectangular Coordinates</t>
  </si>
  <si>
    <t>IF Both TESTS 1 and 2 show False the two Latitude values are not within 5 degrees</t>
  </si>
  <si>
    <t>Exceptions to the General Rule</t>
  </si>
  <si>
    <t>We can also immediately compute the unit vector from the Shuttle Location to each respective Photo Point</t>
  </si>
  <si>
    <t>and Magnitude</t>
  </si>
  <si>
    <t xml:space="preserve">                 Angle</t>
  </si>
  <si>
    <t>Known)</t>
  </si>
  <si>
    <t xml:space="preserve">                 Zeta</t>
  </si>
  <si>
    <t>Radius of Earth</t>
  </si>
  <si>
    <t xml:space="preserve">Y_gi_p4 = </t>
  </si>
  <si>
    <t xml:space="preserve">Z_gi_p4 = </t>
  </si>
  <si>
    <t xml:space="preserve">      Angle "Gamma"</t>
  </si>
  <si>
    <t xml:space="preserve">             Unit Photo Point</t>
  </si>
  <si>
    <t xml:space="preserve">               Shuttle Location</t>
  </si>
  <si>
    <t xml:space="preserve">Y_gi_p1 = </t>
  </si>
  <si>
    <t xml:space="preserve">Z_gi_p1 = </t>
  </si>
  <si>
    <t>Angle Between Point "p1" and "p2"</t>
  </si>
  <si>
    <t>Unit Vector for "p1"</t>
  </si>
  <si>
    <t>Photo Point Vector Magnitude * k vector element of Unit Photo Point Vector =</t>
  </si>
  <si>
    <t>Compute the Earth Intersection Coordinates for Photo Point Vector "p2" in the Shuttle Coordinate System</t>
  </si>
  <si>
    <t>Error Message # 4</t>
  </si>
  <si>
    <t>Error Message # 5</t>
  </si>
  <si>
    <t xml:space="preserve">    2)  If user input Longitude is between 0 and -180 apply a rotation of 360 - user specified Longitude.</t>
  </si>
  <si>
    <t>+Z Axial Rotation Angle =</t>
  </si>
  <si>
    <t xml:space="preserve">                 Rotation Matrix =</t>
  </si>
  <si>
    <t>Rotation #2</t>
  </si>
  <si>
    <t>Rotate about the Global +Y axis by 90-Latitude of Point "sn".</t>
  </si>
  <si>
    <t xml:space="preserve">     Photo Center</t>
  </si>
  <si>
    <t>Enter a Negative value for the angle if it was measured Counter Clockwise</t>
  </si>
  <si>
    <t xml:space="preserve">Y_gi_p7 = </t>
  </si>
  <si>
    <t xml:space="preserve">Z_gi_p7 = </t>
  </si>
  <si>
    <t xml:space="preserve">X_gi_p6 = </t>
  </si>
  <si>
    <t xml:space="preserve">Y_gi_p6 = </t>
  </si>
  <si>
    <t xml:space="preserve">Z_gi_p6 = </t>
  </si>
  <si>
    <t>Compute the Global Earth Centered Coordinates for Point "p7"</t>
  </si>
  <si>
    <t xml:space="preserve">X_gi_p7 = </t>
  </si>
  <si>
    <t xml:space="preserve">If Auxiliary Point Information does Not exist, is the </t>
  </si>
  <si>
    <t>Top Width of the Format Different from the Side Height</t>
  </si>
  <si>
    <t xml:space="preserve">Rotation Matrix from Shuttle Rectangular </t>
  </si>
  <si>
    <t>Unit Vector for Point "p1"</t>
  </si>
  <si>
    <t xml:space="preserve">Global Coordinates </t>
  </si>
  <si>
    <t>Linear Distance</t>
  </si>
  <si>
    <t>Between Earth Center</t>
  </si>
  <si>
    <t xml:space="preserve">i_gi_p1 = </t>
  </si>
  <si>
    <t>Compute Unit Vector from Earth Center to the North Geographical Pole (Point "np")</t>
  </si>
  <si>
    <t>i_np =</t>
  </si>
  <si>
    <t>X_np/Radius of Earth =</t>
  </si>
  <si>
    <t>j_np =</t>
  </si>
  <si>
    <t xml:space="preserve">We do this by computing the angular rotations which align the X-Y-Z axes of the Global Rectangular Coordinate System </t>
  </si>
  <si>
    <t>Longitude#2 = arsin( Y_Coordiante /(Radius of Earth * Cos(Latitude) )</t>
  </si>
  <si>
    <t>Once the Latitude and Longitude is calculated we must correct the angle for the +/- range of each angle.  The equations produce the following angles</t>
  </si>
  <si>
    <t>Reverse the Direction of the Photo Point Vector so it points to the Earth</t>
  </si>
  <si>
    <t>To achieve this the photo must be rotated 20 degrees counter clockwise which</t>
  </si>
  <si>
    <r>
      <t>TEST</t>
    </r>
    <r>
      <rPr>
        <sz val="10"/>
        <rFont val="Geneva"/>
        <family val="0"/>
      </rPr>
      <t xml:space="preserve"> -  is the ORIGINAL value for the Longitude of the "pc" on the - side of the </t>
    </r>
  </si>
  <si>
    <t>12)    You are now ready to load the data into the Photo Calculator.</t>
  </si>
  <si>
    <t>Programmers Note</t>
  </si>
  <si>
    <t>Worksheet (E198-G200).</t>
  </si>
  <si>
    <t>"AUX_PT" worksheet and reset the above reference to the rotation matrix in the middle of the"Rec_Photo"</t>
  </si>
  <si>
    <t>Error Message #1 &amp; 2</t>
  </si>
  <si>
    <t>i_Lss-Lap =</t>
  </si>
  <si>
    <t>In Shuttle Coordinate System</t>
  </si>
  <si>
    <t>Correct Theta Angle for Positive or Negative Rotation direction</t>
  </si>
  <si>
    <t>Thus, when this computation yields a value greater then 1.0000000</t>
  </si>
  <si>
    <t>Revision:  3.01    Released: 11/01/02</t>
  </si>
  <si>
    <t xml:space="preserve">           If more precise results are desired, follow the steps in the</t>
  </si>
  <si>
    <t xml:space="preserve">                  geographic coordinates using appropriate image analysis/remote sensing software.</t>
  </si>
  <si>
    <t>Compute the Earth Intersection Coordinates for Pixel Point Vector "pr" in the Shuttle Coordinate System</t>
  </si>
  <si>
    <t>Compute the Earth Intersection Coordinates for Pixel Point Vector "pb" in the Shuttle Coordinate System</t>
  </si>
  <si>
    <t>Compute the Earth Intersection Coordinates for Pixel Point Vector "pl" in the Shuttle Coordinate System</t>
  </si>
  <si>
    <t>Compute the Earth Intersection Coordinates for Pixel Point Vector "pt" in the Shuttle Coordinate System</t>
  </si>
  <si>
    <t>Compute the Shuttle Rectangular Coordinates of the Pixel Points Projected to the Spherical Earth Surface</t>
  </si>
  <si>
    <t>Unit Vector for Point "pt"</t>
  </si>
  <si>
    <t>Unit Vector for Point "pl"</t>
  </si>
  <si>
    <t>Unit Vector for Point "pr"</t>
  </si>
  <si>
    <t>Unit Vector for Point "pb"</t>
  </si>
  <si>
    <r>
      <t>PURPOSE</t>
    </r>
    <r>
      <rPr>
        <b/>
        <sz val="10"/>
        <rFont val="Geneva"/>
        <family val="0"/>
      </rPr>
      <t xml:space="preserve">  This program will ESTIMATE the Latitude and Longitude of the visible corners of a Low Oblique Earth Photo taken from low</t>
    </r>
  </si>
  <si>
    <t>Rotation Angle</t>
  </si>
  <si>
    <t>Computation Worksheet - Do not change or enter any data on this worksheet.</t>
  </si>
  <si>
    <t xml:space="preserve">k_SZ_pt = </t>
  </si>
  <si>
    <t xml:space="preserve">i_SX_pl = </t>
  </si>
  <si>
    <t>Convert the Shuttle Rectangular Coordinates of the Pixel Points Back to the</t>
  </si>
  <si>
    <t>Equivalent Ground Size</t>
  </si>
  <si>
    <t xml:space="preserve">Equivalent Ground Size </t>
  </si>
  <si>
    <t xml:space="preserve">SX_pt = </t>
  </si>
  <si>
    <t>i_RSX_pt</t>
  </si>
  <si>
    <t>j_RSX_pt</t>
  </si>
  <si>
    <t>k_RSX_pt</t>
  </si>
  <si>
    <t>Compute the Global Earth Centered Coordinates for Point "pt"</t>
  </si>
  <si>
    <r>
      <t xml:space="preserve">The </t>
    </r>
    <r>
      <rPr>
        <b/>
        <sz val="12"/>
        <rFont val="Geneva"/>
        <family val="0"/>
      </rPr>
      <t>Transformation from the Shuttle Coordinate System to the Global Coordinate Systems</t>
    </r>
  </si>
  <si>
    <t>Compute the Global Earth Centered Coordinates for Point "pl"</t>
  </si>
  <si>
    <t>Compute the Global Earth Centered Coordinates for Point "pr"</t>
  </si>
  <si>
    <t>Compute the Global Earth Centered Coordinates for Point "pb"</t>
  </si>
  <si>
    <t xml:space="preserve">X_gi_pb = </t>
  </si>
  <si>
    <t xml:space="preserve">Y_gi_pb = </t>
  </si>
  <si>
    <r>
      <t xml:space="preserve">     center point</t>
    </r>
    <r>
      <rPr>
        <sz val="10"/>
        <rFont val="Geneva"/>
        <family val="0"/>
      </rPr>
      <t>.  For approximate calculations, values from NASA's</t>
    </r>
  </si>
  <si>
    <t xml:space="preserve">       as listed for the photo in NASA's Astronaut Photograph Database.</t>
  </si>
  <si>
    <t>Unit Vector for "pt"</t>
  </si>
  <si>
    <t>Unit Vector for "pb"</t>
  </si>
  <si>
    <t xml:space="preserve">i_gi_pt = </t>
  </si>
  <si>
    <t xml:space="preserve">j_gi_pt = </t>
  </si>
  <si>
    <t xml:space="preserve">k_gi_pt = </t>
  </si>
  <si>
    <t xml:space="preserve">i_gi_pl = </t>
  </si>
  <si>
    <t xml:space="preserve">j_gi_pl = </t>
  </si>
  <si>
    <t xml:space="preserve">k_gi_pl = </t>
  </si>
  <si>
    <t xml:space="preserve">i_gi_pr = </t>
  </si>
  <si>
    <t xml:space="preserve">        negative counter clockwise angle) about the center of the photo</t>
  </si>
  <si>
    <t>towards the horizon.</t>
  </si>
  <si>
    <r>
      <t xml:space="preserve">       </t>
    </r>
    <r>
      <rPr>
        <b/>
        <sz val="10"/>
        <color indexed="10"/>
        <rFont val="Geneva"/>
        <family val="0"/>
      </rPr>
      <t>identified Auxiliary Point</t>
    </r>
    <r>
      <rPr>
        <sz val="10"/>
        <rFont val="Geneva"/>
        <family val="0"/>
      </rPr>
      <t xml:space="preserve"> visible on the photo for which</t>
    </r>
  </si>
  <si>
    <t>Protractor</t>
  </si>
  <si>
    <t>Given the Rectangular Coordinates of a point (and the radius of the earth) the following equations will compute the</t>
  </si>
  <si>
    <t>Angle Between Point "p2" and "p3"</t>
  </si>
  <si>
    <t>Unit Vector for "p3"</t>
  </si>
  <si>
    <t>Angle Between Point "p3" and "p5"</t>
  </si>
  <si>
    <t>Unit Vector for "p5"</t>
  </si>
  <si>
    <t xml:space="preserve">           for each photo from NASA's Astronaut Photography Database.</t>
  </si>
  <si>
    <t>Auxiliary Point Input - Which provides more precise results</t>
  </si>
  <si>
    <t>Results are displayed in the bottom half of the "Input-Output" Worksheet.</t>
  </si>
  <si>
    <t>1)  The latitude equation directly computes the correct latitude in the range of -90 to +90 degrees.</t>
  </si>
  <si>
    <t>Since Longitude rotation is measured with a +/- angle from the +X axis we can use the Longitude value directly</t>
  </si>
  <si>
    <t>according to the following rules</t>
  </si>
  <si>
    <t xml:space="preserve">    1)  If user input Longitude is between 0 and +180 apply the user specified Longitude</t>
  </si>
  <si>
    <t>Z=Radius of Earth*Sin(Latitude)</t>
  </si>
  <si>
    <t>Enter a Positive value for the angle if it was measured Clockwise</t>
  </si>
  <si>
    <t>Angle between 2 vectors = across (Vector A • Vector B)/ || Vector A || * || Vector B ||</t>
  </si>
  <si>
    <t xml:space="preserve">Where </t>
  </si>
  <si>
    <t>Vector A - Shuttle to Earth Center Unit Vector</t>
  </si>
  <si>
    <t xml:space="preserve">        X_p5 = </t>
  </si>
  <si>
    <t xml:space="preserve">        Y_p5 = </t>
  </si>
  <si>
    <t>Convert the Global Rectangular Coordinates for Point "pb" to Spherical Coordinates</t>
  </si>
  <si>
    <t>Compute the Arc Distance on the Spheroid Between Each Pixel Point</t>
  </si>
  <si>
    <t>Convert the Global (Earth Centered) Rectangular Coordinates of the Pixel Points Back to the</t>
  </si>
  <si>
    <t>Shuttle Coordinate for Point "pt"</t>
  </si>
  <si>
    <t>Shuttle Coordinate for Point "pl"</t>
  </si>
  <si>
    <t>Shuttle Coordinate for Point "pr"</t>
  </si>
  <si>
    <t>Shuttle Coordinate for Point "pb"</t>
  </si>
  <si>
    <t xml:space="preserve">X_pt = </t>
  </si>
  <si>
    <t xml:space="preserve">Y_pt = </t>
  </si>
  <si>
    <t xml:space="preserve">Z_pt = </t>
  </si>
  <si>
    <t xml:space="preserve">X_pl = </t>
  </si>
  <si>
    <t xml:space="preserve">Y_pl = </t>
  </si>
  <si>
    <t xml:space="preserve">NOTE:   All of these values (accurate to +/- 0.5 degrees ) can be obtained </t>
  </si>
  <si>
    <t xml:space="preserve">      the user should verify the coordinates of the photo center.</t>
  </si>
  <si>
    <r>
      <t xml:space="preserve">b)   </t>
    </r>
    <r>
      <rPr>
        <b/>
        <sz val="10"/>
        <color indexed="10"/>
        <rFont val="Geneva"/>
        <family val="0"/>
      </rPr>
      <t>The orbital altitude of the Shuttle</t>
    </r>
    <r>
      <rPr>
        <sz val="10"/>
        <rFont val="Geneva"/>
        <family val="0"/>
      </rPr>
      <t xml:space="preserve"> in Kilometers or Nautical</t>
    </r>
  </si>
  <si>
    <t>The worksheets following the "Input-Output" sheet contain</t>
  </si>
  <si>
    <t xml:space="preserve">                  orbiting space vehicles.  Users needing more exact photo corner coordinates should attempt to register their photo to </t>
  </si>
  <si>
    <t>Convert the Global Rectangular Coordinates for Point "p4" to Spherical Coordinates</t>
  </si>
  <si>
    <t>For Point "p4"</t>
  </si>
  <si>
    <t>Convert the Global Rectangular Coordinates for Principle Point to Spherical Coordinates</t>
  </si>
  <si>
    <t>For Principle Point</t>
  </si>
  <si>
    <t xml:space="preserve">            Photo Center</t>
  </si>
  <si>
    <t xml:space="preserve">      earth's surface over which the vehicle was located at the time</t>
  </si>
  <si>
    <t xml:space="preserve">  </t>
  </si>
  <si>
    <t>+Y axis of Photo Coordinate System</t>
  </si>
  <si>
    <t>Top of Photo</t>
  </si>
  <si>
    <t>-X axis of Photo Coord System</t>
  </si>
  <si>
    <t xml:space="preserve">Top of Photo </t>
  </si>
  <si>
    <t xml:space="preserve">    Angle = asin(Y value/ Linear distance to Aux Pt)</t>
  </si>
  <si>
    <t xml:space="preserve">Longitude2 = </t>
  </si>
  <si>
    <t>Corrected Spherical Coordinates</t>
  </si>
  <si>
    <t>Spherical Earth Model</t>
  </si>
  <si>
    <t xml:space="preserve">X_ei_pp = </t>
  </si>
  <si>
    <t xml:space="preserve">Y_ei_pp = </t>
  </si>
  <si>
    <t xml:space="preserve">Z_ei_pp = </t>
  </si>
  <si>
    <t>Compute the Earth Intersection Coordinates for Photo Point Vector "p5" in the Shuttle Coordinate System</t>
  </si>
  <si>
    <t xml:space="preserve">           Space Vehicle</t>
  </si>
  <si>
    <t xml:space="preserve">          Nadir Point</t>
  </si>
  <si>
    <t xml:space="preserve">  Compute the Angle between the two vectors</t>
  </si>
  <si>
    <t>When the Unit Photo Vector is perfectly tangent with the surface of the Earth</t>
  </si>
  <si>
    <t xml:space="preserve">Unit Photo Vector </t>
  </si>
  <si>
    <t>When the Unit Photo Vector does not intersect the earth it becomes</t>
  </si>
  <si>
    <t xml:space="preserve">     Sin(Gamma) * Dist from Shuttle to Earth Center</t>
  </si>
  <si>
    <t>Ysn/Radius of Earth =</t>
  </si>
  <si>
    <t>Error Message #1</t>
  </si>
  <si>
    <t>k_sn =</t>
  </si>
  <si>
    <t>Zsn/Radius of Earth =</t>
  </si>
  <si>
    <t>Side Height</t>
  </si>
  <si>
    <t>TOP Width</t>
  </si>
  <si>
    <t>Greenwich Meridian.  One will have a modified Longitude value in the 350 to 359</t>
  </si>
  <si>
    <r>
      <t xml:space="preserve">c)   </t>
    </r>
    <r>
      <rPr>
        <b/>
        <sz val="10"/>
        <color indexed="10"/>
        <rFont val="Geneva"/>
        <family val="0"/>
      </rPr>
      <t xml:space="preserve">Geographic Location </t>
    </r>
    <r>
      <rPr>
        <sz val="10"/>
        <rFont val="Geneva"/>
        <family val="0"/>
      </rPr>
      <t xml:space="preserve">(Latitude and Longitude) </t>
    </r>
    <r>
      <rPr>
        <b/>
        <sz val="10"/>
        <color indexed="10"/>
        <rFont val="Geneva"/>
        <family val="0"/>
      </rPr>
      <t>of the Photo</t>
    </r>
  </si>
  <si>
    <t xml:space="preserve">j_SY_pl = </t>
  </si>
  <si>
    <t xml:space="preserve">k_SZ_pl = </t>
  </si>
  <si>
    <t xml:space="preserve">i_SX_pr = </t>
  </si>
  <si>
    <t xml:space="preserve">j_SY_pr = </t>
  </si>
  <si>
    <t xml:space="preserve">k_SZ_pr = </t>
  </si>
  <si>
    <t xml:space="preserve">j_SY_pb = </t>
  </si>
  <si>
    <t xml:space="preserve">k_SZ_pb = </t>
  </si>
  <si>
    <t xml:space="preserve">i_SX_pb= </t>
  </si>
  <si>
    <t xml:space="preserve">SZ_pb = </t>
  </si>
  <si>
    <t xml:space="preserve">SY_pb = </t>
  </si>
  <si>
    <t xml:space="preserve">SX_pb = </t>
  </si>
  <si>
    <t xml:space="preserve">SZ_pl = </t>
  </si>
  <si>
    <t xml:space="preserve">SY_pl = </t>
  </si>
  <si>
    <t xml:space="preserve">SX_pl = </t>
  </si>
  <si>
    <t xml:space="preserve">SX_pr = </t>
  </si>
  <si>
    <t xml:space="preserve">SY_pr = </t>
  </si>
  <si>
    <t xml:space="preserve">SZ_pr = </t>
  </si>
  <si>
    <t xml:space="preserve">SZ_pt = </t>
  </si>
  <si>
    <t xml:space="preserve">SY_pt = </t>
  </si>
  <si>
    <t xml:space="preserve">      of photo exposure), as listed in NASA's Astronaut Photograph Database.</t>
  </si>
  <si>
    <t xml:space="preserve">       Miles as listed for the photo in NASA's Astronaut Photograph Database.</t>
  </si>
  <si>
    <t>Is the Original value of "sn" within 10 degrees of the 180th meridian</t>
  </si>
  <si>
    <t>Greenwich Meridian.  One will have a modified Longitude value in the 354 to 359</t>
  </si>
  <si>
    <t>Is the Original value of "pc" within 5 degrees of Greenwich</t>
  </si>
  <si>
    <t>A similar Problem occurs if the "pc" and "an" are within 5 degrees of the</t>
  </si>
  <si>
    <t>Is the Original value of "pc" within 5 degrees of the 180th meridian</t>
  </si>
  <si>
    <t>Does Auxiliary Point Information Exist</t>
  </si>
  <si>
    <t>Angle Between Point "p4" and "pp"</t>
  </si>
  <si>
    <t>Unit Vector for "p4"</t>
  </si>
  <si>
    <t>Unit Vector for "pp"</t>
  </si>
  <si>
    <t>Angle Between Point "pp" and "p5"</t>
  </si>
  <si>
    <t>Angle Between Point "pp" and "p8"</t>
  </si>
  <si>
    <t>Unit Vector for "p8"</t>
  </si>
  <si>
    <t xml:space="preserve">           Rotate Photo about the +Z axis</t>
  </si>
  <si>
    <t>Are all three of the above tests TRUE</t>
  </si>
  <si>
    <t>Vector B - Earth Pointing Photo Point Unit Vector</t>
  </si>
  <si>
    <t>Rotation about the +Z axis is measured in angular units from the plane defined by the +X and +Z</t>
  </si>
  <si>
    <t xml:space="preserve">axes in the direction given by the right hand rule. </t>
  </si>
  <si>
    <t>The difference will exceed 5 degrees</t>
  </si>
  <si>
    <t>Check if Longitude of Photo Center and Auxiliary Point are within 5 Degrees of each other</t>
  </si>
  <si>
    <t>value should be less then 5 degrees</t>
  </si>
  <si>
    <t>values less then 5 degrees</t>
  </si>
  <si>
    <t xml:space="preserve">              Theta</t>
  </si>
  <si>
    <t xml:space="preserve">  Long_pc</t>
  </si>
  <si>
    <t xml:space="preserve">                sn</t>
  </si>
  <si>
    <t xml:space="preserve">   esn</t>
  </si>
  <si>
    <t xml:space="preserve">                + X Axis</t>
  </si>
  <si>
    <t xml:space="preserve">             pc</t>
  </si>
  <si>
    <t xml:space="preserve">      Earth</t>
  </si>
  <si>
    <t xml:space="preserve">     Center</t>
  </si>
  <si>
    <t xml:space="preserve">     esn</t>
  </si>
  <si>
    <t>and Equator Point of Shuttle Nadir "esn" the Local Shuttle Centered Rectangular Coordinates System</t>
  </si>
  <si>
    <t xml:space="preserve">      Astronaut Photograph Database my be used.  For more precise results</t>
  </si>
  <si>
    <t xml:space="preserve">        relative to a line from the photo center to the top of the image.</t>
  </si>
  <si>
    <t xml:space="preserve">J) </t>
  </si>
  <si>
    <t>Compute the Locations of a Pixel at the Center of the Image, Relative to the Photo Coordinate Systems</t>
  </si>
  <si>
    <t>pixels</t>
  </si>
  <si>
    <t>X_pr=</t>
  </si>
  <si>
    <t>Y_pr=</t>
  </si>
  <si>
    <t>X_pt=</t>
  </si>
  <si>
    <t>Y_pt=</t>
  </si>
  <si>
    <t>Y_pb=</t>
  </si>
  <si>
    <t>X_pb=</t>
  </si>
  <si>
    <t>Compute the Coordinates of the Pixel Points in the Shuttle Rectangular Coordinate System</t>
  </si>
  <si>
    <r>
      <t xml:space="preserve">     </t>
    </r>
    <r>
      <rPr>
        <b/>
        <sz val="10"/>
        <color indexed="10"/>
        <rFont val="Geneva"/>
        <family val="0"/>
      </rPr>
      <t xml:space="preserve"> Shuttle's Nadir Point</t>
    </r>
    <r>
      <rPr>
        <sz val="10"/>
        <rFont val="Geneva"/>
        <family val="0"/>
      </rPr>
      <t xml:space="preserve">  (i.e. the geographical point on the</t>
    </r>
  </si>
  <si>
    <t xml:space="preserve">Longitude1 = </t>
  </si>
  <si>
    <t>Input and output error messages are contained</t>
  </si>
  <si>
    <t>in the "Input-Output" Worksheet</t>
  </si>
  <si>
    <t>I.e.  A "pc" a -1 degree (+359 degrees) is greater then the "sn" at +1 degree so Theta would</t>
  </si>
  <si>
    <t xml:space="preserve">       be given a positive rotation rather then a negative value.</t>
  </si>
  <si>
    <t>Computed</t>
  </si>
  <si>
    <t>Compute the Magnitude of the Photo Point Vector to the Surface of the Earth by the Law of Cosines</t>
  </si>
  <si>
    <t>Error Message # 3</t>
  </si>
  <si>
    <t>For Point "p1"</t>
  </si>
  <si>
    <t>to align the global +X axis with a point on the equator which has the same Longitude as point "sn" which is the point "esn".</t>
  </si>
  <si>
    <t>Product of Two Rotations</t>
  </si>
  <si>
    <t>So the rotation angle entered by the user is relative to the</t>
  </si>
  <si>
    <t>+X axis in Photo Coordinate System</t>
  </si>
  <si>
    <t xml:space="preserve">                       +Y axis in Photo Coordinate System</t>
  </si>
  <si>
    <t>System</t>
  </si>
  <si>
    <t>+Y axis of</t>
  </si>
  <si>
    <t xml:space="preserve">    Angle = acos(x value/ Linear distance to Aux Pt)</t>
  </si>
  <si>
    <r>
      <t>Cross Product (</t>
    </r>
    <r>
      <rPr>
        <b/>
        <sz val="10"/>
        <rFont val="Geneva"/>
        <family val="0"/>
      </rPr>
      <t>Vector Normal to Plane "B"</t>
    </r>
    <r>
      <rPr>
        <sz val="10"/>
        <rFont val="Geneva"/>
        <family val="0"/>
      </rPr>
      <t>)</t>
    </r>
  </si>
  <si>
    <t>Vector #3</t>
  </si>
  <si>
    <t>Vector #4</t>
  </si>
  <si>
    <t xml:space="preserve">i_np2 = </t>
  </si>
  <si>
    <t xml:space="preserve"> (Y_Lsn - Y_Lss )/ LD_sn =</t>
  </si>
  <si>
    <t xml:space="preserve">k_Lsn = </t>
  </si>
  <si>
    <t xml:space="preserve"> (Z_Lsn - Z_Lss )/ LD_sn =</t>
  </si>
  <si>
    <t>3)</t>
  </si>
  <si>
    <t>Compute the Unit Vector from the Shuttle Location to Point "pc" in the Local Shuttle Coordinate System.</t>
  </si>
  <si>
    <t xml:space="preserve">X_Lss = </t>
  </si>
  <si>
    <t xml:space="preserve">Y_Lss = </t>
  </si>
  <si>
    <t>The Normalized vector from the Shuttle's Location to Point "pc" was computed at the top of this worksheet.</t>
  </si>
  <si>
    <t>Vector A</t>
  </si>
  <si>
    <t>Vector #4  Earth Center to Point "pc"</t>
  </si>
  <si>
    <t>Earth Centered Rectangular Coordinate System</t>
  </si>
  <si>
    <t>Since the Shuttle Rectangular and Global Rectangular Coordinate Systems are orthogonal the rotation</t>
  </si>
  <si>
    <t>We create a Local Photo Rectangular Coordinate System based on the following criteria:</t>
  </si>
  <si>
    <t>Is the Original value of "sn" within 10 degrees of Greenwich</t>
  </si>
  <si>
    <t>A similar Problem occurs if the "sn" and "pc" are within 10 degrees of the</t>
  </si>
  <si>
    <t xml:space="preserve">           "How-To-Use" worksheet.</t>
  </si>
  <si>
    <r>
      <t xml:space="preserve">d)   </t>
    </r>
    <r>
      <rPr>
        <b/>
        <sz val="10"/>
        <color indexed="10"/>
        <rFont val="Geneva"/>
        <family val="0"/>
      </rPr>
      <t>The focal length of the camera lens</t>
    </r>
    <r>
      <rPr>
        <sz val="10"/>
        <rFont val="Geneva"/>
        <family val="0"/>
      </rPr>
      <t xml:space="preserve"> in millimeters (mm) </t>
    </r>
  </si>
  <si>
    <r>
      <t xml:space="preserve">e)    </t>
    </r>
    <r>
      <rPr>
        <b/>
        <sz val="10"/>
        <color indexed="10"/>
        <rFont val="Geneva"/>
        <family val="0"/>
      </rPr>
      <t>The size of the film image</t>
    </r>
    <r>
      <rPr>
        <sz val="10"/>
        <rFont val="Geneva"/>
        <family val="0"/>
      </rPr>
      <t xml:space="preserve"> in millimeters (mm)</t>
    </r>
  </si>
  <si>
    <t>Space Vehicle Location (Perspective Center)</t>
  </si>
  <si>
    <t xml:space="preserve">                                   </t>
  </si>
  <si>
    <t xml:space="preserve">See the "How-To-Use" worksheet for step by step instructions </t>
  </si>
  <si>
    <t>Phase I</t>
  </si>
  <si>
    <t>The Ground Distance, which is actually an arc along the surface of the Spheroid Earth, is computed</t>
  </si>
  <si>
    <t>Compute the Earth Intersection Coordinates for Photo Point Vector "p8" in the Shuttle Coordinate System</t>
  </si>
  <si>
    <t>Error Message # 25</t>
  </si>
  <si>
    <t>Error Message # 26</t>
  </si>
  <si>
    <t>Error Message # 27</t>
  </si>
  <si>
    <t>Note:  Corner Photo Points Valid Only if Accurate Auxiliary Point Data is Included</t>
  </si>
  <si>
    <t>m )</t>
  </si>
  <si>
    <t>Rotation #1</t>
  </si>
  <si>
    <t>Rotate about the Global +Z axis by the Longitude of Point "sn".</t>
  </si>
  <si>
    <t xml:space="preserve">Standard Rotation Equations for </t>
  </si>
  <si>
    <t xml:space="preserve">       Earth</t>
  </si>
  <si>
    <t xml:space="preserve">      Z value</t>
  </si>
  <si>
    <t xml:space="preserve">       - Y Axis</t>
  </si>
  <si>
    <t xml:space="preserve">      Center</t>
  </si>
  <si>
    <t xml:space="preserve">             +Y Axis</t>
  </si>
  <si>
    <t xml:space="preserve">           Y Value</t>
  </si>
  <si>
    <t>Rectangular to Spherical Coordinate Conversion Equations</t>
  </si>
  <si>
    <t xml:space="preserve">      When the computed angle is NEGATIVE, the point is on the NEGATIVE Longitude side of the Earth</t>
  </si>
  <si>
    <t>- Longitude #2</t>
  </si>
  <si>
    <t xml:space="preserve">           + LATITUDE</t>
  </si>
  <si>
    <t xml:space="preserve"> + Longitude #1</t>
  </si>
  <si>
    <t>+ Latitude #2</t>
  </si>
  <si>
    <t>3)  Rotation about the Z axis of the Photo</t>
  </si>
  <si>
    <t>for Rotation About the Z axis</t>
  </si>
  <si>
    <t>R_Z(Angle) =</t>
  </si>
  <si>
    <t>Cos(Angle)</t>
  </si>
  <si>
    <t>Sin(Angle)</t>
  </si>
  <si>
    <t>-Sin(Angle)</t>
  </si>
  <si>
    <t>degree range. The other will have a modified value in the 0 to 5 range</t>
  </si>
  <si>
    <t xml:space="preserve"> Perform the more difficult calculation within this local coordinate system and</t>
  </si>
  <si>
    <t xml:space="preserve"> then convert the solutions back to the global coordinate system.</t>
  </si>
  <si>
    <t>Definition of Local Shuttle Centered Coordinate System</t>
  </si>
  <si>
    <t xml:space="preserve">When "pc" and "ap" are both within 5 degrees of, but on opposite sides of the </t>
  </si>
  <si>
    <t>180 degrees - Angle "Gamma" - Angle "Zeta"</t>
  </si>
  <si>
    <t xml:space="preserve">+Y Rotation Angle = 360-Alpha= </t>
  </si>
  <si>
    <t>5)   Compute the magnitude of the Photo Point Vector from the Law of Cosines</t>
  </si>
  <si>
    <r>
      <t>(Magnitude of Photo Point Vector)^2</t>
    </r>
    <r>
      <rPr>
        <sz val="10"/>
        <rFont val="Geneva"/>
        <family val="0"/>
      </rPr>
      <t xml:space="preserve"> = (Distance from Shuttle to Earth Center)^2 +(Radius of Earth) ^2 - </t>
    </r>
  </si>
  <si>
    <t xml:space="preserve"> Longitude of the vehicle's Nadir point at the time of photo exposure.</t>
  </si>
  <si>
    <t>Basic Assumptions Used in the Math Model</t>
  </si>
  <si>
    <t>in the top half the "Input-Output" worksheet.</t>
  </si>
  <si>
    <t>REQUIRED user input include:</t>
  </si>
  <si>
    <r>
      <t>EXAMPLE</t>
    </r>
    <r>
      <rPr>
        <sz val="10"/>
        <rFont val="Geneva"/>
        <family val="0"/>
      </rPr>
      <t xml:space="preserve">    Computed Values</t>
    </r>
  </si>
  <si>
    <t>Latitude =</t>
  </si>
  <si>
    <t>Corrected Values will Be</t>
  </si>
  <si>
    <t>Longitude#1 =</t>
  </si>
  <si>
    <t>Longitude#2 =</t>
  </si>
  <si>
    <t>Radians</t>
  </si>
  <si>
    <t>4)</t>
  </si>
  <si>
    <t>Note:  The North Pole and point "esn" were chosen to define this plane since they create a large well</t>
  </si>
  <si>
    <t xml:space="preserve">           defined plane which has it normal vector pointed in the positive rotation direction about the +Z axis.</t>
  </si>
  <si>
    <t>Rectangular Coordinates for Auxiliary Photo Point</t>
  </si>
  <si>
    <t>Xap =</t>
  </si>
  <si>
    <t>Yap =</t>
  </si>
  <si>
    <t>Zap =</t>
  </si>
  <si>
    <t>To Facilitate Later Calculations it is Necessary to Compute the Global Rectangular Coordinates of</t>
  </si>
  <si>
    <r>
      <t>Cross Product (</t>
    </r>
    <r>
      <rPr>
        <b/>
        <sz val="10"/>
        <rFont val="Geneva"/>
        <family val="0"/>
      </rPr>
      <t>Vector Normal to Plane "A"</t>
    </r>
    <r>
      <rPr>
        <sz val="10"/>
        <rFont val="Geneva"/>
        <family val="0"/>
      </rPr>
      <t>)</t>
    </r>
  </si>
  <si>
    <t>i</t>
  </si>
  <si>
    <t>j</t>
  </si>
  <si>
    <t>k</t>
  </si>
  <si>
    <t>Vector #1</t>
  </si>
  <si>
    <t>Vector #2</t>
  </si>
  <si>
    <t xml:space="preserve">i_np1 = </t>
  </si>
  <si>
    <t xml:space="preserve">j_np1 = </t>
  </si>
  <si>
    <t>Spherical Coordinates of Point on Equator which has</t>
  </si>
  <si>
    <t xml:space="preserve">k_np1 = </t>
  </si>
  <si>
    <t xml:space="preserve">2 )  </t>
  </si>
  <si>
    <t>Convert the Global Rectangular Coordinates for Point "p2" to Spherical Coordinates</t>
  </si>
  <si>
    <t>For Point "p2"</t>
  </si>
  <si>
    <t>Convert the Global Rectangular Coordinates for Point "p3" to Spherical Coordinates</t>
  </si>
  <si>
    <t>For Point "p3"</t>
  </si>
  <si>
    <t>Zpc/Radius of Earth =</t>
  </si>
  <si>
    <t xml:space="preserve"> zero we will reduce the problem to two dimensions.</t>
  </si>
  <si>
    <t>Since all point on the Photo have a "Z" value of</t>
  </si>
  <si>
    <t xml:space="preserve">  Y axis value</t>
  </si>
  <si>
    <t xml:space="preserve">      X axis value</t>
  </si>
  <si>
    <t>The deflection angle left of right of the "-X" axis</t>
  </si>
  <si>
    <t>"-X" axis of Photo Coordinate System</t>
  </si>
  <si>
    <t>Photo Coord</t>
  </si>
  <si>
    <t>spherical earth surface in the Shuttle Rectangular Coordinate System</t>
  </si>
  <si>
    <t xml:space="preserve">       +Y axis in Shuttle Coordinate System</t>
  </si>
  <si>
    <t>Shuttle Location (Perspective Center)</t>
  </si>
  <si>
    <t>Compute the Relationship Between the Shuttle Rectangular Coordinates System back to the Global</t>
  </si>
  <si>
    <t>Composite Rotation Matrix can be used to apply the specified rotations to a set of coordinates using the following equation:</t>
  </si>
  <si>
    <t>X_rotated</t>
  </si>
  <si>
    <t>X_original</t>
  </si>
  <si>
    <t>Y_rotated</t>
  </si>
  <si>
    <t xml:space="preserve">           =   </t>
  </si>
  <si>
    <t>Rotation Matrix</t>
  </si>
  <si>
    <t xml:space="preserve">   Multiplied by</t>
  </si>
  <si>
    <t>Y_original</t>
  </si>
  <si>
    <t>Z_rotated</t>
  </si>
  <si>
    <t>Z_original</t>
  </si>
  <si>
    <t>i_RSX_p2</t>
  </si>
  <si>
    <t>Draw a line from nadir to the photo center point extending it past the center to the far edge of the photo.</t>
  </si>
  <si>
    <t xml:space="preserve">     image and mark it on the acetate.</t>
  </si>
  <si>
    <t xml:space="preserve">            Database, this value is only accurate to about +/- 0.5 degrees.  We </t>
  </si>
  <si>
    <t>Photo Points</t>
  </si>
  <si>
    <t>i_sn * Scale Factor =</t>
  </si>
  <si>
    <t xml:space="preserve">Yss = </t>
  </si>
  <si>
    <t>j_sn * Scale Factor =</t>
  </si>
  <si>
    <t>Convert Spherical Coordinates for Shuttle Nadir and</t>
  </si>
  <si>
    <t>change in the Z coordinate equal to the radius of the earth plus the altitude of the shuttle (which equals:</t>
  </si>
  <si>
    <t>Error Checking and Detection Summary</t>
  </si>
  <si>
    <t>Error</t>
  </si>
  <si>
    <t>Status</t>
  </si>
  <si>
    <t>Message #</t>
  </si>
  <si>
    <t>Code</t>
  </si>
  <si>
    <t>Total Errors</t>
  </si>
  <si>
    <t>Phase II</t>
  </si>
  <si>
    <t xml:space="preserve">Convert From the Earth Centered Global Rectangular Coordinate System </t>
  </si>
  <si>
    <t>to a Local Shuttle Centered Rectangular Coordinate System</t>
  </si>
  <si>
    <t>Comments:</t>
  </si>
  <si>
    <t xml:space="preserve">The Center of a photo must be within 10 degrees of Latitude and Longitude of the Shuttle Nadir Location to be classified, </t>
  </si>
  <si>
    <t>Center (Angle "Gamma")</t>
  </si>
  <si>
    <t xml:space="preserve">           X Value</t>
  </si>
  <si>
    <t xml:space="preserve">                        '+ X Axis</t>
  </si>
  <si>
    <t xml:space="preserve">                     0 Deg Longitude</t>
  </si>
  <si>
    <t>by NASA, as a low oblique space photo.</t>
  </si>
  <si>
    <t>Leave Blank if not Used</t>
  </si>
  <si>
    <t>Compute the Local Shuttle Rectangular Coordinates for Points: "sc", "pc", "Center of Earth"</t>
  </si>
  <si>
    <t xml:space="preserve">                           South Pole      -Z Axis</t>
  </si>
  <si>
    <t>Znew = Xold * 0                                +     Yold * 0                           + Zold * 1</t>
  </si>
  <si>
    <t xml:space="preserve">Standard  3-D Rotation Matrix </t>
  </si>
  <si>
    <t>4)  Compute Angle "Epsilon" based on the fact that the sum of the three interior angles of a plainer triangle must sum to 180 degrees</t>
  </si>
  <si>
    <t>Angle "Epsilon" =</t>
  </si>
  <si>
    <t xml:space="preserve">      Vector from the Photo Center to the</t>
  </si>
  <si>
    <t xml:space="preserve">      Shuttle</t>
  </si>
  <si>
    <t>We know the distance from the Shuttle to the Photo Principle Point equals the Focal Length</t>
  </si>
  <si>
    <t>to Shuttle vector with the Photo using the following:</t>
  </si>
  <si>
    <t>Distance to Photo</t>
  </si>
  <si>
    <t>Distance to Photo = Focal Length / Cos(Angle Between the Vectors)</t>
  </si>
  <si>
    <t>Compute the Earth Intersection Coordinates for Photo Point Vector "p4" in the Shuttle Coordinate System</t>
  </si>
  <si>
    <t>Error Message # 10</t>
  </si>
  <si>
    <t>and the Central Axis of the Photo) in the Local Shuttle Rectangular Coordinate System</t>
  </si>
  <si>
    <t xml:space="preserve"> (X_Lsn - X_Lss )/ LD_sn =</t>
  </si>
  <si>
    <t xml:space="preserve">j_Lsn = </t>
  </si>
  <si>
    <t>Compute the +Y Rotation Matrix between the Local Shuttle and Photo Coordinate Systems</t>
  </si>
  <si>
    <t>+Y Rotation Angle=</t>
  </si>
  <si>
    <t>Error Message #9</t>
  </si>
  <si>
    <t xml:space="preserve">Compute the Relationship between the Local Shuttle and Photo Coordinate Systems using the </t>
  </si>
  <si>
    <t>Rotation about the Z axis</t>
  </si>
  <si>
    <t xml:space="preserve">X_gi_sn = </t>
  </si>
  <si>
    <t xml:space="preserve">Y_gi_sn = </t>
  </si>
  <si>
    <t xml:space="preserve">Z_gi_sn = </t>
  </si>
  <si>
    <t xml:space="preserve">X_gi_pc = </t>
  </si>
  <si>
    <t xml:space="preserve">Y_gi_pc = </t>
  </si>
  <si>
    <t xml:space="preserve">Z_gi_pc = </t>
  </si>
  <si>
    <t>Latitude Equation</t>
  </si>
  <si>
    <t>TEST</t>
  </si>
  <si>
    <t>Shuttle Centered Rectangular Coordinates for "Shuttle"</t>
  </si>
  <si>
    <t xml:space="preserve">X_Lss </t>
  </si>
  <si>
    <t xml:space="preserve"> Xss</t>
  </si>
  <si>
    <t>Compute the Inverse Relationship from the Photo Coordinate System</t>
  </si>
  <si>
    <t>Reversing the direction of the Normalized Vector (by changing the sign of each vector element) and Multiplying</t>
  </si>
  <si>
    <t>it by the Focal Length produces the Coordinates of the Principle Point</t>
  </si>
  <si>
    <t>Reversed Normalized Vector</t>
  </si>
  <si>
    <t xml:space="preserve">i_RLpc = </t>
  </si>
  <si>
    <t xml:space="preserve"> i_Lpc *-1 = </t>
  </si>
  <si>
    <t xml:space="preserve">j_RLpc = </t>
  </si>
  <si>
    <t xml:space="preserve">j_Lpc *-1 = </t>
  </si>
  <si>
    <t xml:space="preserve">k_RLpc = </t>
  </si>
  <si>
    <t xml:space="preserve">k_Lpc *-1 = </t>
  </si>
  <si>
    <t xml:space="preserve">Camera Focal Length = </t>
  </si>
  <si>
    <t xml:space="preserve">mm       = </t>
  </si>
  <si>
    <t xml:space="preserve"> meters</t>
  </si>
  <si>
    <t>Phase IV</t>
  </si>
  <si>
    <t>Phase III</t>
  </si>
  <si>
    <t>Photo +Y Axis</t>
  </si>
  <si>
    <t xml:space="preserve">X_p1 = </t>
  </si>
  <si>
    <t>Y_Lss  =</t>
  </si>
  <si>
    <t>Z_Lss  =</t>
  </si>
  <si>
    <t>Error Message # 3 - 5</t>
  </si>
  <si>
    <t xml:space="preserve">X_Lpp = </t>
  </si>
  <si>
    <t>This is done my multiplying the three individual rotations matrices together in the opposite order to their creation :</t>
  </si>
  <si>
    <t>Rotation order</t>
  </si>
  <si>
    <t xml:space="preserve">we can reduce the mathematics for computing the earth intersection point to a simple triangle </t>
  </si>
  <si>
    <t>so</t>
  </si>
  <si>
    <t>Radius of the Earth</t>
  </si>
  <si>
    <t>feet   =   @ 39.37 ft/12 m   =</t>
  </si>
  <si>
    <t>Compute the Coordinates of the Photo Points in the Shuttle Rectangular Coordinate System</t>
  </si>
  <si>
    <t>And their Unit Vectors Relative to the Shuttle Location</t>
  </si>
  <si>
    <t>Unit Vector</t>
  </si>
  <si>
    <t xml:space="preserve">SX_p1 = </t>
  </si>
  <si>
    <t xml:space="preserve">i_SX_p1 = </t>
  </si>
  <si>
    <t xml:space="preserve">                  BOTTOM OF PHOTO</t>
  </si>
  <si>
    <t>The normal vector is computed by taking the cross product of two vectors which lie in the Plane</t>
  </si>
  <si>
    <t>Vector #1  Earth Center to North Pole (Point "np")</t>
  </si>
  <si>
    <t>Vector #2  Earth Center to Point "esn"</t>
  </si>
  <si>
    <t>Compute the Alpha angle between the vector from the Shuttle Location to Point "pc" and the vector from the Shuttle Location to Point "sc".</t>
  </si>
  <si>
    <t>sc</t>
  </si>
  <si>
    <t>pc</t>
  </si>
  <si>
    <t xml:space="preserve">  +Z_local is aligned with the global vector from the earth's center through point: sn</t>
  </si>
  <si>
    <t>Shuttle Nadir (sn)</t>
  </si>
  <si>
    <t>Z_translation</t>
  </si>
  <si>
    <t xml:space="preserve">  +Y_local is mutually perpendicular to the other two axes.</t>
  </si>
  <si>
    <t>+ X axis</t>
  </si>
  <si>
    <t xml:space="preserve">                +Z_Local</t>
  </si>
  <si>
    <t xml:space="preserve">         Photo Center (pc)</t>
  </si>
  <si>
    <t>As a result of the Projection through the Shuttle Location (Perspective Center of the Image)</t>
  </si>
  <si>
    <t>Modified by Auxiliary Point data if Available</t>
  </si>
  <si>
    <t>Test:  To verify proper reference of Rotation Matrix</t>
  </si>
  <si>
    <t>Compute Unit Vector from Earth Center to the Rectangular Coordinates of the Shuttle Nadir Location</t>
  </si>
  <si>
    <t>i_sn =</t>
  </si>
  <si>
    <t xml:space="preserve">   Photo "Footprint" on</t>
  </si>
  <si>
    <t>2)   The translation between the Shuttle Location and the Principle Point.</t>
  </si>
  <si>
    <t>(Distance Known)</t>
  </si>
  <si>
    <t xml:space="preserve">                Center of</t>
  </si>
  <si>
    <t>Compute the Vector from the Shuttle Location to Point "sn" in the Local Shuttle Coordinate System.</t>
  </si>
  <si>
    <t>Coordinates of Shuttle Location</t>
  </si>
  <si>
    <t>The Remaining Angle of the Triangle equals 180 degrees - Gamma - Zeta</t>
  </si>
  <si>
    <t xml:space="preserve">         Questions or Problems Should be E-mailed to:</t>
  </si>
  <si>
    <t>Error Message #5</t>
  </si>
  <si>
    <t>k_esn =</t>
  </si>
  <si>
    <t>i_esn =</t>
  </si>
  <si>
    <t>X_esn/Radius of Earth =</t>
  </si>
  <si>
    <t>j_esn =</t>
  </si>
  <si>
    <t>Across the Top Width</t>
  </si>
  <si>
    <t>Along the Side Height</t>
  </si>
  <si>
    <t>Y_esn/Radius of Earth =</t>
  </si>
  <si>
    <t xml:space="preserve">            Photo Point Vector Magnitude =</t>
  </si>
  <si>
    <t>6)</t>
  </si>
  <si>
    <t xml:space="preserve">SY_p1 = </t>
  </si>
  <si>
    <t xml:space="preserve">The above equations only yield a value between 0 and +180 degrees.  </t>
  </si>
  <si>
    <t>If Longitude of point "pc" is greater then Longitude of point "sn" then  Rotation equals Theta Angle.</t>
  </si>
  <si>
    <r>
      <t xml:space="preserve">a)  </t>
    </r>
    <r>
      <rPr>
        <b/>
        <sz val="10"/>
        <color indexed="10"/>
        <rFont val="Geneva"/>
        <family val="0"/>
      </rPr>
      <t xml:space="preserve"> Geographic Location</t>
    </r>
    <r>
      <rPr>
        <sz val="10"/>
        <rFont val="Geneva"/>
        <family val="0"/>
      </rPr>
      <t xml:space="preserve"> (Latitude and Longitude) </t>
    </r>
    <r>
      <rPr>
        <b/>
        <sz val="10"/>
        <color indexed="10"/>
        <rFont val="Geneva"/>
        <family val="0"/>
      </rPr>
      <t>of the Space</t>
    </r>
  </si>
  <si>
    <t>the computations and a discussion of the mathematics used.</t>
  </si>
  <si>
    <t>Altitude of Shuttle =</t>
  </si>
  <si>
    <t xml:space="preserve"> km      =</t>
  </si>
  <si>
    <r>
      <t xml:space="preserve">Scale Factor </t>
    </r>
    <r>
      <rPr>
        <sz val="10"/>
        <rFont val="Geneva"/>
        <family val="0"/>
      </rPr>
      <t>= Total Distance from Earth Center to Shuttle = Radius of Earth + Shuttle Attitude =</t>
    </r>
  </si>
  <si>
    <t>Matrix Multiplication Order</t>
  </si>
  <si>
    <t>1) Rotate about +Z by Longitude of Point "pc"</t>
  </si>
  <si>
    <t>1) Rotate about +Z by the Theta Angle</t>
  </si>
  <si>
    <t>2) Rotate about +Y by 90-Latitude of Point "pc".</t>
  </si>
  <si>
    <t>3) Rotate about +Z by the Theta Angle</t>
  </si>
  <si>
    <t>3) Rotate about +Z by Longitude of Point "pc"</t>
  </si>
  <si>
    <t>1) Rotate about +Z by 180 +/- Theta Angle</t>
  </si>
  <si>
    <t xml:space="preserve">        Mult</t>
  </si>
  <si>
    <t>Using the Location of the Shuttle and the Photo Center (Point "pc") we can compute the vector in the Local Coordinate System</t>
  </si>
  <si>
    <t>Shuttle Location</t>
  </si>
  <si>
    <t>Coordinates of Point "pc"</t>
  </si>
  <si>
    <t>Linear Distance from Shuttle Location to Point "pc"  =  LD_pc =</t>
  </si>
  <si>
    <t>Xnew = Xold * Cos (Rotation Angle) - Yold * Sin(Rotation Angle) +Zold * 0</t>
  </si>
  <si>
    <t>Delta Difference</t>
  </si>
  <si>
    <t>Required to estimate the ground size of the center photo pixel.</t>
  </si>
  <si>
    <t xml:space="preserve">Number of Pixels Across the Top Width of the Photo </t>
  </si>
  <si>
    <t xml:space="preserve">Number of Pixels Along the Side Height of the Photo  </t>
  </si>
  <si>
    <r>
      <t xml:space="preserve">f)   </t>
    </r>
    <r>
      <rPr>
        <b/>
        <sz val="10"/>
        <color indexed="10"/>
        <rFont val="Geneva"/>
        <family val="0"/>
      </rPr>
      <t>Geographic Location</t>
    </r>
    <r>
      <rPr>
        <sz val="10"/>
        <rFont val="Geneva"/>
        <family val="0"/>
      </rPr>
      <t xml:space="preserve"> (Latitude and Longitude) </t>
    </r>
    <r>
      <rPr>
        <b/>
        <sz val="10"/>
        <color indexed="10"/>
        <rFont val="Geneva"/>
        <family val="0"/>
      </rPr>
      <t>of an</t>
    </r>
  </si>
  <si>
    <t>If this transformation and rotation is correct we should be able to plug in the values of the "sn" and "pc" in the Shuttle Rectangular Coordinate system and</t>
  </si>
  <si>
    <t>Compute the Shuttle Rectangular Coordinates of the Photo Points Projected to the Spherical Earth Surface</t>
  </si>
  <si>
    <t>Radius of Earth =</t>
  </si>
  <si>
    <t>X_Lpc  =</t>
  </si>
  <si>
    <t>Y_Lpc  =</t>
  </si>
  <si>
    <t>Error Message #6</t>
  </si>
  <si>
    <t>Z_Lpc  =</t>
  </si>
  <si>
    <t>Z_Lap</t>
  </si>
  <si>
    <t xml:space="preserve"> Zap</t>
  </si>
  <si>
    <t>X_Lap  =</t>
  </si>
  <si>
    <t>Y_Lap  =</t>
  </si>
  <si>
    <t>Z_Lap  =</t>
  </si>
  <si>
    <t xml:space="preserve">Y_Lpp = </t>
  </si>
  <si>
    <t xml:space="preserve">Z_Lpp = </t>
  </si>
  <si>
    <t>Shuttle Centered Rectangular Coordinates for Point "pc"</t>
  </si>
  <si>
    <t>X_Lpc</t>
  </si>
  <si>
    <t xml:space="preserve"> Xpc</t>
  </si>
  <si>
    <t>Y_Lpc</t>
  </si>
  <si>
    <t xml:space="preserve"> Ypc      +</t>
  </si>
  <si>
    <t>Z_Lpc</t>
  </si>
  <si>
    <t xml:space="preserve"> Zpc</t>
  </si>
  <si>
    <t>Xnew = Xold * Cos (Rotation Angle) + Yold * 0 - Zold * Sin(Rotation Angle)</t>
  </si>
  <si>
    <t>Shuttle Centered Rectangular Coordinates for Point "sn"</t>
  </si>
  <si>
    <t xml:space="preserve">X_Lsn </t>
  </si>
  <si>
    <t xml:space="preserve"> Xsn</t>
  </si>
  <si>
    <t>Y_Lsn</t>
  </si>
  <si>
    <t xml:space="preserve"> Ysn      +</t>
  </si>
  <si>
    <t>Z_Lsn</t>
  </si>
  <si>
    <t xml:space="preserve"> Zsn</t>
  </si>
  <si>
    <t>X_Lsn  =</t>
  </si>
  <si>
    <t>Y_Lsn  =</t>
  </si>
  <si>
    <t xml:space="preserve">Y_p4 = </t>
  </si>
  <si>
    <t xml:space="preserve">Y_pp = </t>
  </si>
  <si>
    <t xml:space="preserve">m      Y_p5 = </t>
  </si>
  <si>
    <t xml:space="preserve">X_p6 = </t>
  </si>
  <si>
    <t xml:space="preserve">X_p7 = </t>
  </si>
  <si>
    <t xml:space="preserve">X_p8 = </t>
  </si>
  <si>
    <t xml:space="preserve">Y_p6 = </t>
  </si>
  <si>
    <t xml:space="preserve">Y_p7 = </t>
  </si>
  <si>
    <t xml:space="preserve">Y_p8 = </t>
  </si>
  <si>
    <t>Unless auxiliary point data is provided, all computed coordinates assume the</t>
  </si>
  <si>
    <t>"Top Width" of the photo is looking away from the Shuttle's Nadir Point</t>
  </si>
  <si>
    <t>Use the features on the map which surrounding the Shuttle Nadir Pont to locate the nadir point on the</t>
  </si>
  <si>
    <t>Earth Sciences and Image Analysis Laboratory - NASA, Johnson Space Center</t>
  </si>
  <si>
    <t>For User Instructions click on the "Introduction" or "How-To-Use" Tab at the bottom of the workbook.</t>
  </si>
  <si>
    <r>
      <t xml:space="preserve"> (</t>
    </r>
    <r>
      <rPr>
        <b/>
        <sz val="11"/>
        <rFont val="Geneva"/>
        <family val="0"/>
      </rPr>
      <t>+</t>
    </r>
    <r>
      <rPr>
        <sz val="11"/>
        <rFont val="Geneva"/>
        <family val="0"/>
      </rPr>
      <t xml:space="preserve"> North, </t>
    </r>
    <r>
      <rPr>
        <b/>
        <sz val="11"/>
        <rFont val="Geneva"/>
        <family val="0"/>
      </rPr>
      <t>-</t>
    </r>
    <r>
      <rPr>
        <sz val="11"/>
        <rFont val="Geneva"/>
        <family val="0"/>
      </rPr>
      <t xml:space="preserve"> South Hemisphere)</t>
    </r>
  </si>
  <si>
    <r>
      <t xml:space="preserve"> (</t>
    </r>
    <r>
      <rPr>
        <b/>
        <sz val="11"/>
        <rFont val="Geneva"/>
        <family val="0"/>
      </rPr>
      <t>+</t>
    </r>
    <r>
      <rPr>
        <sz val="11"/>
        <rFont val="Geneva"/>
        <family val="0"/>
      </rPr>
      <t xml:space="preserve"> East,  </t>
    </r>
    <r>
      <rPr>
        <b/>
        <sz val="11"/>
        <rFont val="Geneva"/>
        <family val="0"/>
      </rPr>
      <t>-</t>
    </r>
    <r>
      <rPr>
        <sz val="11"/>
        <rFont val="Geneva"/>
        <family val="0"/>
      </rPr>
      <t xml:space="preserve"> West Hemisphere)</t>
    </r>
  </si>
  <si>
    <r>
      <t xml:space="preserve"> (Left Deflection </t>
    </r>
    <r>
      <rPr>
        <b/>
        <sz val="11"/>
        <rFont val="Geneva"/>
        <family val="0"/>
      </rPr>
      <t>-</t>
    </r>
    <r>
      <rPr>
        <sz val="11"/>
        <rFont val="Geneva"/>
        <family val="0"/>
      </rPr>
      <t>180 to 0 )</t>
    </r>
  </si>
  <si>
    <t xml:space="preserve"> (Right Deflection 0 to +180 )</t>
  </si>
  <si>
    <t>This calculator is for use with Low Oblique Photos taken from low Earth orbiting space vehicles</t>
  </si>
  <si>
    <t xml:space="preserve">            Vector from</t>
  </si>
  <si>
    <t xml:space="preserve">           Shuttle Location</t>
  </si>
  <si>
    <t>Vector from</t>
  </si>
  <si>
    <t xml:space="preserve">           towards Earth</t>
  </si>
  <si>
    <t xml:space="preserve">                          np</t>
  </si>
  <si>
    <t xml:space="preserve">       (Direction Known)</t>
  </si>
  <si>
    <t>to Earth Center</t>
  </si>
  <si>
    <t>Data</t>
  </si>
  <si>
    <t>- Explanation</t>
  </si>
  <si>
    <t xml:space="preserve"> Coordinate System</t>
  </si>
  <si>
    <t>Test:  Vector A • Vector B/ (||Vector A|| * ||Vector B||)&lt;=1</t>
  </si>
  <si>
    <t>Test:  Z value must be positive</t>
  </si>
  <si>
    <t>Test:   Z must = 0</t>
  </si>
  <si>
    <t>Digitized Image Size</t>
  </si>
  <si>
    <t>Xsn/Radius of Earth =</t>
  </si>
  <si>
    <t>j_sn =</t>
  </si>
  <si>
    <t>Vector A • Vector B/ (||Vector A|| * ||Vector B||)=</t>
  </si>
  <si>
    <t xml:space="preserve">Theta = </t>
  </si>
  <si>
    <t>The computed value must be corrected to the full 0 to 360 degree rotation range.</t>
  </si>
  <si>
    <t>Z_np/Radius of Earth =</t>
  </si>
  <si>
    <t>Compute Unit Vector from Center of Earth through the Point on the Equator  "esn"</t>
  </si>
  <si>
    <t>Program Updates:</t>
  </si>
  <si>
    <t>earthweb@ems.jsc.nasa.gov</t>
  </si>
  <si>
    <t xml:space="preserve">          E-Mail:   </t>
  </si>
  <si>
    <t xml:space="preserve">                              equivalent ground size of the center image pixel</t>
  </si>
  <si>
    <r>
      <t xml:space="preserve">Optional           </t>
    </r>
    <r>
      <rPr>
        <sz val="10"/>
        <rFont val="Geneva"/>
        <family val="0"/>
      </rPr>
      <t xml:space="preserve"> The number of pixels across the top and down the side of the digital image.</t>
    </r>
  </si>
  <si>
    <t>http://eol.jsc.nasa.gov/sseop/FootprintCalculator.xls</t>
  </si>
  <si>
    <t>Software Updates can be Obtained from the Web Site:</t>
  </si>
  <si>
    <t>Place a protractor on the photo with the center index mark over the</t>
  </si>
  <si>
    <t>photo center and align the zero angle mark with the line connecting the</t>
  </si>
  <si>
    <t>photo center to the top of the photo.</t>
  </si>
  <si>
    <t>Measure the angle left or right to the line connecting the photo center</t>
  </si>
  <si>
    <t>to the Auxiliary Point.</t>
  </si>
  <si>
    <t>6)   On the acetate covered photo, draw a line from the Photo Center</t>
  </si>
  <si>
    <t xml:space="preserve"> to the midpoint of the Top edge of the Photo</t>
  </si>
  <si>
    <t>7)   On the map, locate and mark the Shuttle Nadir Point (as listed in the Astronaut .</t>
  </si>
  <si>
    <t>Photography Database) on the Map</t>
  </si>
  <si>
    <t>8)   On the acetate covered photo, locate the Shuttle Nadir Point on the Photo and connect it to the Photo Center with a straight line.</t>
  </si>
  <si>
    <t>9)   Select and mark an Auxiliary Point Location on both the Photo and the Map</t>
  </si>
  <si>
    <t>10)   Using the map, compute the Latitude / Longitude of the Auxiliary Point.</t>
  </si>
  <si>
    <t xml:space="preserve">            </t>
  </si>
  <si>
    <t xml:space="preserve"> No User Input Below this Line</t>
  </si>
  <si>
    <t xml:space="preserve">   See "How-To-Use" Worksheet for Auxiliary Point Instructions</t>
  </si>
  <si>
    <t>Shuttle Location (nadir) (sn)</t>
  </si>
  <si>
    <t xml:space="preserve">    Surface of the Earth</t>
  </si>
  <si>
    <t>The "Top of Photograph" looks towards the</t>
  </si>
  <si>
    <t>interested users to follow the mathematical calculations.</t>
  </si>
  <si>
    <t>produce their values in the Earth Centered Rectangular Coordinate System as was computed originally in the "SPH_PEC" worksheet.</t>
  </si>
  <si>
    <t>Earth Radius = 6,370,332.74 meters</t>
  </si>
  <si>
    <t>Angles measured clockwise have a positive value</t>
  </si>
  <si>
    <t>Angles measured counter-clockwise have a negative value</t>
  </si>
  <si>
    <t>Image Format Size (in mm)</t>
  </si>
  <si>
    <t xml:space="preserve">OPTIONAL - Digitized Image Size of Photo </t>
  </si>
  <si>
    <r>
      <t xml:space="preserve">g)   </t>
    </r>
    <r>
      <rPr>
        <b/>
        <sz val="10"/>
        <color indexed="10"/>
        <rFont val="Geneva"/>
        <family val="0"/>
      </rPr>
      <t>The rotation angle</t>
    </r>
    <r>
      <rPr>
        <sz val="10"/>
        <rFont val="Geneva"/>
        <family val="0"/>
      </rPr>
      <t xml:space="preserve"> (measured as a positive clockwise angle or </t>
    </r>
  </si>
  <si>
    <t>Y_Lss</t>
  </si>
  <si>
    <t xml:space="preserve"> Yss      +</t>
  </si>
  <si>
    <t>Z_Lss</t>
  </si>
  <si>
    <t xml:space="preserve"> Zss</t>
  </si>
  <si>
    <t>X_Lss  =</t>
  </si>
  <si>
    <t xml:space="preserve">Convert the Global Rectangular Coordinates for the Earth Center, Shuttle Nadir "sn", Photo Center "pc", North Pole "np" </t>
  </si>
  <si>
    <t>Z_Lsn  =</t>
  </si>
  <si>
    <t>1x1 Digitization Error Message "V"</t>
  </si>
  <si>
    <t>A</t>
  </si>
  <si>
    <t>B</t>
  </si>
  <si>
    <t>C</t>
  </si>
  <si>
    <t>D</t>
  </si>
  <si>
    <t>E</t>
  </si>
  <si>
    <t>F</t>
  </si>
  <si>
    <t>G</t>
  </si>
  <si>
    <t>H</t>
  </si>
  <si>
    <t>I</t>
  </si>
  <si>
    <t>J</t>
  </si>
  <si>
    <t>K</t>
  </si>
  <si>
    <t>L</t>
  </si>
  <si>
    <t>M</t>
  </si>
  <si>
    <t>N</t>
  </si>
  <si>
    <t>O</t>
  </si>
  <si>
    <t>P</t>
  </si>
  <si>
    <t>Q</t>
  </si>
  <si>
    <t>R</t>
  </si>
  <si>
    <t>S</t>
  </si>
  <si>
    <t>T</t>
  </si>
  <si>
    <t>U</t>
  </si>
  <si>
    <t>V</t>
  </si>
  <si>
    <t>11)   On the Photo, measure the Deflection Angle of the Auxiliary Point relative</t>
  </si>
  <si>
    <t>8)   On the map, connect the Shuttle Nadir Point and the Photo Center Point with a straight line.</t>
  </si>
  <si>
    <t>5)   Using the map, compute the Latitude / Longitude of the Photo Center</t>
  </si>
  <si>
    <t>4)    Find the center of the photo on the map.</t>
  </si>
  <si>
    <t>about how to compute the  Auxiliary Point and Rotation Angle.</t>
  </si>
  <si>
    <t>Developed By Lockheed Martin Space Operations for The Earth Sciences and Image Analysis Laboratory, NASA - Johnson Space Center.</t>
  </si>
  <si>
    <t>(Space Shuttle, Skylab, etc.); which have a photo center within 10 degrees of Latitude and</t>
  </si>
  <si>
    <t>Image and Equivalent Ground Size of Center Pixel of Image</t>
  </si>
  <si>
    <t xml:space="preserve">Image Pixel Size </t>
  </si>
  <si>
    <t>Image Scale</t>
  </si>
  <si>
    <t>Central Image Pixel Size</t>
  </si>
  <si>
    <t xml:space="preserve">Image SCALE </t>
  </si>
  <si>
    <r>
      <t xml:space="preserve">Low Oblique Space Photo Footprint Calculator </t>
    </r>
    <r>
      <rPr>
        <b/>
        <sz val="12"/>
        <color indexed="9"/>
        <rFont val="Geneva"/>
        <family val="0"/>
      </rPr>
      <t>©, 2002, Lockheed Martin Corporation, All Rights Reserved</t>
    </r>
  </si>
  <si>
    <t>Low Oblique Space Photo Footprint Calculator ©, 2002, Lockheed Martin Corporation, All Rights Reserved</t>
  </si>
  <si>
    <r>
      <t xml:space="preserve">Low Oblique Space Photo Footprint Calculator </t>
    </r>
    <r>
      <rPr>
        <b/>
        <sz val="10"/>
        <color indexed="9"/>
        <rFont val="Geneva"/>
        <family val="0"/>
      </rPr>
      <t>©, 2002, Lockheed Martin Corporation, All Rights Reserved</t>
    </r>
  </si>
  <si>
    <r>
      <t>Low Oblique Space Photo Footprint Calculator</t>
    </r>
    <r>
      <rPr>
        <b/>
        <sz val="18"/>
        <color indexed="9"/>
        <rFont val="Geneva"/>
        <family val="0"/>
      </rPr>
      <t xml:space="preserve"> </t>
    </r>
    <r>
      <rPr>
        <b/>
        <sz val="10"/>
        <color indexed="9"/>
        <rFont val="Geneva"/>
        <family val="0"/>
      </rPr>
      <t>©, 2002, Lockheed Martin Corporation, All Rights Reserved</t>
    </r>
  </si>
  <si>
    <t>Copyright Information</t>
  </si>
  <si>
    <t>NOTE:  If you are working with a non-square image format, make sure to</t>
  </si>
  <si>
    <t xml:space="preserve">           enter the format size into the "Input-Output" worksheet as you have</t>
  </si>
  <si>
    <t xml:space="preserve">           oriented the photo on the work surface ("TOP width" by "Side Height")</t>
  </si>
  <si>
    <t xml:space="preserve">       OR</t>
  </si>
  <si>
    <t>to the line from the photo center to the "TOP" of the photo.</t>
  </si>
  <si>
    <t>Due to the way I set up the different coordinate systems throughout this program Photo Point #1 is the  Upper Right</t>
  </si>
  <si>
    <t>Digital Image Size - Which allows the calculator to compute the</t>
  </si>
  <si>
    <t>h)   Enter the number of pixels across the "Top Width" and down the</t>
  </si>
  <si>
    <t xml:space="preserve">       "Side Height" of the image.</t>
  </si>
  <si>
    <t xml:space="preserve"> Pt7 to Pt 2 line and the Vertical Pixel size (pl to pr) is along the Pt4 to Pt5 line</t>
  </si>
  <si>
    <t>Angle Between Point "pl" and "pr" (Vertical Pixel Size)</t>
  </si>
  <si>
    <t>Vertical Pixel Surface Distance</t>
  </si>
  <si>
    <t>Horizontal Pixel Surface Distance</t>
  </si>
  <si>
    <t>These calculations computed the Earth surface distance between additional points to aid in checking the Pixel Scale measurments added in worksheet "Pixel_Scale"</t>
  </si>
  <si>
    <t>Vertical Scale at Image Center</t>
  </si>
  <si>
    <t>Horizontal Scale at Image Center</t>
  </si>
  <si>
    <t xml:space="preserve">  pixels</t>
  </si>
  <si>
    <t xml:space="preserve"> Spatial Resolution", International Journal of Remote Sensing, Vol. 23, No.20; Oct. 20, 2002, P. 4403-4438</t>
  </si>
  <si>
    <t>The mathematical technique and this Excel based calculator were developed by:  Donn A. Liddle, Lockheed Martin Space Operations,  The Earth Sciences and Image Analysis Laboratory /SX3, NASA - Johnson Space Center, Houston, Texas, 77058</t>
  </si>
  <si>
    <t xml:space="preserve">                TOP OF PHOTO</t>
  </si>
  <si>
    <t xml:space="preserve">                                BOTTOM OF PHOTO</t>
  </si>
  <si>
    <t>PP to Pt 7</t>
  </si>
  <si>
    <t>Pt 2 to PP</t>
  </si>
  <si>
    <t>Sum</t>
  </si>
  <si>
    <t>Pt 4 to PP</t>
  </si>
  <si>
    <t>PP to Pt 5</t>
  </si>
  <si>
    <t>=X_pl</t>
  </si>
  <si>
    <t>Test Data for 1x1 digitization</t>
  </si>
  <si>
    <t>comparison with pt 2</t>
  </si>
  <si>
    <t>Should equal Zero</t>
  </si>
  <si>
    <t>comparison with pt 4</t>
  </si>
  <si>
    <t>comparison with pt 5</t>
  </si>
  <si>
    <t>comparison with pt 7</t>
  </si>
  <si>
    <t xml:space="preserve">Error Checking and Detection Summary for 1x1 pixel Image Digitization </t>
  </si>
  <si>
    <t>1x1 Digitization Error Message "A"</t>
  </si>
  <si>
    <t>1x1 Digitization Error Message "B"</t>
  </si>
  <si>
    <t>1x1 Digitization Error Message "C"</t>
  </si>
  <si>
    <t>1x1 Digitization Error Message "E"</t>
  </si>
  <si>
    <t>1x1 Digitization Error Message "F"</t>
  </si>
  <si>
    <t>1x1 Digitization Error Message "G"</t>
  </si>
  <si>
    <t>1x1 Digitization Error Message "H"</t>
  </si>
  <si>
    <t>1x1 Digitization Error Message "I"</t>
  </si>
  <si>
    <t>1x1 Digitization Error Message "J"</t>
  </si>
  <si>
    <t>1x1 Digitization Error Message "K"</t>
  </si>
  <si>
    <t>1x1 Digitization Error Message "L"</t>
  </si>
  <si>
    <t>1x1 Digitization Error Message "M"</t>
  </si>
  <si>
    <t>1x1 Digitization Error Message "N"</t>
  </si>
  <si>
    <t>1x1 Digitization Error Message "O"</t>
  </si>
  <si>
    <t>1x1 Digitization Error Message "P"</t>
  </si>
  <si>
    <t>1x1 Digitization Error Message "Q"</t>
  </si>
  <si>
    <t>1x1 Digitization Error Message "R"</t>
  </si>
  <si>
    <t>1x1 Digitization Error Message "S"</t>
  </si>
  <si>
    <t>1x1 Digitization Error Message "T"</t>
  </si>
  <si>
    <t>1x1 Digitization Error Message "U"</t>
  </si>
  <si>
    <r>
      <t xml:space="preserve">data values to:  </t>
    </r>
    <r>
      <rPr>
        <b/>
        <sz val="12"/>
        <color indexed="48"/>
        <rFont val="Geneva"/>
        <family val="0"/>
      </rPr>
      <t>earthweb@ems.jsc.nasa.gov</t>
    </r>
  </si>
  <si>
    <t>The program has been extensively tested and has</t>
  </si>
  <si>
    <t>IF an error is encountered, please E-mail your input</t>
  </si>
  <si>
    <t>been equipped with numerous error checking routines.</t>
  </si>
  <si>
    <t>All User Input are Entered in the Dark Blue Cells</t>
  </si>
  <si>
    <t>Load data into the dark blue cells on the "Input-Output" worksheet page.</t>
  </si>
  <si>
    <t>Enter Data into the Dark Blue Cells</t>
  </si>
  <si>
    <t>Reference Information:  Robinson, Amsbury, Liddle, Evans; "Astronaut-acquired Orbital Photographs as Digital Data for Remote Sensing:</t>
  </si>
  <si>
    <t>No correction for atmospheric distortion is applied.</t>
  </si>
  <si>
    <t>3-D orthogonal rotations / translations to allow</t>
  </si>
  <si>
    <t xml:space="preserve">                                   by accounting for the roll angle</t>
  </si>
  <si>
    <t xml:space="preserve">                                   about the cameras optical axis. </t>
  </si>
  <si>
    <t xml:space="preserve">       the location (Latitude and Longitude) is known or can be calculated</t>
  </si>
  <si>
    <t xml:space="preserve">Robinson, Julie A.; Amsbury, David L.; Liddle, Donn A., Evans, Cynthia A.; "Astronaut-acquired Orbital Photographs as Digital Data for Remote Sensing: Spatial Resolution", International Journal of Remote Sensing, Vol 23 No.20, Oct 20, 2002, P. 4403-4438 </t>
  </si>
  <si>
    <t>There are no user inputs in any other worksheet.</t>
  </si>
  <si>
    <t xml:space="preserve">         Rotation Angle </t>
  </si>
  <si>
    <t>Results are displayed directly below the inputs on the same "Input-Output" worksheet page</t>
  </si>
  <si>
    <t>Do not use any results which display any type of input or output error.</t>
  </si>
  <si>
    <t>The "Input-Output" page is pre-formatted to print on one page</t>
  </si>
  <si>
    <t>This page is pre-formatted to print the input parameter summary and results on a single page.</t>
  </si>
  <si>
    <t>Input Parameter Summary</t>
  </si>
  <si>
    <t>The "Input-Output" page is pre-formatted to print the input</t>
  </si>
  <si>
    <t>summary and results on one page</t>
  </si>
  <si>
    <t xml:space="preserve">Focal Length (in mm)   </t>
  </si>
  <si>
    <t xml:space="preserve">Film Format Size         </t>
  </si>
  <si>
    <t>Total 1x1 Digitization Errors</t>
  </si>
  <si>
    <t>comparison with sum of Pt4 to pp and pp to pt 5</t>
  </si>
  <si>
    <t>comparison with sum of Pt2 to pp and pp to pt 7</t>
  </si>
  <si>
    <t>Angle Between Point "pt" and "pb"  (Horizontal Pixel Size)</t>
  </si>
  <si>
    <t>Adding the Pixel Points we see that the Horizontal Pixel size (pb to pt) is along the</t>
  </si>
  <si>
    <t>A complete guide to the use of Astronaut Photograph</t>
  </si>
  <si>
    <t xml:space="preserve"> for Remote Sensing is contained in the following paper:</t>
  </si>
  <si>
    <t>Instruction Worksheet - Do not change or enter any data on this worksheet.</t>
  </si>
  <si>
    <t>We have the normal vector from the Auxiliary Point to the Shuttle</t>
  </si>
  <si>
    <t xml:space="preserve">Final Theta Rotation Angle = </t>
  </si>
  <si>
    <t>Compute the Relationship between the Photo Coordinate System and Shuttle Rectangular Coordinate System</t>
  </si>
  <si>
    <t>Modify the Shuttle Rectangular Coordinate system to Photo Coordinate system relationship by adding a rotation about the Photo's Z axis</t>
  </si>
  <si>
    <t>by the computed distance we get the coordinates of the projected Auxiliary Point on the Photo</t>
  </si>
  <si>
    <t>Compute the coordinates of the Auxiliary Point projected to the Photo in the Shuttle Rectangular Coordinate System</t>
  </si>
  <si>
    <t>Error Message # 16</t>
  </si>
  <si>
    <t>(E531 through G533).  To remove the Auxiliary Point computations the user can delete the</t>
  </si>
  <si>
    <t>Compute the Normal Vector from the Auxiliary Point to the Shuttle Location in the Shuttle Rectangular Coordinate System</t>
  </si>
  <si>
    <t>Auxiliary Point in Shuttle Rectangular System</t>
  </si>
  <si>
    <t>Convention for Auxiliary Point Deflection Angle</t>
  </si>
  <si>
    <t xml:space="preserve">The point where the line reaches the photo edge is the "top" of the photo. </t>
  </si>
  <si>
    <t xml:space="preserve">    map and mark it with a pencil.  </t>
  </si>
  <si>
    <t>in reference to the way the Shuttle and Photo Coordinate systems are defined</t>
  </si>
  <si>
    <t xml:space="preserve">                     North Pole      +90 Latitude</t>
  </si>
  <si>
    <t xml:space="preserve">         Arc </t>
  </si>
  <si>
    <t>Angle</t>
  </si>
  <si>
    <t>To aid in photo Analysis it is necessary to know the earth surface distance between each of the photo points</t>
  </si>
  <si>
    <t>TOP Width  =</t>
  </si>
  <si>
    <t>Side Height =</t>
  </si>
  <si>
    <t>Compute the Locations of the Photo Corners Relative to the Photo Coordinate Systems</t>
  </si>
  <si>
    <t>Longitude =</t>
  </si>
  <si>
    <t>2) if Computed Zeta is less then 90, the True Zeta Angle = 180-Computed Value</t>
  </si>
  <si>
    <t>True Zeta =</t>
  </si>
  <si>
    <t>Linear Distance from Earth Center to Photo Center =</t>
  </si>
  <si>
    <t>Linear Distance from Earth Center to Auxiliary Point =</t>
  </si>
  <si>
    <t>Magnitude of Photo Point Vector * j_element of Unit Photo Point Vector</t>
  </si>
  <si>
    <t>Compute the Earth Intersection Coordinates for the Principle Point Photo Point Vector in the Shuttle Coordinate System</t>
  </si>
  <si>
    <t>Error Message # 13</t>
  </si>
  <si>
    <t>Error Message # 14</t>
  </si>
  <si>
    <t>Error Message # 15</t>
  </si>
  <si>
    <t xml:space="preserve">i_SX_p8 = </t>
  </si>
  <si>
    <t xml:space="preserve">SY_p8 = </t>
  </si>
  <si>
    <t xml:space="preserve">j_SY_p8 = </t>
  </si>
  <si>
    <t xml:space="preserve">Z_p8 = </t>
  </si>
  <si>
    <t xml:space="preserve">SZ_p8 = </t>
  </si>
  <si>
    <t xml:space="preserve">k_SZ_p8 = </t>
  </si>
  <si>
    <t>Error Message # 18</t>
  </si>
  <si>
    <t xml:space="preserve">X_ei_p5 = </t>
  </si>
  <si>
    <t xml:space="preserve">Y_ei_p5 = </t>
  </si>
  <si>
    <t xml:space="preserve">Z_ei_p5 = </t>
  </si>
  <si>
    <t>Longitude#1 = arcos( X_Coordiante /(Radius of Earth * Cos(Latitude) )</t>
  </si>
  <si>
    <t xml:space="preserve">or </t>
  </si>
  <si>
    <t>j_Lss_Lce</t>
  </si>
  <si>
    <t xml:space="preserve">  Y_Lss - Y_Lce)/LD_ss_ce=</t>
  </si>
  <si>
    <t>k_Lss_Lce</t>
  </si>
  <si>
    <t>Normal of Vector "A" =</t>
  </si>
  <si>
    <t>Compute the Vector Normal to the Plane defined by the points:  Earth Center, sn, pc.</t>
  </si>
  <si>
    <t>Vector #3  Earth Center to Point "sn"</t>
  </si>
  <si>
    <t>Error Message #2</t>
  </si>
  <si>
    <t>k_pc =</t>
  </si>
  <si>
    <t>Compute the Earth Intersection Coordinates for Photo Point Vector "p6" in the Shuttle Coordinate System</t>
  </si>
  <si>
    <t>Error Message # 19</t>
  </si>
  <si>
    <t>Error Message # 17</t>
  </si>
  <si>
    <t xml:space="preserve">Y_ei_p7 = </t>
  </si>
  <si>
    <t xml:space="preserve">Z_ei_p7 = </t>
  </si>
  <si>
    <t>the shuttle location towards the earth.  Using these earth pointing vectors we can compute their intersection with the</t>
  </si>
  <si>
    <t>Convert Auxiliary Point Rotation out of the range of -180 to +180 to the new range of 0 to 360 Clockwise Rotation</t>
  </si>
  <si>
    <t>Phase VII</t>
  </si>
  <si>
    <t>Phase VIII</t>
  </si>
  <si>
    <t>Check if Longitude of Shuttle Nadir and Photo Center are within 10 Degrees of each other</t>
  </si>
  <si>
    <t>Photo Center (PC)</t>
  </si>
  <si>
    <t>The difference will exceed 10 degrees</t>
  </si>
  <si>
    <t>k_RSX_p2</t>
  </si>
  <si>
    <t>i_RSX_p3</t>
  </si>
  <si>
    <t>j_RSX_p3</t>
  </si>
  <si>
    <t>k_RSX_p3</t>
  </si>
  <si>
    <t>i_RSX_p4</t>
  </si>
  <si>
    <t>j_RSX_p4</t>
  </si>
  <si>
    <t>k_RSX_p4</t>
  </si>
  <si>
    <t>i_RSX_pp</t>
  </si>
  <si>
    <t>j_RSX_pp</t>
  </si>
  <si>
    <t>k_RSX_pp</t>
  </si>
  <si>
    <t>i_RSX_p5</t>
  </si>
  <si>
    <t>in the Shuttle Coordinate System</t>
  </si>
  <si>
    <t xml:space="preserve">        Shuttle Location</t>
  </si>
  <si>
    <t>j_RSX_p2</t>
  </si>
  <si>
    <t>2)  The origin is located at the principle point of the photograph.</t>
  </si>
  <si>
    <t>Using this distance data and the corresponding distance measured on the image, the Photo to Ground scale Factor</t>
  </si>
  <si>
    <t>can be computed allowing the user to compute the ground distance of an photographed object.</t>
  </si>
  <si>
    <t xml:space="preserve">Computed Ground </t>
  </si>
  <si>
    <t>Distance Between</t>
  </si>
  <si>
    <t>Skylab S190B</t>
  </si>
  <si>
    <t>Z_esn/Radius of Earth =</t>
  </si>
  <si>
    <t xml:space="preserve">     Unit Photo Vector</t>
  </si>
  <si>
    <t>Instructions</t>
  </si>
  <si>
    <t xml:space="preserve">                  1)</t>
  </si>
  <si>
    <t xml:space="preserve">          Photo</t>
  </si>
  <si>
    <t xml:space="preserve">                  2)</t>
  </si>
  <si>
    <t>North Pole</t>
  </si>
  <si>
    <t xml:space="preserve">Xss = </t>
  </si>
  <si>
    <t>reverse its direction so it points towards the earth (by changing the sign on each vector element)</t>
  </si>
  <si>
    <t>Using the "Earth Pointing" Unit Photo Point Vector and the Vector from the Shuttle Location to the Earth's Center</t>
  </si>
  <si>
    <t>Point Vector and the Vector from the Shuttle Location to the Earth's</t>
  </si>
  <si>
    <t>Enforcing this criteria, we can be sure that the earth's horizon does not appear in the image.</t>
  </si>
  <si>
    <t xml:space="preserve">This allows us to simplify the mathematical calculations by defining a local rectangular coordinate system. </t>
  </si>
  <si>
    <t>Must Be Within +/-10 Deg</t>
  </si>
  <si>
    <t xml:space="preserve">Theta Angle = </t>
  </si>
  <si>
    <t>Longitude out of the range of -180 to +180  to a new range of 0 to 360.</t>
  </si>
  <si>
    <t>Original Value</t>
  </si>
  <si>
    <t xml:space="preserve">Angle between 2 vectors = acos( (Vector A • Vector B)/ </t>
  </si>
  <si>
    <t xml:space="preserve">Z_Lss = </t>
  </si>
  <si>
    <t>|| Vector A || * || Vector B || )</t>
  </si>
  <si>
    <t xml:space="preserve"> 3)  Compute Angle "Zeta" from the Law of Sins using the magnitude of the</t>
  </si>
  <si>
    <t xml:space="preserve"> vector from the Shuttle Location to the Earth's Center and the Radius of the</t>
  </si>
  <si>
    <t>Earth</t>
  </si>
  <si>
    <t>Sin(Zeta)</t>
  </si>
  <si>
    <t>Sin (Gamma)</t>
  </si>
  <si>
    <t xml:space="preserve">     =</t>
  </si>
  <si>
    <t>Distance from</t>
  </si>
  <si>
    <t>Shuttle to Earth Center</t>
  </si>
  <si>
    <t>Southern Hemisphere - Negative Latitude</t>
  </si>
  <si>
    <t>Eastern Hemisphere - Positive Longitude</t>
  </si>
  <si>
    <t>Western Hemisphere - Negative Longitude</t>
  </si>
  <si>
    <t>Shuttle Altitude  (in Km or Nautical Miles)</t>
  </si>
  <si>
    <t>Auxiliary Point Latitude and Longitude in Decimal Degrees</t>
  </si>
  <si>
    <t xml:space="preserve">                     Lat_sn</t>
  </si>
  <si>
    <t xml:space="preserve">     -Longitude</t>
  </si>
  <si>
    <t xml:space="preserve">  +Longitude</t>
  </si>
  <si>
    <t>Top Center</t>
  </si>
  <si>
    <t>Top Right</t>
  </si>
  <si>
    <t>Middle Left</t>
  </si>
  <si>
    <t>Photo Center</t>
  </si>
  <si>
    <t>Middle Right</t>
  </si>
  <si>
    <t>Bottom Left</t>
  </si>
  <si>
    <t xml:space="preserve">         Distance</t>
  </si>
  <si>
    <t>Tau</t>
  </si>
  <si>
    <t>Coordinates of Center of Earth</t>
  </si>
  <si>
    <t>Convert the Global Rectangular Coordinates for Point "p5" to Spherical Coordinates</t>
  </si>
  <si>
    <t>For Point "p5"</t>
  </si>
  <si>
    <t>Arc Length = Angle Tau (in Radians) * Radius of Earth</t>
  </si>
  <si>
    <t>Horizon away from Shuttle Nadir Point (see diagram)</t>
  </si>
  <si>
    <t>Linear Distance from Earth Center to Shuttle Nadir =</t>
  </si>
  <si>
    <t>Rectangular Coordinates for Photo Center Point</t>
  </si>
  <si>
    <t>Xpc =</t>
  </si>
  <si>
    <t>Ypc =</t>
  </si>
  <si>
    <t>Zpc =</t>
  </si>
  <si>
    <t>Convert the Global Rectangular Coordinates for Point "p7" to Spherical Coordinates</t>
  </si>
  <si>
    <t>For Point "p7"</t>
  </si>
  <si>
    <t>Compute the Earth Intersection Coordinates for Photo Point Vector "p3" in the Shuttle Coordinate System</t>
  </si>
  <si>
    <t>Error Message # 12</t>
  </si>
  <si>
    <t xml:space="preserve">X_ei_p4 = </t>
  </si>
  <si>
    <t xml:space="preserve">Y_ei_p4 = </t>
  </si>
  <si>
    <t xml:space="preserve">Z_ei_p4 = </t>
  </si>
  <si>
    <t>If this relationship is correct then entering the Principle Point location in the Local Shuttle Rectangular Coordinate System should yield values of X=0, Y=0, Z=0</t>
  </si>
  <si>
    <t>in the Local Photo Coordinate System</t>
  </si>
  <si>
    <t>X_Ppp  =</t>
  </si>
  <si>
    <t>Y_Ppp  =</t>
  </si>
  <si>
    <t>Error Message #10</t>
  </si>
  <si>
    <t>Z_Ppp  =</t>
  </si>
  <si>
    <t xml:space="preserve">Where Radius of the Earth = </t>
  </si>
  <si>
    <t>and the plane defined by the points: Earth Center, "sn" and "pc" (measured with a right handed rotation {even in the southern hemisphere] about the "Z" axis)</t>
  </si>
  <si>
    <t>The rules for correcting the computed Theta Value are shown below</t>
  </si>
  <si>
    <t>Corrected Theta Rotation Angle using the above Rules</t>
  </si>
  <si>
    <t>10)   Draw a line on the acetate from the photo center to the Auxiliary Point.</t>
  </si>
  <si>
    <t>Compute the Earth Intersection Coordinates for Photo Point Vector "p1" in the Shuttle Coordinate System</t>
  </si>
  <si>
    <t>1)</t>
  </si>
  <si>
    <t xml:space="preserve">And the translation from the Photo to the Shuttle Coordinate System is equal to the </t>
  </si>
  <si>
    <t>Error Message # 1</t>
  </si>
  <si>
    <t>Compute the "Zeta" Angle using the Law of Sines</t>
  </si>
  <si>
    <t xml:space="preserve">Zeta = </t>
  </si>
  <si>
    <t>Should equal   X=0.0    Y= 0.0    Z=0.0</t>
  </si>
  <si>
    <t>Should equal    X=0   Y=0   Z = - Focal Length</t>
  </si>
  <si>
    <t>Decimal</t>
  </si>
  <si>
    <t xml:space="preserve">       Lens Focal Length (in mm)</t>
  </si>
  <si>
    <t>Photo Location Data from Astronaut Photography Database</t>
  </si>
  <si>
    <r>
      <t>Note:</t>
    </r>
    <r>
      <rPr>
        <sz val="10"/>
        <rFont val="Geneva"/>
        <family val="0"/>
      </rPr>
      <t xml:space="preserve">   Although you can use the value listed in the Astronaut Photography</t>
    </r>
  </si>
  <si>
    <t>In this situation the computed value of</t>
  </si>
  <si>
    <t>Compute Earth Centered Rectangular Coordinates for point "sn"</t>
  </si>
  <si>
    <t>Local Shuttle Coordinates for point "sn"</t>
  </si>
  <si>
    <t>values less then 10 degrees</t>
  </si>
  <si>
    <t>j_RSX_p5</t>
  </si>
  <si>
    <t>k_RSX_p5</t>
  </si>
  <si>
    <t>i_RSX_p6</t>
  </si>
  <si>
    <t>Since it was originally computed from the Shuttle Location to the photo points, we need to</t>
  </si>
  <si>
    <t>3)  +Y axis is aligned with the +Y axis of the Local Shuttle Rectangular Coordinate System</t>
  </si>
  <si>
    <t>Must be Within +/-5 Degrees of Photo Center</t>
  </si>
  <si>
    <t>Roloflex</t>
  </si>
  <si>
    <t>Linhof</t>
  </si>
  <si>
    <t>Skylab S190A</t>
  </si>
  <si>
    <t xml:space="preserve">                       +Y in Photo Coordinate System</t>
  </si>
  <si>
    <t>+X in Photo Coordinate System</t>
  </si>
  <si>
    <t>Rectangular Coordinate System</t>
  </si>
  <si>
    <t>And the translation from the Shuttle to the Global Coordinate System is equal to the Coordinates</t>
  </si>
  <si>
    <t>of the Shuttle Location in the Global Rectangular Coordinate System</t>
  </si>
  <si>
    <t xml:space="preserve">Zss = </t>
  </si>
  <si>
    <t>k_sn * Scale Factor =</t>
  </si>
  <si>
    <r>
      <t xml:space="preserve">If Auxiliary Point information </t>
    </r>
    <r>
      <rPr>
        <b/>
        <sz val="10"/>
        <rFont val="Geneva"/>
        <family val="0"/>
      </rPr>
      <t>does not</t>
    </r>
    <r>
      <rPr>
        <sz val="10"/>
        <rFont val="Geneva"/>
        <family val="0"/>
      </rPr>
      <t xml:space="preserve"> exist and the TOP width of </t>
    </r>
  </si>
  <si>
    <t>the format is different the side height, uncertain camera orientation</t>
  </si>
  <si>
    <t>180 degree Meridian.  One  will have an original value of 170 to 180</t>
  </si>
  <si>
    <t>while the other will have a value of -170 to -180.</t>
  </si>
  <si>
    <t xml:space="preserve">  The difference will exceed 10 degrees.</t>
  </si>
  <si>
    <t>INPUT ERROR MESSAGES</t>
  </si>
  <si>
    <t>Shuttle Nadir Location</t>
  </si>
  <si>
    <t>Latitude</t>
  </si>
  <si>
    <t>Decimal Degrees</t>
  </si>
  <si>
    <t>Longitude</t>
  </si>
  <si>
    <t>Shuttle Altitude</t>
  </si>
  <si>
    <t>in Km</t>
  </si>
  <si>
    <t>Center of Photo</t>
  </si>
  <si>
    <t>Camera Data</t>
  </si>
  <si>
    <t>Ruler (as long as the diagonal of the photo)</t>
  </si>
  <si>
    <t>Using the ruler draw lines on the acetate connecting opposite corners of the photos</t>
  </si>
  <si>
    <t>Modified Value</t>
  </si>
  <si>
    <t>Auxiliary Point Rotation</t>
  </si>
  <si>
    <t xml:space="preserve">        Shuttle "X" Axis</t>
  </si>
  <si>
    <t xml:space="preserve">           Photo Center</t>
  </si>
  <si>
    <t>Shuttle Nadir Latitude and Longitude in Decimal Degrees</t>
  </si>
  <si>
    <t>Lat/ Long. convention for all program inputs</t>
  </si>
  <si>
    <t>Photo Center Latitude and Longitude in Decimal Degrees</t>
  </si>
  <si>
    <t>Focal Length (in mm)</t>
  </si>
  <si>
    <t>Optional</t>
  </si>
  <si>
    <t>Northern Hemisphere - Positive Latitude</t>
  </si>
  <si>
    <t>Does the Auxiliary Point Latitude Exist</t>
  </si>
  <si>
    <t>Does the Auxiliary Point Longitude Exist</t>
  </si>
  <si>
    <t>Does the Auxiliary Point Rotation Angle Exist</t>
  </si>
  <si>
    <t>IF FALSE do not perform the Auxiliary Point Computations</t>
  </si>
  <si>
    <t>IF an Auxiliary Point Exists</t>
  </si>
  <si>
    <t>Project the Auxiliary Point to the Photo and Compute its location in the Shuttle Rectangular Coordinate System.</t>
  </si>
  <si>
    <t xml:space="preserve">     Auxiliary Point Projected to Photo</t>
  </si>
  <si>
    <t>Bottom Center</t>
  </si>
  <si>
    <t>Ground Surface Distances</t>
  </si>
  <si>
    <t>Compute the Unit Normal Vectors for each of the Photo Points in the Global Rectangular Coordinate System</t>
  </si>
  <si>
    <t>Custom</t>
  </si>
  <si>
    <t>Camera Lens</t>
  </si>
  <si>
    <t>Image Format</t>
  </si>
  <si>
    <t>Convert the Global Rectangular Coordinates for Point "p6" to Spherical Coordinates</t>
  </si>
  <si>
    <t>For Point "p6"</t>
  </si>
  <si>
    <t xml:space="preserve">  Photo Center</t>
  </si>
  <si>
    <t>produce the coordinates of the earth intersection point in the Shuttle Coordinate System</t>
  </si>
  <si>
    <t>X_Intersection_Coordiante =</t>
  </si>
  <si>
    <t>Magnitude of Photo Point Vector * i_element of Unit Photo Point Vector</t>
  </si>
  <si>
    <t>Y_Intersection_Coordiante =</t>
  </si>
  <si>
    <t xml:space="preserve">Draw a line along this angle through the photo center and extend it to the edge of the photo </t>
  </si>
  <si>
    <t>Where this line intersects the edge of the photo is the "top" of the image.</t>
  </si>
  <si>
    <t>Rotate about the Global +Z axis by the angle "Theta" defined as the angle between the plane formed by points: Earth Center, "np and "sn"</t>
  </si>
  <si>
    <t xml:space="preserve">    map and the image and mark it on both the map and the photo.  This could be a</t>
  </si>
  <si>
    <t>Photo</t>
  </si>
  <si>
    <t>Acetate (enough to cover photo)</t>
  </si>
  <si>
    <t>Tape</t>
  </si>
  <si>
    <t>Erasable Marker</t>
  </si>
  <si>
    <t>Pencil</t>
  </si>
  <si>
    <t>Notepad</t>
  </si>
  <si>
    <t>Detailed Map of Photo Area</t>
  </si>
  <si>
    <t xml:space="preserve">       Photo Center  (Lat / Long)</t>
  </si>
  <si>
    <t xml:space="preserve">       Shuttle Nadir   (Lat / Long)</t>
  </si>
  <si>
    <t xml:space="preserve">       Shuttle Altitude</t>
  </si>
  <si>
    <t>1)  X-Y Axes of the Photo Coordinate System lies in the plane of the Photograph - which is normal to the vector from the Principle Point to Point "pc".</t>
  </si>
  <si>
    <t>The following provides basic instructions for preparing a photo for the Low Oblique Space Footprint Calculator</t>
  </si>
  <si>
    <t>Using the features on the image, locate the photo center point on the</t>
  </si>
  <si>
    <t>Degrees</t>
  </si>
  <si>
    <t>Minutes</t>
  </si>
  <si>
    <t>Seconds</t>
  </si>
  <si>
    <t>If  deflection angle is negative then ADD the negative value to 360 degrees.</t>
  </si>
  <si>
    <t>The sign of the deflection (- for Left, + for right)</t>
  </si>
  <si>
    <t>is obtained from the sign of the value computed</t>
  </si>
  <si>
    <t xml:space="preserve">    recognizable spot on the map.</t>
  </si>
  <si>
    <r>
      <t xml:space="preserve">This Yields the </t>
    </r>
    <r>
      <rPr>
        <b/>
        <sz val="12"/>
        <rFont val="Geneva"/>
        <family val="0"/>
      </rPr>
      <t>Transformation from the Shuttle Coordinate System to the Global Coordinate Systems</t>
    </r>
  </si>
  <si>
    <t>180 - Angle computed using "acos"</t>
  </si>
  <si>
    <t>value should be less then 10 degrees</t>
  </si>
  <si>
    <t>j_RSX_p6</t>
  </si>
  <si>
    <t>k_RSX_p6</t>
  </si>
  <si>
    <t>i_RSX_p7</t>
  </si>
  <si>
    <t>j_RSX_p7</t>
  </si>
  <si>
    <t>k_RSX_p7</t>
  </si>
  <si>
    <t>i_RSX_p8</t>
  </si>
  <si>
    <t>j_RSX_p8</t>
  </si>
  <si>
    <t>k_RSX_p8</t>
  </si>
  <si>
    <t>Pin Hole Camera Model</t>
  </si>
  <si>
    <t>Do not use any results containing an error message !!</t>
  </si>
  <si>
    <t>4)  +X axis lies in the plane defined by the vectors from the Principle Point to Point "sc" and Point "pc" respectively.</t>
  </si>
  <si>
    <t xml:space="preserve">    Photo "Footprint" on Surface of Earth</t>
  </si>
  <si>
    <t>Questions or Problems Should be Refereed to:</t>
  </si>
  <si>
    <t>Warning:  For Use With Photo Centers Within 10 Degrees (Latitude &amp; Longitude) of Shuttle Nadir Point</t>
  </si>
  <si>
    <t>Enter Photo ID # --------&gt;</t>
  </si>
  <si>
    <t xml:space="preserve">All computations are completed using vector algebra and </t>
  </si>
  <si>
    <t>Compute the Auxiliary Point lat./long. and convert it to Decimal Degrees</t>
  </si>
  <si>
    <t>Note:  Decimal Degrees = Degrees + (Minutes/60) + (Seconds /3600)</t>
  </si>
  <si>
    <t xml:space="preserve">     Shuttle "Y" Axis</t>
  </si>
  <si>
    <t xml:space="preserve">      Angle between the Vector from the</t>
  </si>
  <si>
    <t>Earth Centered Rectangular Coordinates for Point "sn" from "SPH_REC" worksheet</t>
  </si>
  <si>
    <t>Original User Entered Spherical Coordinates for Point "sn"</t>
  </si>
  <si>
    <t>Phase IX</t>
  </si>
  <si>
    <t xml:space="preserve">             Greenwich Meridian while the "sn" is on the + side</t>
  </si>
  <si>
    <t>If the "pc" has a positive Longitude the  "sn" has a negative Longitude the</t>
  </si>
  <si>
    <t>the negative compliment of the positive rotation value will be computed</t>
  </si>
  <si>
    <t xml:space="preserve">             Greenwich Meridian while the "sn" is on the - side</t>
  </si>
  <si>
    <t>Using the features, transfer the horizontal or vertical line you drew on the map to the acetate</t>
  </si>
  <si>
    <t>Relative to this horizontal or vertical line, lay out the map angle on the acetate.</t>
  </si>
  <si>
    <t>Project the Auxiliary Point to the Photo and compute its location in the Photo Coordinate System</t>
  </si>
  <si>
    <t>Verify that all three elements of the Auxiliary Point Information Exists</t>
  </si>
  <si>
    <t>Rotation Matrix  which accounts for the Theta Angle Rotation about the +Y axis</t>
  </si>
  <si>
    <t>Compute the Single Axis Rotation Matrix for a Rotation about the +Z axis</t>
  </si>
  <si>
    <t>Coordinate System to Photo Coordinate System</t>
  </si>
  <si>
    <t>The above cells access the composite rotation matrix computed at the bottom of the "AUX_PT Worksheet</t>
  </si>
  <si>
    <t xml:space="preserve">   Auxiliary Point</t>
  </si>
  <si>
    <t>Auxiliary Point Deflection Angle in Decimal Degrees</t>
  </si>
  <si>
    <t>Between Photo Points (meters)</t>
  </si>
  <si>
    <t>Bottom Right</t>
  </si>
  <si>
    <t xml:space="preserve">                  TOP OF PHOTO</t>
  </si>
  <si>
    <t xml:space="preserve">                   Away From Shuttle Nadir</t>
  </si>
  <si>
    <t>Bottom</t>
  </si>
  <si>
    <t>Left</t>
  </si>
  <si>
    <t>Center</t>
  </si>
  <si>
    <t>Right</t>
  </si>
  <si>
    <t>Hasselblad</t>
  </si>
  <si>
    <t>35mm SLR</t>
  </si>
  <si>
    <t xml:space="preserve">  mm</t>
  </si>
  <si>
    <t>Drop Lists</t>
  </si>
  <si>
    <t xml:space="preserve">   Latitude - Measured + or - from the Equatorial Plane</t>
  </si>
  <si>
    <t xml:space="preserve">           Top Center</t>
  </si>
  <si>
    <t>is a positive rotation angle about the Z axis of either system</t>
  </si>
  <si>
    <t xml:space="preserve"> constant Longitude which passes through point "sn" and the plane defined by the points "sn", "pc" and center of the earth.</t>
  </si>
  <si>
    <t xml:space="preserve">IF the nadir point falls outside the image area. </t>
  </si>
  <si>
    <t xml:space="preserve">    measure the angle between that line and the nadir/center line with the protractor.</t>
  </si>
  <si>
    <t xml:space="preserve">    mountain peak, a bend in the river, a large building or just an easily</t>
  </si>
  <si>
    <t>Angle Between Point "p7" and "p8"</t>
  </si>
  <si>
    <t>Unit Vector for Point "p2"</t>
  </si>
  <si>
    <t xml:space="preserve">i_gi_p2 = </t>
  </si>
  <si>
    <t>The Top center of the Photo has a negative "X" coordinate value in the Photo Coordinate System</t>
  </si>
  <si>
    <t>+Y axis in the Photo Coordinate System</t>
  </si>
  <si>
    <t xml:space="preserve">      +X axis in the Photo Coordinate System</t>
  </si>
  <si>
    <t>"-X" axis of the Photo Coordinate System</t>
  </si>
  <si>
    <t xml:space="preserve">  +X axis of Photo Coordinate System</t>
  </si>
  <si>
    <t>Compute the Clockwise Deflection Angle of the Auxiliary Point from the -X Coordinate System</t>
  </si>
  <si>
    <t>Coordinate of Auxiliary Point in Photo Coordinate System</t>
  </si>
  <si>
    <t>is computed by:</t>
  </si>
  <si>
    <t xml:space="preserve">        +X axis of Photo Coordinate System</t>
  </si>
  <si>
    <t xml:space="preserve">       Camera Type (or image format size in mm)</t>
  </si>
  <si>
    <t xml:space="preserve">B) </t>
  </si>
  <si>
    <t xml:space="preserve">A) </t>
  </si>
  <si>
    <t xml:space="preserve">C) </t>
  </si>
  <si>
    <t xml:space="preserve">D) </t>
  </si>
  <si>
    <t xml:space="preserve">E) </t>
  </si>
  <si>
    <t xml:space="preserve">F) </t>
  </si>
  <si>
    <t xml:space="preserve">G) </t>
  </si>
  <si>
    <t xml:space="preserve">H) </t>
  </si>
  <si>
    <t xml:space="preserve">I) </t>
  </si>
  <si>
    <t>1)   Assemble needed materials:</t>
  </si>
  <si>
    <t>2)   Tape down the photo to a flat surface.</t>
  </si>
  <si>
    <t>3)   Tape down the acetate over the photo.</t>
  </si>
  <si>
    <t>If  deflection angle is positive then use it as the clockwise rotation angle</t>
  </si>
  <si>
    <t>or Longitude) it is possible that the unit photo vector may not intersect the earth  (I.e. the horizon appears in the photo)</t>
  </si>
  <si>
    <t xml:space="preserve"> Zeta = 90 degrees</t>
  </si>
  <si>
    <t>Tangent to Earth's Surface</t>
  </si>
  <si>
    <t>Top Width</t>
  </si>
  <si>
    <t>1) if Computed Zeta is greater then 90, the True Zeta Angle = Computed Value</t>
  </si>
  <si>
    <t>using the "asin" computed angle</t>
  </si>
  <si>
    <t>Acos Computed Angle =</t>
  </si>
  <si>
    <t>Asin Computed Angle =</t>
  </si>
  <si>
    <t>decimal Degrees</t>
  </si>
  <si>
    <t>Earth  Centered Rectangular Coordinates for point "sn" computed in the "SPH_REC" worksheet</t>
  </si>
  <si>
    <t>Compute Earth Centered Rectangular Coordinates for point "pc"</t>
  </si>
  <si>
    <t>If TRUE, the Longitude difference between the original</t>
  </si>
  <si>
    <t xml:space="preserve">                   Radius of Earth</t>
  </si>
  <si>
    <t xml:space="preserve">    Angle "Epsilon"</t>
  </si>
  <si>
    <t>degree range. The other will have a modified value in the 0 to 10 range</t>
  </si>
  <si>
    <t>Earth Centered Rectangular Coordinates computed for these point in the "SPH_REC" worksheet</t>
  </si>
  <si>
    <t>Earth Centered Rectangular Coordinates for Point "pc" from "SPH_REC" worksheet</t>
  </si>
  <si>
    <t xml:space="preserve">            recommend that you compute a more accurate value.</t>
  </si>
  <si>
    <t>Compute the Composite Rotation Matrix</t>
  </si>
  <si>
    <t>1) Rotate about +Z</t>
  </si>
  <si>
    <t>2) Rotate about +Y</t>
  </si>
  <si>
    <t>Compute the Relationship between the Local Shuttle and Photo Rectangular Coordinate Systems</t>
  </si>
  <si>
    <t>Auxiliary Point Rotation Angle - User Measured Rotation Angle</t>
  </si>
  <si>
    <t>The user entered latitude and longitude indicates that the auxiliary point</t>
  </si>
  <si>
    <t xml:space="preserve">The user measured auxiliary point has a 20 degree left deflection relative </t>
  </si>
  <si>
    <t xml:space="preserve">To have the Auxiliary Point in this location the camera must have been </t>
  </si>
  <si>
    <t>for the Auxiliary Point so it is aligned with the True Point Location</t>
  </si>
  <si>
    <t>STS-30-93-44</t>
  </si>
  <si>
    <t>the Zeta angle between it and the radius of the Earth equals 90 degrees (as shown below)</t>
  </si>
  <si>
    <r>
      <t>TEST</t>
    </r>
    <r>
      <rPr>
        <sz val="10"/>
        <rFont val="Geneva"/>
        <family val="0"/>
      </rPr>
      <t xml:space="preserve"> -  is the ORIGINAL value for the Longitude of the "pc" on the + side of the </t>
    </r>
  </si>
  <si>
    <t>Modifications to Theta based on Case 1 or Case 2</t>
  </si>
  <si>
    <t>Photo ID # -----------------------&gt;</t>
  </si>
  <si>
    <t>RESULTS -- Locator Ellipse and Scale Information</t>
  </si>
  <si>
    <t>180 degree Meridian.  One  will have an original value of 1175 to 180</t>
  </si>
  <si>
    <t>IF the dimensions differ we must reduce the format size to the</t>
  </si>
  <si>
    <t>From this information we can correct the computed angles to the correct Latitude and Longitude using the following rules</t>
  </si>
  <si>
    <t>Transpose of the Rotation matrix from the Global Coordinate System to the Shuttle System</t>
  </si>
  <si>
    <t xml:space="preserve">j_gi_p1 = </t>
  </si>
  <si>
    <t xml:space="preserve">k_gi_p1 = </t>
  </si>
  <si>
    <t>matrix from the Shuttle Coordinate System back to the Global Coordinate System is the</t>
  </si>
  <si>
    <t xml:space="preserve">k_gi_pp = </t>
  </si>
  <si>
    <t xml:space="preserve">j_SY_p1 = </t>
  </si>
  <si>
    <t>Photo Center Point To Rectangular Coordinates</t>
  </si>
  <si>
    <t>Legion</t>
  </si>
  <si>
    <t>All Mathematical Computations are Color Coded</t>
  </si>
  <si>
    <t>Convert the Global Rectangular Coordinates for Point "p1" to Spherical Coordinates</t>
  </si>
  <si>
    <t xml:space="preserve"> (in Decimal Degrees)</t>
  </si>
  <si>
    <t>From  Nadir</t>
  </si>
  <si>
    <t>Shuttle Coordinate for Point "p1"</t>
  </si>
  <si>
    <t xml:space="preserve">X_Photo </t>
  </si>
  <si>
    <t>Y_Photo</t>
  </si>
  <si>
    <t>Photo Coordinates</t>
  </si>
  <si>
    <t>Photo Point Vector Magnitude * i vector element of Unit Photo Point Vector =</t>
  </si>
  <si>
    <t xml:space="preserve">Y_ei_p1 = </t>
  </si>
  <si>
    <t>Photo Point Vector Magnitude * j vector element of Unit Photo Point Vector =</t>
  </si>
  <si>
    <t xml:space="preserve">Z_ei_p1 = </t>
  </si>
  <si>
    <t xml:space="preserve">      Arc Distance</t>
  </si>
  <si>
    <t>OUTPUT ERROR MESSAGES</t>
  </si>
  <si>
    <t>Point #</t>
  </si>
  <si>
    <t>Tilt Angle</t>
  </si>
  <si>
    <t>cross over the 180 degree meridian of Longitude or which cross the Equator) we must convert</t>
  </si>
  <si>
    <t>Latitude out of the range of -90 to +90  to a new range of 270 to 360 and 0 to 90 respectively</t>
  </si>
  <si>
    <t>Angle Between Point "p2 and "pp</t>
  </si>
  <si>
    <t>Angle Between Point "pp and "p7</t>
  </si>
  <si>
    <t>Unit Vector for "p7</t>
  </si>
  <si>
    <t>Altitude</t>
  </si>
  <si>
    <t>Nautical Miles</t>
  </si>
  <si>
    <t>Kilometers</t>
  </si>
  <si>
    <t>Error Message # 6</t>
  </si>
  <si>
    <t xml:space="preserve">X_ei_p2 = </t>
  </si>
  <si>
    <t xml:space="preserve">Y_ei_p2 = </t>
  </si>
  <si>
    <t xml:space="preserve">Z_ei_p2 = </t>
  </si>
  <si>
    <t>Shuttle Coordinate for Principle Point "pp"</t>
  </si>
  <si>
    <t xml:space="preserve">SX_pp = </t>
  </si>
  <si>
    <t xml:space="preserve">i_SX_pp = </t>
  </si>
  <si>
    <t xml:space="preserve">SY_pp = </t>
  </si>
  <si>
    <t>of each other and an error must be generated on the "Input-Output" worksheet.</t>
  </si>
  <si>
    <t>Compute the Global Earth Centered Coordinates for Point "p5"</t>
  </si>
  <si>
    <t xml:space="preserve">X_gi_p5 = </t>
  </si>
  <si>
    <t xml:space="preserve">Y_gi_p5 = </t>
  </si>
  <si>
    <t xml:space="preserve">Z_gi_p5 = </t>
  </si>
  <si>
    <t>Compute the Global Earth Centered Coordinates for Point "p6"</t>
  </si>
  <si>
    <t>If auxiliary point information exists then the above format</t>
  </si>
  <si>
    <t>values will be used for subsequent calculations</t>
  </si>
  <si>
    <t>If less then zero add to 360 degrees</t>
  </si>
  <si>
    <t>relative the Shuttle Coordinate System as shown below:</t>
  </si>
  <si>
    <t>Image Size</t>
  </si>
  <si>
    <t>Point to the Shuttle to computed the Coordinates of the Point on the Photo</t>
  </si>
  <si>
    <t>should be at the top center of the image</t>
  </si>
  <si>
    <t xml:space="preserve">i_gi_p8 = </t>
  </si>
  <si>
    <t xml:space="preserve">j_gi_p8 = </t>
  </si>
  <si>
    <t xml:space="preserve">k_gi_p8 = </t>
  </si>
  <si>
    <t xml:space="preserve">  +Z axis is perpendicular to the Equatorial Plane through the North Geographical Pole</t>
  </si>
  <si>
    <t>Auxiliary Point</t>
  </si>
  <si>
    <t>OPTIONAL - Auxiliary Point on Photo</t>
  </si>
  <si>
    <t>Shuttle Nadir</t>
  </si>
  <si>
    <t xml:space="preserve">j_gi_p7 = </t>
  </si>
  <si>
    <t xml:space="preserve">k_gi_p7 = </t>
  </si>
  <si>
    <t>Zax/Radius of Earth =</t>
  </si>
  <si>
    <t>Global Rectangular Coordinates of Point on Equator which</t>
  </si>
  <si>
    <t>Y_np/Radius of Earth =</t>
  </si>
  <si>
    <t>Error Message #4</t>
  </si>
  <si>
    <t>k_np =</t>
  </si>
  <si>
    <t xml:space="preserve">    Radians  = </t>
  </si>
  <si>
    <t xml:space="preserve">4 ) </t>
  </si>
  <si>
    <t>Convert the Photo Center Lat. / Long. to Decimal Degrees.</t>
  </si>
  <si>
    <t xml:space="preserve">X_esn = </t>
  </si>
  <si>
    <t xml:space="preserve">Y_esn = </t>
  </si>
  <si>
    <t xml:space="preserve">Z_esn = </t>
  </si>
  <si>
    <t>Latitude=arsin(Z_Coordinate / Radius of Earth)</t>
  </si>
  <si>
    <t>Linear Distance from Earth Center to Equator Point =</t>
  </si>
  <si>
    <r>
      <t>impossible</t>
    </r>
    <r>
      <rPr>
        <sz val="10"/>
        <rFont val="Geneva"/>
        <family val="0"/>
      </rPr>
      <t xml:space="preserve"> to create a triangle which has the computed Gamma </t>
    </r>
  </si>
  <si>
    <t>angle and a leg distance equal to the radius of the earth.</t>
  </si>
  <si>
    <t>exceeds the 0.000 to 1.000 range of the "Asin" function.</t>
  </si>
  <si>
    <t>km  =  nm  *  (1/0.86897624 miles/nm) * (1/0.6213711922 km/mile)</t>
  </si>
  <si>
    <t xml:space="preserve">In this case we want to compute the new local coordinates for points "sc", "pc" and "Earth Center" by applying the composite rotation matrix and </t>
  </si>
  <si>
    <t>+Z translation equal to the radius of the earth plus the altitude of the shuttle.</t>
  </si>
  <si>
    <t>Shuttle Centered Rectangular Coordinates for "Center of Earth"</t>
  </si>
  <si>
    <t>Local Coordinates</t>
  </si>
  <si>
    <t>Global Coordinates</t>
  </si>
  <si>
    <t xml:space="preserve">X_Lce  </t>
  </si>
  <si>
    <t xml:space="preserve">             </t>
  </si>
  <si>
    <t xml:space="preserve"> Xce</t>
  </si>
  <si>
    <t xml:space="preserve">Y_Lce </t>
  </si>
  <si>
    <t>j_Lss-Lap =</t>
  </si>
  <si>
    <t>k_Lss-Lap =</t>
  </si>
  <si>
    <t xml:space="preserve">      but only in the range of 0 to +/- 90 degrees.  When the computed angle is POSITIVE the point is on the POSITIVE Longitude side of the Earth</t>
  </si>
  <si>
    <t>arsin( (sin(Gamma)*(Distance from Shuttle to Earth Center) ) / Radius of Earth )</t>
  </si>
  <si>
    <t xml:space="preserve">            (SIN(Gamma)*Dist Earth to Shuttle)/ Radius of Earth = </t>
  </si>
  <si>
    <t>NOTE:  IF the angle exceeds 1.0 then the asin does not exist which</t>
  </si>
  <si>
    <t>j_Lap-Lss =</t>
  </si>
  <si>
    <t>k_Lap-Lss =</t>
  </si>
  <si>
    <t>Multiple each element of the above vector by -1</t>
  </si>
  <si>
    <t>Normalized Vector from "pc" to Shuttle Location</t>
  </si>
  <si>
    <t xml:space="preserve">                pc</t>
  </si>
  <si>
    <t>Compute the Coordinates for the Corners of the Photo Image Plane in the</t>
  </si>
  <si>
    <t xml:space="preserve">Z_p1 = </t>
  </si>
  <si>
    <t xml:space="preserve">SZ_p1 = </t>
  </si>
  <si>
    <t xml:space="preserve">k_SZ_p1 = </t>
  </si>
  <si>
    <t>is computed according to the following rules</t>
  </si>
  <si>
    <t>Compute the Coordinates of the Photo Point Vector's intersection with the Earth Spheroid in the Shuttle Coordinate System</t>
  </si>
  <si>
    <t xml:space="preserve">X_ei_p1 = </t>
  </si>
  <si>
    <t>Linear Distance=</t>
  </si>
  <si>
    <t>decimal degrees</t>
  </si>
  <si>
    <t>Shuttle Location in Global</t>
  </si>
  <si>
    <t>Unit Vector for the Principle Point "pp"</t>
  </si>
  <si>
    <t xml:space="preserve">i_gi_pp = </t>
  </si>
  <si>
    <t xml:space="preserve">j_gi_pp = </t>
  </si>
  <si>
    <t xml:space="preserve">  The difference will exceed 5 degrees.</t>
  </si>
  <si>
    <t xml:space="preserve">j_SY_pp = </t>
  </si>
  <si>
    <t>y=0</t>
  </si>
  <si>
    <t>Case 1</t>
  </si>
  <si>
    <t>Case 2</t>
  </si>
  <si>
    <t>Top Height</t>
  </si>
  <si>
    <t>Side Width</t>
  </si>
  <si>
    <t>Output Error Messages</t>
  </si>
  <si>
    <t>Input Error Messages</t>
  </si>
  <si>
    <t xml:space="preserve">Y_p5 = </t>
  </si>
  <si>
    <t xml:space="preserve">SY_p5 = </t>
  </si>
  <si>
    <t xml:space="preserve">j_SY_p5 = </t>
  </si>
  <si>
    <t xml:space="preserve">Z_p5 = </t>
  </si>
  <si>
    <t>Special Rule - if Longitude of "pc" is &lt;= 0 and  Longitude of "sn" &gt;= 0 then Theta = -1* Theta</t>
  </si>
  <si>
    <t xml:space="preserve">Z_ei_p3 = </t>
  </si>
  <si>
    <t>Which will be written in the form of:</t>
  </si>
  <si>
    <t>Translation</t>
  </si>
  <si>
    <t xml:space="preserve">m           =   </t>
  </si>
  <si>
    <t>m          +</t>
  </si>
  <si>
    <t>Top Left</t>
  </si>
  <si>
    <t>Compute Global Spherical Coordinates for point "pc"</t>
  </si>
  <si>
    <t>For Point "pc"</t>
  </si>
  <si>
    <t>Compute Global Spherical Coordinates for point "sn"</t>
  </si>
  <si>
    <t>For Point "sn"</t>
  </si>
  <si>
    <t>In Global Rectangular Coordinate System</t>
  </si>
  <si>
    <t xml:space="preserve">j_SY_p6 = </t>
  </si>
  <si>
    <t xml:space="preserve">Z_p6 = </t>
  </si>
  <si>
    <t xml:space="preserve">SZ_p6 = </t>
  </si>
  <si>
    <t xml:space="preserve">k_SZ_p6 = </t>
  </si>
  <si>
    <t>Shuttle Coordinate for Point "p7"</t>
  </si>
  <si>
    <t xml:space="preserve">SX_p7 = </t>
  </si>
  <si>
    <t xml:space="preserve">i_SX_p7 = </t>
  </si>
  <si>
    <t xml:space="preserve">SY_p7 = </t>
  </si>
  <si>
    <t xml:space="preserve">j_SY_p7 = </t>
  </si>
  <si>
    <t xml:space="preserve">Z_p7 = </t>
  </si>
  <si>
    <t xml:space="preserve">SZ_p7 = </t>
  </si>
  <si>
    <t xml:space="preserve">k_SZ_p7 = </t>
  </si>
  <si>
    <t>Shuttle Coordinate for Point "p8"</t>
  </si>
  <si>
    <t xml:space="preserve">SX_p8 = </t>
  </si>
  <si>
    <t>Compute the Normalized Vector from Shuttle Location to Point "pc"</t>
  </si>
  <si>
    <t xml:space="preserve">i_Lpc = </t>
  </si>
  <si>
    <t xml:space="preserve"> (X_Lpc - X_Lss )/ LD_pc =</t>
  </si>
  <si>
    <t xml:space="preserve">j_Lpc = </t>
  </si>
  <si>
    <t>Was altitude entered in Nautical Miles?</t>
  </si>
  <si>
    <t xml:space="preserve">km  =  nm  * </t>
  </si>
  <si>
    <t xml:space="preserve"> (must be a Positive Value)</t>
  </si>
  <si>
    <t>IF Both TESTS 1 and 2 show False the two Latitude values are not within 10 degrees</t>
  </si>
  <si>
    <r>
      <t>TEST2</t>
    </r>
    <r>
      <rPr>
        <sz val="10"/>
        <rFont val="Geneva"/>
        <family val="0"/>
      </rPr>
      <t xml:space="preserve"> - Is the absolute difference in the MODIFIED Longitude</t>
    </r>
  </si>
  <si>
    <r>
      <t>TEST 1</t>
    </r>
    <r>
      <rPr>
        <sz val="10"/>
        <rFont val="Geneva"/>
        <family val="0"/>
      </rPr>
      <t xml:space="preserve"> - Is the absolute difference in the ORIGINAL Longitude</t>
    </r>
  </si>
  <si>
    <t>Auxiliary Point on Photo (ap)</t>
  </si>
  <si>
    <t>True Format Values</t>
  </si>
  <si>
    <t>If altitude was entered in Nautical Miles it must be converted to Kilometers</t>
  </si>
  <si>
    <t>If TRUE Convert to Kilometers using the following</t>
  </si>
  <si>
    <t>Altitude in Kilometers for use in subsequent calculations</t>
  </si>
  <si>
    <t>Convert Altitude Units to Kilometers</t>
  </si>
  <si>
    <t>Clockwise Rotation Angle to the</t>
  </si>
  <si>
    <t xml:space="preserve">X_app = </t>
  </si>
  <si>
    <t xml:space="preserve">Y_app = </t>
  </si>
  <si>
    <t xml:space="preserve">Z_app = </t>
  </si>
  <si>
    <t>j_Lap_Lss*D_ss_app</t>
  </si>
  <si>
    <t>Distance = D_ss_app =</t>
  </si>
  <si>
    <t>to the top of the photo</t>
  </si>
  <si>
    <t>turned 20 degrees to the Left when the photo was taken.</t>
  </si>
  <si>
    <t xml:space="preserve">To compute the correct latitude and longitude for the corner </t>
  </si>
  <si>
    <t>points of the actual photo we must rotate the mathematical location</t>
  </si>
  <si>
    <t>the same Longitude as the Shuttle Nadir Location ("esn")</t>
  </si>
  <si>
    <t>This equation provides an easy way to determine if the Unit Photo Vector does not intersect the Surface of the Earth</t>
  </si>
  <si>
    <t xml:space="preserve">     Gamma</t>
  </si>
  <si>
    <t xml:space="preserve">    1)  If user input Latitude is between 0 and +90 apply a rotation of (90 - user input Latitude)</t>
  </si>
  <si>
    <t xml:space="preserve">    which is opposite the direction of the nadir.</t>
  </si>
  <si>
    <t>Latitude rotation is measured with a +/- angle from the +X and +Y plane we can use the Latitude value directly</t>
  </si>
  <si>
    <t>Compute "Epsilon" Angle using the Two Previously Computed Angles</t>
  </si>
  <si>
    <t xml:space="preserve">    2)  If user input Latitude is between 0 and -90 apply a rotation of (90 - user input Latitude)</t>
  </si>
  <si>
    <t>We can then any needed translations by adding an additional vector to the above equation</t>
  </si>
  <si>
    <t>X_translation</t>
  </si>
  <si>
    <r>
      <t xml:space="preserve">        </t>
    </r>
    <r>
      <rPr>
        <b/>
        <sz val="10"/>
        <color indexed="33"/>
        <rFont val="Geneva"/>
        <family val="0"/>
      </rPr>
      <t>+X in Local Shuttle Rectangular Coordinate System</t>
    </r>
  </si>
  <si>
    <t xml:space="preserve">  Rotation Angle About the +Y axis of the Shuttle Rectangular Coordinate System</t>
  </si>
  <si>
    <t xml:space="preserve">           Alpha Angle</t>
  </si>
  <si>
    <t>Compute the Global Earth Centered Coordinates for Point "p2"</t>
  </si>
  <si>
    <t xml:space="preserve">X_gi_p2 = </t>
  </si>
  <si>
    <t xml:space="preserve">Y_gi_p2 = </t>
  </si>
  <si>
    <t xml:space="preserve">Z_gi_p2 = </t>
  </si>
  <si>
    <t xml:space="preserve">      =  </t>
  </si>
  <si>
    <t>This angle must be obtuse (i.e. greater then 90 degrees)  so the True Zeta Angle</t>
  </si>
  <si>
    <t xml:space="preserve">          +</t>
  </si>
  <si>
    <t>Y_translation</t>
  </si>
  <si>
    <r>
      <t xml:space="preserve">This Yields the </t>
    </r>
    <r>
      <rPr>
        <b/>
        <sz val="12"/>
        <rFont val="Geneva"/>
        <family val="0"/>
      </rPr>
      <t>Transformation from the Photo Coordinate System to the Shuttle Coordinate Systems</t>
    </r>
  </si>
  <si>
    <t>Shuttle Coordinates</t>
  </si>
  <si>
    <t xml:space="preserve">Photo Coordinates </t>
  </si>
  <si>
    <r>
      <t>(Vector B)</t>
    </r>
    <r>
      <rPr>
        <sz val="10"/>
        <rFont val="Geneva"/>
        <family val="0"/>
      </rPr>
      <t xml:space="preserve"> Normalized Vector from Shuttle Location to Point "sn"</t>
    </r>
  </si>
  <si>
    <t>i_Lap-Lss =</t>
  </si>
  <si>
    <t xml:space="preserve">Linear Distance from Shuttle Location to Point "sn"         LD_sn = </t>
  </si>
  <si>
    <t xml:space="preserve">i_Lsn = </t>
  </si>
  <si>
    <t>So with this relationship, if we know the Coordinates for the corners of the photo in the Photo Coordinate System</t>
  </si>
  <si>
    <t>we can compute their coordinates in the Shuttle Coordinate System with the above equation</t>
  </si>
  <si>
    <t>Shuttle Coordinate for Point "p2"</t>
  </si>
  <si>
    <t xml:space="preserve">SX_p2 = </t>
  </si>
  <si>
    <t xml:space="preserve">i_SX_p2 = </t>
  </si>
  <si>
    <t xml:space="preserve">SY_p2 = </t>
  </si>
  <si>
    <t xml:space="preserve">j_SY_p2 = </t>
  </si>
  <si>
    <t xml:space="preserve">Z_p2 = </t>
  </si>
  <si>
    <t xml:space="preserve">SZ_p2 = </t>
  </si>
  <si>
    <t xml:space="preserve">k_SZ_p2 = </t>
  </si>
  <si>
    <t>Shuttle Coordinate for Point "p3"</t>
  </si>
  <si>
    <t xml:space="preserve">SX_p3 = </t>
  </si>
  <si>
    <t xml:space="preserve">i_SX_p3 = </t>
  </si>
  <si>
    <t>smaller of the two dimensions.</t>
  </si>
  <si>
    <t>Values to be used in all subsequent calculations</t>
  </si>
  <si>
    <t>Focal Length</t>
  </si>
  <si>
    <t>while the other will have a value of -175 to -180.</t>
  </si>
  <si>
    <t xml:space="preserve">Z_pp = </t>
  </si>
  <si>
    <t xml:space="preserve">SZ_pp = </t>
  </si>
  <si>
    <t xml:space="preserve">k_SZ_pp = </t>
  </si>
  <si>
    <t>Shuttle Coordinate for Point "p5"</t>
  </si>
  <si>
    <t xml:space="preserve">X_p5 = </t>
  </si>
  <si>
    <t xml:space="preserve">SX_p5 = </t>
  </si>
  <si>
    <t xml:space="preserve">i_SX_p5 = </t>
  </si>
  <si>
    <t xml:space="preserve">  +X axis in the Equatorial Plane through the Greenwich Meridian</t>
  </si>
  <si>
    <t>Error Message # 7</t>
  </si>
  <si>
    <t>Error Message # 8</t>
  </si>
  <si>
    <t>Error Message # 9</t>
  </si>
  <si>
    <t xml:space="preserve">X_ei_p3 = </t>
  </si>
  <si>
    <t xml:space="preserve">Y_ei_p3 = </t>
  </si>
  <si>
    <t>With the three individual rotation matrices computed we can now combine them into a single composite rotation matrix.</t>
  </si>
  <si>
    <t>Special Rule - if Longitude of "pc" is &gt;= 0 and  Longitude of "sn" &lt;= 0 then Theta = 360- Theta</t>
  </si>
  <si>
    <t>Error Message # 11</t>
  </si>
  <si>
    <t>Shuttle Coordinate for Point "p6"</t>
  </si>
  <si>
    <t xml:space="preserve">SX_p6 = </t>
  </si>
  <si>
    <t xml:space="preserve">i_SX_p6 = </t>
  </si>
  <si>
    <t xml:space="preserve">SY_p6 = </t>
  </si>
  <si>
    <t>Compute Unit Vector from the Shuttle Location to the Earth's Center in the Shuttle Coordinate System</t>
  </si>
  <si>
    <t>This Coordinates for the Shuttle Location and Earth Center were previously computed as:</t>
  </si>
  <si>
    <t>Earth Center =</t>
  </si>
  <si>
    <t xml:space="preserve">                   Linear Distance between Shuttle and Earth Center = </t>
  </si>
  <si>
    <t>LD_ss_ce =</t>
  </si>
  <si>
    <t xml:space="preserve"> (Y_Lpc - Y_Lss )/ LD_pc =</t>
  </si>
  <si>
    <t xml:space="preserve">k_Lpc = </t>
  </si>
  <si>
    <t xml:space="preserve"> (Z_Lpc - Z_Lss )/ LD_pc =</t>
  </si>
  <si>
    <t>Error Message # 20</t>
  </si>
  <si>
    <t>Error Message # 21</t>
  </si>
  <si>
    <t xml:space="preserve">X_ei_p6 = </t>
  </si>
  <si>
    <t xml:space="preserve">Y_ei_p6 = </t>
  </si>
  <si>
    <t xml:space="preserve">Z_ei_p6 = </t>
  </si>
  <si>
    <t>Compute the Earth Intersection Coordinates for Photo Point Vector "p7" in the Shuttle Coordinate System</t>
  </si>
  <si>
    <t>Error Message # 22</t>
  </si>
  <si>
    <t>Error Message # 23</t>
  </si>
  <si>
    <t>Error Message # 24</t>
  </si>
  <si>
    <t xml:space="preserve">X_ei_p7 = </t>
  </si>
  <si>
    <t>From the previous computations, we have the unit vectors from the shuttle location to each of the photo points in the</t>
  </si>
  <si>
    <t>Shuttle Rectangular Coordinate System</t>
  </si>
  <si>
    <t xml:space="preserve">By reversing the direction of each of these unit vectors (by changing the sign of each element) we produce the unit vectors from </t>
  </si>
  <si>
    <t xml:space="preserve">         + Y_local</t>
  </si>
  <si>
    <t>Establish a Photo Coordinates System based on the Principle Point Location of Photo</t>
  </si>
  <si>
    <t>Rotation about the Y axis</t>
  </si>
  <si>
    <t>Znew = Xold * 0                                + Yold * 1                         + Zold * 0</t>
  </si>
  <si>
    <t>Znew = Xold * Sin (Rotation Angle) + Yold * 0 + Zold *Cos(Rotation Angle)</t>
  </si>
  <si>
    <t>for Rotation About the Y axis</t>
  </si>
  <si>
    <t>i_Lap_Lss*D_ss_app</t>
  </si>
  <si>
    <t>k_Lap_Lss*D_ss_app</t>
  </si>
  <si>
    <t>Compute the photo center point's lat./long on the map.</t>
  </si>
  <si>
    <t xml:space="preserve">   the intersection of the two lines is the center of the photo.</t>
  </si>
  <si>
    <t>Given the Format Size it is easy to computed to coordinates of the photo corners and other key photo points on the image in the Photo Coordinate System</t>
  </si>
  <si>
    <t>Input Format Size</t>
  </si>
  <si>
    <t xml:space="preserve">  Multiplied  by</t>
  </si>
  <si>
    <t xml:space="preserve"> Yce      +</t>
  </si>
  <si>
    <t>Z_Lce</t>
  </si>
  <si>
    <t xml:space="preserve">            Shuttle Location</t>
  </si>
  <si>
    <t xml:space="preserve">We then translate the origin of the coordinate system from the center of the earth to the shuttle location by applying a single </t>
  </si>
  <si>
    <t xml:space="preserve">                +X</t>
  </si>
  <si>
    <t>Definition of Global Earth Centered Rectangular</t>
  </si>
  <si>
    <t>Local Shuttle Rectangular Coordinate System</t>
  </si>
  <si>
    <t xml:space="preserve">k_SZ_p3 = </t>
  </si>
  <si>
    <t>Shuttle Coordinate for Point "p4"</t>
  </si>
  <si>
    <t xml:space="preserve">SX_p4 = </t>
  </si>
  <si>
    <t xml:space="preserve">i_SX_p4 = </t>
  </si>
  <si>
    <t xml:space="preserve">SY_p4 = </t>
  </si>
  <si>
    <t xml:space="preserve">j_SY_p4 = </t>
  </si>
  <si>
    <t>y = 0</t>
  </si>
  <si>
    <t xml:space="preserve">Z_p4 = </t>
  </si>
  <si>
    <t xml:space="preserve">SZ_p4 = </t>
  </si>
  <si>
    <t xml:space="preserve">k_SZ_p4 = </t>
  </si>
  <si>
    <t xml:space="preserve">             sn</t>
  </si>
  <si>
    <t xml:space="preserve">            pc</t>
  </si>
  <si>
    <t>Compute the Location of the Principle Point (intersection between the Photo Image Plane</t>
  </si>
  <si>
    <t xml:space="preserve">SZ_p5 = </t>
  </si>
  <si>
    <t xml:space="preserve">k_SZ_p5 = </t>
  </si>
  <si>
    <t xml:space="preserve">          pc</t>
  </si>
  <si>
    <t xml:space="preserve">                      Earth</t>
  </si>
  <si>
    <t xml:space="preserve">        Center of Earth</t>
  </si>
  <si>
    <t xml:space="preserve">      (Magnitude Unknown)</t>
  </si>
  <si>
    <t>Angle between 2 vectors = across (Vector A * Vector B)/ || Vector A || * || Vector B ||</t>
  </si>
  <si>
    <t xml:space="preserve">Alpha = </t>
  </si>
  <si>
    <t>Error Message #7</t>
  </si>
  <si>
    <t>Compute the +Y axis Rotation Angle = 360-Alpha</t>
  </si>
  <si>
    <t>Error Message #8</t>
  </si>
  <si>
    <t>Coordinates of Point "sn"</t>
  </si>
  <si>
    <t>(2 * (Distance from Shuttle to Earth Center) * (Radius of Earth) * Cos(Epsilon) )</t>
  </si>
  <si>
    <t>Ynew = Xold * Sin (Rotation Angle) + Yold * Cos(Rotation Angle) + Zold *0</t>
  </si>
  <si>
    <t>If this relationship is correct then entering the Shuttle location in the Local Shuttle Rectangular Coordinate System should yield values of X=0, Y=0, Z=-Focal Length</t>
  </si>
  <si>
    <t>Error Message #11</t>
  </si>
  <si>
    <t>Using the Photo to Shuttle Coordinate Transformation developed above we compute the Shuttle Coordinates of the Photo Points</t>
  </si>
  <si>
    <t xml:space="preserve">6)   The magnate of the Photo Point Vector is then used as a scale factor and multiplied by each element of the Unit Photo Point Vector to </t>
  </si>
  <si>
    <t>Convert the Global (Earth Centered) Rectangular Coordinates of the Photo Points Back to the</t>
  </si>
  <si>
    <t>Shuttle Nadir Point</t>
  </si>
  <si>
    <t xml:space="preserve">Auxiliary Point </t>
  </si>
  <si>
    <t xml:space="preserve">Z_p3 = </t>
  </si>
  <si>
    <t xml:space="preserve">SZ_p3 = </t>
  </si>
  <si>
    <t>Global (Earth Centered) Spherical Coordinate System ( i.e.  Latitude and Longitude)</t>
  </si>
  <si>
    <t>Coordinate System</t>
  </si>
  <si>
    <t xml:space="preserve">SY_p3 = </t>
  </si>
  <si>
    <t xml:space="preserve">j_SY_p3 = </t>
  </si>
  <si>
    <t>Principle Point Location in Local Shuttle Rectangular Coordinate System</t>
  </si>
  <si>
    <t>+Y axis Rotation Matrix and the Translation between the Shuttle Location and Principle Point which equals = - Focal Length in the Z axis.</t>
  </si>
  <si>
    <t>Point Locations in a Global Rectangular Coordinate System</t>
  </si>
  <si>
    <t>Rectangular Coordinates for Shuttle Nadir Point</t>
  </si>
  <si>
    <t>Xsn =</t>
  </si>
  <si>
    <t>Ysn =</t>
  </si>
  <si>
    <t>Zsn =</t>
  </si>
  <si>
    <t xml:space="preserve">1 )  </t>
  </si>
  <si>
    <t>The Local Shuttle and Photo Rectangular Coordinate System are separated by:</t>
  </si>
  <si>
    <t>1)   A single rotation about the +Y axis of the Shuttle Coordinate System by the angle 360-ALPHA (Angle between the Vector from the</t>
  </si>
  <si>
    <t>Since the Photo and the Shuttle Rectangular Coordinate systems are orthogonal the rotation</t>
  </si>
  <si>
    <t>We define the new shuttle centered rectangular coordinate system in which:</t>
  </si>
  <si>
    <t xml:space="preserve">  +X_local is aligned with the plane defined by the point: sn, pc, Earth Center</t>
  </si>
  <si>
    <t>Unit Vector from Shuttle to Earth's Center - Vector "A" =</t>
  </si>
  <si>
    <t>i_Lss_Lce</t>
  </si>
  <si>
    <t xml:space="preserve">  X_Lss - X_Lce)/LD_ss_ce=</t>
  </si>
  <si>
    <t>Product of Previous Two Rotations</t>
  </si>
  <si>
    <t>Composite Rotation Matrix</t>
  </si>
  <si>
    <t>matrix from the Photo Coordinate System back to the Shuttle Coordinate System is the</t>
  </si>
  <si>
    <t xml:space="preserve"> into the Local Shuttle Rectangular Coordinate System</t>
  </si>
  <si>
    <t xml:space="preserve">        - X_local</t>
  </si>
  <si>
    <r>
      <t xml:space="preserve">      </t>
    </r>
    <r>
      <rPr>
        <b/>
        <sz val="10"/>
        <rFont val="Geneva"/>
        <family val="0"/>
      </rPr>
      <t>np</t>
    </r>
  </si>
  <si>
    <t>The Global Earth Centered Rectangular coordinate System was defined as:</t>
  </si>
  <si>
    <t xml:space="preserve">  +Y axis is mutually perpendicular to the other two axes.</t>
  </si>
  <si>
    <t xml:space="preserve">                           North Pole      +Z Axis</t>
  </si>
  <si>
    <t>This earth radius value is based on the Clark 1866 Spheroid Model for the Earth.</t>
  </si>
  <si>
    <t xml:space="preserve">         -Y_local</t>
  </si>
  <si>
    <t xml:space="preserve">   +X_local</t>
  </si>
  <si>
    <t xml:space="preserve">              Lat_sn</t>
  </si>
  <si>
    <t xml:space="preserve">         +Y axis</t>
  </si>
  <si>
    <r>
      <t xml:space="preserve">           </t>
    </r>
    <r>
      <rPr>
        <b/>
        <sz val="10"/>
        <rFont val="Geneva"/>
        <family val="0"/>
      </rPr>
      <t>np</t>
    </r>
  </si>
  <si>
    <t>- Y Axis</t>
  </si>
  <si>
    <t xml:space="preserve">   Lat_pc</t>
  </si>
  <si>
    <t xml:space="preserve">   Long_sn</t>
  </si>
  <si>
    <t>X_Lce  =</t>
  </si>
  <si>
    <t>Y_Lce  =</t>
  </si>
  <si>
    <t xml:space="preserve">       Shuttle Location to Points "sc" and "pc" respectively.</t>
  </si>
  <si>
    <t>Rotation about the +Y axis is measured in angular units from the plane defined by the +X and +Y</t>
  </si>
  <si>
    <t>Z_Lce  =</t>
  </si>
  <si>
    <t xml:space="preserve"> Zce</t>
  </si>
  <si>
    <t>Error Message # 2</t>
  </si>
  <si>
    <t>Which has the same Longitude as the Shuttle Nadir Point</t>
  </si>
  <si>
    <t xml:space="preserve">            Remaining Angle =</t>
  </si>
  <si>
    <t>5)</t>
  </si>
  <si>
    <t xml:space="preserve">X_p2 = </t>
  </si>
  <si>
    <t xml:space="preserve">X_p3 = </t>
  </si>
  <si>
    <t xml:space="preserve">Y_p1 = </t>
  </si>
  <si>
    <t xml:space="preserve">Y_p2 = </t>
  </si>
  <si>
    <t xml:space="preserve">Y_p3 = </t>
  </si>
  <si>
    <t xml:space="preserve"> </t>
  </si>
  <si>
    <t>Photo -Y Axis</t>
  </si>
  <si>
    <t>Photo +X Axis</t>
  </si>
  <si>
    <t xml:space="preserve">X_p4 = </t>
  </si>
  <si>
    <t xml:space="preserve">X_pp = </t>
  </si>
  <si>
    <t xml:space="preserve">m      X_p5 = </t>
  </si>
  <si>
    <t>+Y Axial Rotation Angle =</t>
  </si>
  <si>
    <t>Rotation #3</t>
  </si>
  <si>
    <t>Compute the Angle Theta</t>
  </si>
  <si>
    <r>
      <t xml:space="preserve">  </t>
    </r>
    <r>
      <rPr>
        <b/>
        <sz val="10"/>
        <color indexed="33"/>
        <rFont val="Geneva"/>
        <family val="0"/>
      </rPr>
      <t>+Y in Local Shuttle Rectangular Coordinate System</t>
    </r>
  </si>
  <si>
    <t>If Longitude of point "pc" is less then the Longitude of point "sn" then  Rotation equals 360 degrees - Theta Angle.</t>
  </si>
  <si>
    <t xml:space="preserve">            Rotation Angle =</t>
  </si>
  <si>
    <t>Compute Composite Rotation  Matrix</t>
  </si>
  <si>
    <t>Compute Shuttle Location in Global Rectangular Coordinate System</t>
  </si>
  <si>
    <t>The Earth Center to Shuttle Nadir Location</t>
  </si>
  <si>
    <t xml:space="preserve">         Local +X</t>
  </si>
  <si>
    <t xml:space="preserve">        -Y</t>
  </si>
  <si>
    <t xml:space="preserve">           +Y</t>
  </si>
  <si>
    <t xml:space="preserve">j_gi_pr = </t>
  </si>
  <si>
    <t xml:space="preserve">k_gi_pr = </t>
  </si>
  <si>
    <t xml:space="preserve">i_gi_pb = </t>
  </si>
  <si>
    <t xml:space="preserve">j_gi_pb = </t>
  </si>
  <si>
    <t xml:space="preserve">k_gi_pb = </t>
  </si>
  <si>
    <t>Angle Between Point "p2 and "p7</t>
  </si>
  <si>
    <t>Unit Vector for "pl"</t>
  </si>
  <si>
    <t>Unit Vector for "pr"</t>
  </si>
  <si>
    <t>Angle Between Point "p4 and "p5</t>
  </si>
  <si>
    <t>Unit Vector for "p5</t>
  </si>
  <si>
    <t xml:space="preserve">Z_pl = </t>
  </si>
  <si>
    <t xml:space="preserve">X_pr = </t>
  </si>
  <si>
    <t xml:space="preserve">Y_pr = </t>
  </si>
  <si>
    <t xml:space="preserve">Z_pr = </t>
  </si>
  <si>
    <t xml:space="preserve">X_pb = </t>
  </si>
  <si>
    <t xml:space="preserve">Y_pb = </t>
  </si>
  <si>
    <t xml:space="preserve">Z_pb = </t>
  </si>
  <si>
    <t xml:space="preserve"> Multiplied by</t>
  </si>
  <si>
    <t xml:space="preserve">i_SX_pt = </t>
  </si>
  <si>
    <t xml:space="preserve">j_SY_pt = </t>
  </si>
  <si>
    <t>ft</t>
  </si>
  <si>
    <t>2)  Longitude Equation #1 computes the angle in the equatorial plane from the Greenwich meridian, but only in the range of 0 to 180 degrees POSITIVE</t>
  </si>
  <si>
    <t xml:space="preserve">Z_gi_pb = </t>
  </si>
  <si>
    <t xml:space="preserve">X_gi_pr = </t>
  </si>
  <si>
    <t xml:space="preserve">Y_gi_pr = </t>
  </si>
  <si>
    <t xml:space="preserve">Z_gi_pr = </t>
  </si>
  <si>
    <t xml:space="preserve">X_gi_pl = </t>
  </si>
  <si>
    <t xml:space="preserve">Y_gi_pl = </t>
  </si>
  <si>
    <t xml:space="preserve">Z_gi_pl = </t>
  </si>
  <si>
    <t xml:space="preserve">X_gi_pt = </t>
  </si>
  <si>
    <t xml:space="preserve">Y_gi_pt = </t>
  </si>
  <si>
    <t xml:space="preserve">Z_gi_pt = </t>
  </si>
  <si>
    <t>Known Radius of the Earth</t>
  </si>
  <si>
    <t>Convert the Global Rectangular Coordinates for Point "pt" to Spherical Coordinates</t>
  </si>
  <si>
    <t>Convert the Global Rectangular Coordinates for Point "pl" to Spherical Coordinates</t>
  </si>
  <si>
    <t>Convert the Global Rectangular Coordinates for Point "pr" to Spherical Coordinates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</si>
</sst>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0000000000"/>
    <numFmt numFmtId="166" formatCode="0.0000000"/>
    <numFmt numFmtId="167" formatCode="0.00000"/>
    <numFmt numFmtId="168" formatCode="0.00000000000000"/>
    <numFmt numFmtId="169" formatCode="0.000"/>
    <numFmt numFmtId="170" formatCode="0.00000E+00"/>
    <numFmt numFmtId="171" formatCode="#,##0.000"/>
    <numFmt numFmtId="172" formatCode="0.0000000E+00"/>
    <numFmt numFmtId="173" formatCode="0.00000000"/>
    <numFmt numFmtId="174" formatCode="0.00000000E+00"/>
    <numFmt numFmtId="175" formatCode="0.0000E+00"/>
    <numFmt numFmtId="176" formatCode="0.000000000"/>
    <numFmt numFmtId="177" formatCode="0.0000000000000E+00"/>
    <numFmt numFmtId="178" formatCode="0.00000000000000000000E+00"/>
    <numFmt numFmtId="179" formatCode="0.00000000000000000"/>
    <numFmt numFmtId="180" formatCode="0.000000000000000000000000000"/>
    <numFmt numFmtId="181" formatCode="0.000000000000000000000000000E+00"/>
    <numFmt numFmtId="182" formatCode="0.000E+00"/>
    <numFmt numFmtId="183" formatCode="0.000000"/>
    <numFmt numFmtId="184" formatCode="0.000000000000000000000000000000E+00"/>
    <numFmt numFmtId="185" formatCode="0.0"/>
    <numFmt numFmtId="186" formatCode="#,##0.0"/>
  </numFmts>
  <fonts count="84">
    <font>
      <sz val="10"/>
      <name val="Geneva"/>
      <family val="0"/>
    </font>
    <font>
      <b/>
      <sz val="10"/>
      <name val="Geneva"/>
      <family val="0"/>
    </font>
    <font>
      <i/>
      <sz val="10"/>
      <name val="Geneva"/>
      <family val="0"/>
    </font>
    <font>
      <b/>
      <i/>
      <sz val="10"/>
      <name val="Geneva"/>
      <family val="0"/>
    </font>
    <font>
      <sz val="10"/>
      <color indexed="8"/>
      <name val="Geneva"/>
      <family val="0"/>
    </font>
    <font>
      <b/>
      <sz val="12"/>
      <name val="Geneva"/>
      <family val="0"/>
    </font>
    <font>
      <b/>
      <sz val="14"/>
      <name val="Geneva"/>
      <family val="0"/>
    </font>
    <font>
      <sz val="10"/>
      <color indexed="12"/>
      <name val="Geneva"/>
      <family val="0"/>
    </font>
    <font>
      <sz val="10"/>
      <color indexed="11"/>
      <name val="Geneva"/>
      <family val="0"/>
    </font>
    <font>
      <sz val="10"/>
      <color indexed="14"/>
      <name val="Geneva"/>
      <family val="0"/>
    </font>
    <font>
      <sz val="10"/>
      <color indexed="10"/>
      <name val="Geneva"/>
      <family val="0"/>
    </font>
    <font>
      <b/>
      <sz val="14"/>
      <color indexed="10"/>
      <name val="Geneva"/>
      <family val="0"/>
    </font>
    <font>
      <b/>
      <sz val="18"/>
      <name val="Geneva"/>
      <family val="0"/>
    </font>
    <font>
      <b/>
      <sz val="11"/>
      <name val="Geneva"/>
      <family val="0"/>
    </font>
    <font>
      <sz val="11"/>
      <name val="Geneva"/>
      <family val="0"/>
    </font>
    <font>
      <sz val="11"/>
      <color indexed="10"/>
      <name val="Geneva"/>
      <family val="0"/>
    </font>
    <font>
      <b/>
      <sz val="11"/>
      <color indexed="10"/>
      <name val="Geneva"/>
      <family val="0"/>
    </font>
    <font>
      <sz val="20"/>
      <color indexed="29"/>
      <name val="Geneva"/>
      <family val="0"/>
    </font>
    <font>
      <sz val="20"/>
      <name val="Geneva"/>
      <family val="0"/>
    </font>
    <font>
      <sz val="10"/>
      <color indexed="41"/>
      <name val="Geneva"/>
      <family val="0"/>
    </font>
    <font>
      <b/>
      <sz val="13"/>
      <name val="Geneva"/>
      <family val="0"/>
    </font>
    <font>
      <sz val="10"/>
      <color indexed="9"/>
      <name val="Geneva"/>
      <family val="0"/>
    </font>
    <font>
      <sz val="12"/>
      <name val="Geneva"/>
      <family val="0"/>
    </font>
    <font>
      <b/>
      <sz val="20"/>
      <color indexed="9"/>
      <name val="Geneva"/>
      <family val="0"/>
    </font>
    <font>
      <b/>
      <sz val="11"/>
      <color indexed="8"/>
      <name val="Geneva"/>
      <family val="0"/>
    </font>
    <font>
      <sz val="11"/>
      <color indexed="9"/>
      <name val="Geneva"/>
      <family val="0"/>
    </font>
    <font>
      <sz val="10"/>
      <color indexed="34"/>
      <name val="Geneva"/>
      <family val="0"/>
    </font>
    <font>
      <b/>
      <sz val="10"/>
      <color indexed="35"/>
      <name val="Geneva"/>
      <family val="0"/>
    </font>
    <font>
      <b/>
      <sz val="10"/>
      <color indexed="61"/>
      <name val="Geneva"/>
      <family val="0"/>
    </font>
    <font>
      <b/>
      <sz val="10"/>
      <color indexed="40"/>
      <name val="Geneva"/>
      <family val="0"/>
    </font>
    <font>
      <b/>
      <sz val="10"/>
      <color indexed="33"/>
      <name val="Geneva"/>
      <family val="0"/>
    </font>
    <font>
      <b/>
      <sz val="10"/>
      <color indexed="29"/>
      <name val="Geneva"/>
      <family val="0"/>
    </font>
    <font>
      <b/>
      <sz val="10"/>
      <color indexed="41"/>
      <name val="Geneva"/>
      <family val="0"/>
    </font>
    <font>
      <b/>
      <sz val="10"/>
      <color indexed="10"/>
      <name val="Geneva"/>
      <family val="0"/>
    </font>
    <font>
      <b/>
      <sz val="10"/>
      <color indexed="15"/>
      <name val="Geneva"/>
      <family val="0"/>
    </font>
    <font>
      <b/>
      <sz val="10"/>
      <color indexed="11"/>
      <name val="Geneva"/>
      <family val="0"/>
    </font>
    <font>
      <sz val="10"/>
      <color indexed="33"/>
      <name val="Geneva"/>
      <family val="0"/>
    </font>
    <font>
      <b/>
      <sz val="12"/>
      <color indexed="33"/>
      <name val="Geneva"/>
      <family val="0"/>
    </font>
    <font>
      <b/>
      <sz val="12"/>
      <color indexed="8"/>
      <name val="Geneva"/>
      <family val="0"/>
    </font>
    <font>
      <sz val="10"/>
      <color indexed="15"/>
      <name val="Geneva"/>
      <family val="0"/>
    </font>
    <font>
      <b/>
      <sz val="14"/>
      <color indexed="9"/>
      <name val="Geneva"/>
      <family val="0"/>
    </font>
    <font>
      <sz val="12"/>
      <color indexed="10"/>
      <name val="Arial Rounded MT Bold"/>
      <family val="0"/>
    </font>
    <font>
      <b/>
      <sz val="12"/>
      <color indexed="9"/>
      <name val="Geneva"/>
      <family val="0"/>
    </font>
    <font>
      <b/>
      <sz val="12"/>
      <color indexed="10"/>
      <name val="Geneva"/>
      <family val="0"/>
    </font>
    <font>
      <sz val="13"/>
      <color indexed="33"/>
      <name val="Geneva"/>
      <family val="0"/>
    </font>
    <font>
      <b/>
      <sz val="11"/>
      <color indexed="9"/>
      <name val="Geneva"/>
      <family val="0"/>
    </font>
    <font>
      <b/>
      <sz val="10"/>
      <color indexed="9"/>
      <name val="Geneva"/>
      <family val="0"/>
    </font>
    <font>
      <b/>
      <u val="single"/>
      <sz val="12"/>
      <color indexed="10"/>
      <name val="Geneva"/>
      <family val="0"/>
    </font>
    <font>
      <u val="single"/>
      <sz val="10"/>
      <name val="Geneva"/>
      <family val="0"/>
    </font>
    <font>
      <b/>
      <sz val="18"/>
      <color indexed="9"/>
      <name val="Geneva"/>
      <family val="0"/>
    </font>
    <font>
      <b/>
      <sz val="18"/>
      <name val="Arial Rounded MT Bold"/>
      <family val="2"/>
    </font>
    <font>
      <b/>
      <sz val="10"/>
      <color indexed="14"/>
      <name val="Geneva"/>
      <family val="0"/>
    </font>
    <font>
      <b/>
      <sz val="11"/>
      <color indexed="16"/>
      <name val="Geneva"/>
      <family val="0"/>
    </font>
    <font>
      <sz val="11"/>
      <color indexed="47"/>
      <name val="Geneva"/>
      <family val="0"/>
    </font>
    <font>
      <b/>
      <sz val="10"/>
      <color indexed="48"/>
      <name val="Geneva"/>
      <family val="0"/>
    </font>
    <font>
      <b/>
      <sz val="10"/>
      <color indexed="20"/>
      <name val="Geneva"/>
      <family val="0"/>
    </font>
    <font>
      <b/>
      <sz val="12"/>
      <color indexed="13"/>
      <name val="Geneva"/>
      <family val="0"/>
    </font>
    <font>
      <u val="single"/>
      <sz val="10"/>
      <color indexed="12"/>
      <name val="Geneva"/>
      <family val="0"/>
    </font>
    <font>
      <u val="single"/>
      <sz val="10"/>
      <color indexed="36"/>
      <name val="Geneva"/>
      <family val="0"/>
    </font>
    <font>
      <sz val="12"/>
      <color indexed="10"/>
      <name val="Geneva"/>
      <family val="0"/>
    </font>
    <font>
      <sz val="10"/>
      <color indexed="13"/>
      <name val="Geneva"/>
      <family val="0"/>
    </font>
    <font>
      <b/>
      <sz val="10"/>
      <color indexed="46"/>
      <name val="Geneva"/>
      <family val="0"/>
    </font>
    <font>
      <sz val="10"/>
      <color indexed="46"/>
      <name val="Geneva"/>
      <family val="0"/>
    </font>
    <font>
      <sz val="11"/>
      <color indexed="16"/>
      <name val="Geneva"/>
      <family val="0"/>
    </font>
    <font>
      <sz val="9"/>
      <color indexed="16"/>
      <name val="Geneva"/>
      <family val="0"/>
    </font>
    <font>
      <b/>
      <sz val="10"/>
      <color indexed="12"/>
      <name val="Geneva"/>
      <family val="0"/>
    </font>
    <font>
      <sz val="10"/>
      <color indexed="16"/>
      <name val="Geneva"/>
      <family val="0"/>
    </font>
    <font>
      <b/>
      <sz val="12"/>
      <color indexed="16"/>
      <name val="Geneva"/>
      <family val="0"/>
    </font>
    <font>
      <b/>
      <sz val="10"/>
      <color indexed="16"/>
      <name val="Geneva"/>
      <family val="0"/>
    </font>
    <font>
      <b/>
      <sz val="18"/>
      <color indexed="10"/>
      <name val="Geneva"/>
      <family val="0"/>
    </font>
    <font>
      <b/>
      <sz val="12"/>
      <color indexed="15"/>
      <name val="Geneva"/>
      <family val="0"/>
    </font>
    <font>
      <b/>
      <sz val="12"/>
      <color indexed="9"/>
      <name val="Arial Rounded MT Bold"/>
      <family val="0"/>
    </font>
    <font>
      <sz val="10"/>
      <name val="Century Gothic"/>
      <family val="0"/>
    </font>
    <font>
      <b/>
      <sz val="10"/>
      <color indexed="34"/>
      <name val="Geneva"/>
      <family val="0"/>
    </font>
    <font>
      <b/>
      <sz val="9"/>
      <color indexed="9"/>
      <name val="Geneva"/>
      <family val="0"/>
    </font>
    <font>
      <b/>
      <sz val="12"/>
      <color indexed="10"/>
      <name val="Bookman Old Style Bold"/>
      <family val="0"/>
    </font>
    <font>
      <b/>
      <sz val="12"/>
      <name val="Bookman Old Style Bold"/>
      <family val="0"/>
    </font>
    <font>
      <b/>
      <sz val="12"/>
      <color indexed="10"/>
      <name val="Arial Rounded MT Bold"/>
      <family val="0"/>
    </font>
    <font>
      <b/>
      <sz val="12"/>
      <color indexed="48"/>
      <name val="Geneva"/>
      <family val="0"/>
    </font>
    <font>
      <sz val="8"/>
      <name val="Tahoma"/>
      <family val="2"/>
    </font>
    <font>
      <b/>
      <sz val="9"/>
      <name val="Geneva"/>
      <family val="0"/>
    </font>
    <font>
      <b/>
      <sz val="8"/>
      <name val="Geneva"/>
      <family val="0"/>
    </font>
    <font>
      <b/>
      <sz val="9"/>
      <color indexed="12"/>
      <name val="Geneva"/>
      <family val="0"/>
    </font>
    <font>
      <sz val="10"/>
      <color indexed="9"/>
      <name val="Arial"/>
      <family val="2"/>
    </font>
  </fonts>
  <fills count="19">
    <fill>
      <patternFill/>
    </fill>
    <fill>
      <patternFill patternType="gray125"/>
    </fill>
    <fill>
      <patternFill patternType="solid">
        <fgColor indexed="26"/>
        <bgColor indexed="64"/>
      </patternFill>
    </fill>
    <fill>
      <patternFill patternType="solid">
        <fgColor indexed="34"/>
        <bgColor indexed="64"/>
      </patternFill>
    </fill>
    <fill>
      <patternFill patternType="solid">
        <fgColor indexed="48"/>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29"/>
        <bgColor indexed="64"/>
      </patternFill>
    </fill>
    <fill>
      <patternFill patternType="solid">
        <fgColor indexed="13"/>
        <bgColor indexed="64"/>
      </patternFill>
    </fill>
    <fill>
      <patternFill patternType="solid">
        <fgColor indexed="15"/>
        <bgColor indexed="64"/>
      </patternFill>
    </fill>
    <fill>
      <patternFill patternType="solid">
        <fgColor indexed="40"/>
        <bgColor indexed="64"/>
      </patternFill>
    </fill>
    <fill>
      <patternFill patternType="solid">
        <fgColor indexed="42"/>
        <bgColor indexed="64"/>
      </patternFill>
    </fill>
    <fill>
      <patternFill patternType="solid">
        <fgColor indexed="16"/>
        <bgColor indexed="64"/>
      </patternFill>
    </fill>
    <fill>
      <patternFill patternType="solid">
        <fgColor indexed="56"/>
        <bgColor indexed="64"/>
      </patternFill>
    </fill>
    <fill>
      <patternFill patternType="solid">
        <fgColor indexed="12"/>
        <bgColor indexed="64"/>
      </patternFill>
    </fill>
  </fills>
  <borders count="4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style="medium"/>
      <bottom style="medium"/>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color indexed="63"/>
      </top>
      <bottom style="thin"/>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
      <left style="medium"/>
      <right style="medium"/>
      <top style="thin"/>
      <bottom>
        <color indexed="63"/>
      </bottom>
    </border>
    <border>
      <left style="medium"/>
      <right style="thin"/>
      <top>
        <color indexed="63"/>
      </top>
      <bottom>
        <color indexed="63"/>
      </bottom>
    </border>
    <border>
      <left style="thin"/>
      <right style="medium"/>
      <top>
        <color indexed="63"/>
      </top>
      <bottom style="thin"/>
    </border>
    <border>
      <left style="medium"/>
      <right style="thin"/>
      <top style="medium"/>
      <bottom>
        <color indexed="63"/>
      </bottom>
    </border>
    <border>
      <left style="thin"/>
      <right style="medium"/>
      <top>
        <color indexed="63"/>
      </top>
      <bottom>
        <color indexed="63"/>
      </bottom>
    </border>
    <border>
      <left style="hair"/>
      <right style="hair"/>
      <top>
        <color indexed="63"/>
      </top>
      <bottom style="hair"/>
    </border>
    <border>
      <left>
        <color indexed="63"/>
      </left>
      <right style="thin"/>
      <top style="thin"/>
      <bottom style="medium"/>
    </border>
    <border>
      <left>
        <color indexed="63"/>
      </left>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9" fontId="0" fillId="0" borderId="0" applyFont="0" applyFill="0" applyBorder="0" applyAlignment="0" applyProtection="0"/>
  </cellStyleXfs>
  <cellXfs count="77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 fillId="0" borderId="4" xfId="0" applyFont="1" applyBorder="1" applyAlignment="1">
      <alignment/>
    </xf>
    <xf numFmtId="0" fontId="5" fillId="0" borderId="0" xfId="0" applyFont="1" applyAlignment="1">
      <alignment/>
    </xf>
    <xf numFmtId="0" fontId="6" fillId="0" borderId="0" xfId="0" applyFont="1" applyAlignment="1">
      <alignment/>
    </xf>
    <xf numFmtId="0" fontId="6" fillId="0" borderId="4" xfId="0" applyFont="1" applyBorder="1" applyAlignment="1">
      <alignment/>
    </xf>
    <xf numFmtId="0" fontId="5" fillId="0" borderId="4" xfId="0" applyFont="1" applyBorder="1" applyAlignment="1">
      <alignment/>
    </xf>
    <xf numFmtId="0" fontId="0" fillId="0" borderId="0" xfId="0" applyBorder="1" applyAlignment="1">
      <alignment horizontal="centerContinuous"/>
    </xf>
    <xf numFmtId="0" fontId="5" fillId="0" borderId="0" xfId="0" applyFont="1" applyBorder="1" applyAlignment="1">
      <alignment/>
    </xf>
    <xf numFmtId="0" fontId="0" fillId="0" borderId="0" xfId="0" applyBorder="1" applyAlignment="1">
      <alignment horizontal="center"/>
    </xf>
    <xf numFmtId="0" fontId="8" fillId="0" borderId="0" xfId="0" applyFont="1" applyBorder="1" applyAlignment="1">
      <alignment/>
    </xf>
    <xf numFmtId="0" fontId="1" fillId="0" borderId="0" xfId="0" applyFont="1" applyBorder="1" applyAlignment="1">
      <alignment horizontal="centerContinuous"/>
    </xf>
    <xf numFmtId="0" fontId="1" fillId="0" borderId="0" xfId="0" applyFont="1" applyBorder="1" applyAlignment="1" quotePrefix="1">
      <alignment/>
    </xf>
    <xf numFmtId="0" fontId="6" fillId="0" borderId="1" xfId="0" applyFont="1" applyBorder="1" applyAlignment="1">
      <alignment/>
    </xf>
    <xf numFmtId="0" fontId="1" fillId="0" borderId="0" xfId="0" applyFont="1" applyBorder="1" applyAlignment="1">
      <alignment/>
    </xf>
    <xf numFmtId="0" fontId="6" fillId="0" borderId="2" xfId="0" applyFont="1" applyBorder="1" applyAlignment="1">
      <alignment/>
    </xf>
    <xf numFmtId="2" fontId="0" fillId="2" borderId="9" xfId="0" applyNumberFormat="1" applyFill="1" applyBorder="1" applyAlignment="1">
      <alignment/>
    </xf>
    <xf numFmtId="0" fontId="12" fillId="0" borderId="0" xfId="0" applyFont="1" applyAlignment="1">
      <alignment/>
    </xf>
    <xf numFmtId="0" fontId="0" fillId="0" borderId="0" xfId="0" applyBorder="1" applyAlignment="1">
      <alignment horizontal="right"/>
    </xf>
    <xf numFmtId="0" fontId="13" fillId="0" borderId="1" xfId="0" applyFont="1" applyBorder="1" applyAlignment="1">
      <alignment/>
    </xf>
    <xf numFmtId="0" fontId="14" fillId="0" borderId="2" xfId="0" applyFont="1" applyBorder="1" applyAlignment="1">
      <alignment/>
    </xf>
    <xf numFmtId="0" fontId="14" fillId="0" borderId="3" xfId="0" applyFont="1" applyBorder="1" applyAlignment="1">
      <alignment/>
    </xf>
    <xf numFmtId="0" fontId="14" fillId="0" borderId="0" xfId="0" applyFont="1" applyAlignment="1">
      <alignment/>
    </xf>
    <xf numFmtId="0" fontId="14" fillId="0" borderId="4" xfId="0" applyFont="1" applyBorder="1" applyAlignment="1">
      <alignment/>
    </xf>
    <xf numFmtId="0" fontId="14" fillId="0" borderId="0" xfId="0" applyFont="1" applyBorder="1" applyAlignment="1">
      <alignment/>
    </xf>
    <xf numFmtId="0" fontId="14" fillId="0" borderId="5" xfId="0" applyFont="1" applyBorder="1" applyAlignment="1">
      <alignment/>
    </xf>
    <xf numFmtId="0" fontId="14" fillId="0" borderId="0" xfId="0" applyFont="1" applyFill="1" applyBorder="1" applyAlignment="1">
      <alignment/>
    </xf>
    <xf numFmtId="0" fontId="13" fillId="0" borderId="6" xfId="0" applyFont="1" applyBorder="1" applyAlignment="1">
      <alignment/>
    </xf>
    <xf numFmtId="0" fontId="14" fillId="0" borderId="7" xfId="0" applyFont="1" applyBorder="1" applyAlignment="1">
      <alignment/>
    </xf>
    <xf numFmtId="0" fontId="14" fillId="0" borderId="8" xfId="0" applyFont="1" applyBorder="1" applyAlignment="1">
      <alignment/>
    </xf>
    <xf numFmtId="0" fontId="10" fillId="3" borderId="10" xfId="0" applyFont="1" applyFill="1" applyBorder="1" applyAlignment="1">
      <alignment horizontal="centerContinuous"/>
    </xf>
    <xf numFmtId="0" fontId="10" fillId="3" borderId="11" xfId="0" applyFont="1" applyFill="1" applyBorder="1" applyAlignment="1">
      <alignment horizontal="centerContinuous"/>
    </xf>
    <xf numFmtId="0" fontId="17" fillId="4" borderId="0" xfId="0" applyFont="1" applyFill="1" applyAlignment="1">
      <alignment horizontal="centerContinuous"/>
    </xf>
    <xf numFmtId="0" fontId="0" fillId="0" borderId="0" xfId="0" applyBorder="1" applyAlignment="1" quotePrefix="1">
      <alignment/>
    </xf>
    <xf numFmtId="0" fontId="19" fillId="0" borderId="0" xfId="0" applyFont="1" applyBorder="1" applyAlignment="1">
      <alignment/>
    </xf>
    <xf numFmtId="0" fontId="20" fillId="0" borderId="4" xfId="0" applyFont="1" applyBorder="1" applyAlignment="1">
      <alignment/>
    </xf>
    <xf numFmtId="0" fontId="0" fillId="0" borderId="0" xfId="0" applyFont="1" applyAlignment="1">
      <alignment/>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1" fillId="0" borderId="1" xfId="0" applyFont="1" applyBorder="1" applyAlignment="1">
      <alignment/>
    </xf>
    <xf numFmtId="0" fontId="0" fillId="0" borderId="0" xfId="0" applyFill="1" applyBorder="1" applyAlignment="1">
      <alignment/>
    </xf>
    <xf numFmtId="2" fontId="4" fillId="5" borderId="9" xfId="0" applyNumberFormat="1" applyFont="1" applyFill="1" applyBorder="1" applyAlignment="1">
      <alignment/>
    </xf>
    <xf numFmtId="164" fontId="4" fillId="5" borderId="9" xfId="0" applyNumberFormat="1" applyFont="1" applyFill="1" applyBorder="1" applyAlignment="1">
      <alignment/>
    </xf>
    <xf numFmtId="164" fontId="15" fillId="5" borderId="9" xfId="0" applyNumberFormat="1" applyFont="1" applyFill="1" applyBorder="1" applyAlignment="1">
      <alignment horizontal="center"/>
    </xf>
    <xf numFmtId="0" fontId="0" fillId="0" borderId="7" xfId="0" applyBorder="1" applyAlignment="1">
      <alignment horizontal="right"/>
    </xf>
    <xf numFmtId="0" fontId="0" fillId="0" borderId="7" xfId="0" applyBorder="1" applyAlignment="1">
      <alignment horizontal="centerContinuous"/>
    </xf>
    <xf numFmtId="0" fontId="0" fillId="0" borderId="7" xfId="0" applyFill="1" applyBorder="1" applyAlignment="1">
      <alignment/>
    </xf>
    <xf numFmtId="164" fontId="21" fillId="6" borderId="9" xfId="0" applyNumberFormat="1" applyFont="1" applyFill="1" applyBorder="1" applyAlignment="1">
      <alignment/>
    </xf>
    <xf numFmtId="0" fontId="22" fillId="0" borderId="0" xfId="0" applyFont="1" applyAlignment="1">
      <alignment/>
    </xf>
    <xf numFmtId="0" fontId="0" fillId="0" borderId="0" xfId="0" applyBorder="1" applyAlignment="1">
      <alignment vertical="top"/>
    </xf>
    <xf numFmtId="0" fontId="18" fillId="4" borderId="0" xfId="0" applyFont="1" applyFill="1" applyAlignment="1">
      <alignment horizontal="centerContinuous"/>
    </xf>
    <xf numFmtId="0" fontId="0" fillId="0" borderId="0" xfId="0" applyAlignment="1">
      <alignment horizontal="centerContinuous"/>
    </xf>
    <xf numFmtId="0" fontId="1" fillId="0" borderId="4" xfId="0" applyFont="1" applyBorder="1" applyAlignment="1">
      <alignment horizontal="right"/>
    </xf>
    <xf numFmtId="0" fontId="0" fillId="0" borderId="9" xfId="0" applyBorder="1" applyAlignment="1">
      <alignment horizontal="center"/>
    </xf>
    <xf numFmtId="0" fontId="0" fillId="0" borderId="9" xfId="0" applyFill="1" applyBorder="1" applyAlignment="1">
      <alignment horizontal="center"/>
    </xf>
    <xf numFmtId="0" fontId="0" fillId="0" borderId="9" xfId="0" applyFont="1" applyBorder="1" applyAlignment="1">
      <alignment horizontal="center"/>
    </xf>
    <xf numFmtId="0" fontId="0" fillId="3" borderId="9" xfId="0" applyFill="1" applyBorder="1" applyAlignment="1">
      <alignment/>
    </xf>
    <xf numFmtId="0" fontId="0" fillId="0" borderId="4" xfId="0" applyFont="1" applyBorder="1" applyAlignment="1">
      <alignment horizontal="right"/>
    </xf>
    <xf numFmtId="0" fontId="0" fillId="0" borderId="0" xfId="0" applyFont="1" applyBorder="1" applyAlignment="1">
      <alignment horizontal="right"/>
    </xf>
    <xf numFmtId="0" fontId="0" fillId="3" borderId="9" xfId="0" applyFont="1" applyFill="1" applyBorder="1" applyAlignment="1">
      <alignment/>
    </xf>
    <xf numFmtId="0" fontId="0" fillId="3" borderId="9" xfId="0" applyFill="1" applyBorder="1" applyAlignment="1">
      <alignment horizontal="right"/>
    </xf>
    <xf numFmtId="164" fontId="0" fillId="3" borderId="9" xfId="0" applyNumberFormat="1" applyFont="1" applyFill="1" applyBorder="1" applyAlignment="1">
      <alignment/>
    </xf>
    <xf numFmtId="0" fontId="13" fillId="0" borderId="0" xfId="0" applyFont="1" applyBorder="1" applyAlignment="1">
      <alignment/>
    </xf>
    <xf numFmtId="164" fontId="15" fillId="0" borderId="0" xfId="0" applyNumberFormat="1" applyFont="1" applyFill="1" applyBorder="1" applyAlignment="1">
      <alignment horizontal="center"/>
    </xf>
    <xf numFmtId="164" fontId="15" fillId="0" borderId="7" xfId="0" applyNumberFormat="1" applyFont="1" applyFill="1" applyBorder="1" applyAlignment="1">
      <alignment horizontal="center"/>
    </xf>
    <xf numFmtId="0" fontId="24" fillId="0" borderId="0" xfId="0" applyFont="1" applyFill="1" applyBorder="1" applyAlignment="1">
      <alignment/>
    </xf>
    <xf numFmtId="164" fontId="0" fillId="2" borderId="9" xfId="0" applyNumberFormat="1" applyFill="1" applyBorder="1" applyAlignment="1">
      <alignment/>
    </xf>
    <xf numFmtId="164" fontId="0" fillId="0" borderId="0" xfId="0" applyNumberFormat="1" applyFill="1" applyBorder="1" applyAlignment="1">
      <alignment/>
    </xf>
    <xf numFmtId="0" fontId="21" fillId="6" borderId="12" xfId="0" applyFont="1" applyFill="1" applyBorder="1" applyAlignment="1">
      <alignment horizontal="center"/>
    </xf>
    <xf numFmtId="0" fontId="21" fillId="6" borderId="9" xfId="0" applyFont="1" applyFill="1" applyBorder="1" applyAlignment="1" quotePrefix="1">
      <alignment horizontal="center"/>
    </xf>
    <xf numFmtId="0" fontId="21" fillId="6" borderId="9" xfId="0" applyFont="1" applyFill="1" applyBorder="1" applyAlignment="1">
      <alignment horizontal="center"/>
    </xf>
    <xf numFmtId="0" fontId="11" fillId="3" borderId="13" xfId="0" applyFont="1" applyFill="1" applyBorder="1" applyAlignment="1">
      <alignment horizontal="centerContinuous"/>
    </xf>
    <xf numFmtId="0" fontId="5" fillId="0" borderId="1" xfId="0" applyFont="1" applyBorder="1" applyAlignment="1">
      <alignment/>
    </xf>
    <xf numFmtId="0" fontId="0" fillId="0" borderId="0" xfId="0" applyFont="1" applyBorder="1" applyAlignment="1">
      <alignment horizontal="left"/>
    </xf>
    <xf numFmtId="0" fontId="26" fillId="6" borderId="13" xfId="0" applyFont="1" applyFill="1" applyBorder="1" applyAlignment="1">
      <alignment horizontal="centerContinuous"/>
    </xf>
    <xf numFmtId="0" fontId="26" fillId="6" borderId="11" xfId="0" applyFont="1" applyFill="1" applyBorder="1" applyAlignment="1">
      <alignment horizontal="centerContinuous"/>
    </xf>
    <xf numFmtId="0" fontId="10" fillId="3" borderId="12" xfId="0" applyFont="1" applyFill="1" applyBorder="1" applyAlignment="1">
      <alignment horizontal="centerContinuous"/>
    </xf>
    <xf numFmtId="0" fontId="10" fillId="3" borderId="14" xfId="0" applyFont="1" applyFill="1" applyBorder="1" applyAlignment="1">
      <alignment horizontal="centerContinuous"/>
    </xf>
    <xf numFmtId="164" fontId="0" fillId="5" borderId="9" xfId="0" applyNumberFormat="1" applyFill="1" applyBorder="1" applyAlignment="1">
      <alignment/>
    </xf>
    <xf numFmtId="164" fontId="0" fillId="5" borderId="9" xfId="0" applyNumberFormat="1" applyFill="1" applyBorder="1" applyAlignment="1">
      <alignment horizontal="center"/>
    </xf>
    <xf numFmtId="164" fontId="0" fillId="7" borderId="9" xfId="0" applyNumberFormat="1" applyFill="1" applyBorder="1" applyAlignment="1">
      <alignment horizontal="center"/>
    </xf>
    <xf numFmtId="164" fontId="0" fillId="5" borderId="9" xfId="0" applyNumberFormat="1" applyFill="1" applyBorder="1" applyAlignment="1">
      <alignment horizontal="right"/>
    </xf>
    <xf numFmtId="0" fontId="4" fillId="5" borderId="9" xfId="0" applyFont="1" applyFill="1" applyBorder="1" applyAlignment="1">
      <alignment horizontal="center"/>
    </xf>
    <xf numFmtId="2" fontId="0" fillId="5" borderId="9" xfId="0" applyNumberFormat="1" applyFill="1" applyBorder="1" applyAlignment="1">
      <alignment/>
    </xf>
    <xf numFmtId="2" fontId="4" fillId="5" borderId="9" xfId="0" applyNumberFormat="1" applyFont="1" applyFill="1" applyBorder="1" applyAlignment="1">
      <alignment horizontal="center"/>
    </xf>
    <xf numFmtId="0" fontId="0" fillId="2" borderId="9" xfId="0" applyFill="1" applyBorder="1" applyAlignment="1">
      <alignment horizontal="center"/>
    </xf>
    <xf numFmtId="0" fontId="0" fillId="0" borderId="0" xfId="0" applyFill="1" applyBorder="1" applyAlignment="1">
      <alignment horizontal="center"/>
    </xf>
    <xf numFmtId="0" fontId="21" fillId="6" borderId="15" xfId="0" applyFont="1" applyFill="1" applyBorder="1" applyAlignment="1">
      <alignment horizontal="center"/>
    </xf>
    <xf numFmtId="0" fontId="4" fillId="5" borderId="15" xfId="0" applyFont="1" applyFill="1" applyBorder="1" applyAlignment="1">
      <alignment horizontal="center"/>
    </xf>
    <xf numFmtId="0" fontId="4" fillId="0" borderId="0" xfId="0" applyFont="1" applyFill="1" applyBorder="1" applyAlignment="1">
      <alignment horizontal="center"/>
    </xf>
    <xf numFmtId="0" fontId="4" fillId="3" borderId="15" xfId="0" applyFont="1" applyFill="1" applyBorder="1" applyAlignment="1">
      <alignment horizontal="center"/>
    </xf>
    <xf numFmtId="0" fontId="27" fillId="8" borderId="15" xfId="0" applyFont="1" applyFill="1" applyBorder="1" applyAlignment="1">
      <alignment horizontal="center"/>
    </xf>
    <xf numFmtId="0" fontId="9" fillId="9" borderId="9" xfId="0" applyFont="1" applyFill="1" applyBorder="1" applyAlignment="1">
      <alignment horizontal="center"/>
    </xf>
    <xf numFmtId="0" fontId="9" fillId="9" borderId="9" xfId="0" applyFont="1" applyFill="1" applyBorder="1" applyAlignment="1">
      <alignment/>
    </xf>
    <xf numFmtId="0" fontId="9" fillId="9" borderId="9" xfId="0" applyFont="1" applyFill="1" applyBorder="1" applyAlignment="1">
      <alignment/>
    </xf>
    <xf numFmtId="164" fontId="4" fillId="2" borderId="9" xfId="0" applyNumberFormat="1" applyFont="1" applyFill="1" applyBorder="1" applyAlignment="1">
      <alignment/>
    </xf>
    <xf numFmtId="0" fontId="28" fillId="0" borderId="0" xfId="0" applyFont="1" applyBorder="1" applyAlignment="1">
      <alignment/>
    </xf>
    <xf numFmtId="0" fontId="29" fillId="0" borderId="0" xfId="0" applyFont="1" applyBorder="1" applyAlignment="1">
      <alignment/>
    </xf>
    <xf numFmtId="0" fontId="30" fillId="0" borderId="0" xfId="0" applyFont="1" applyBorder="1" applyAlignment="1">
      <alignment/>
    </xf>
    <xf numFmtId="0" fontId="31" fillId="0" borderId="0" xfId="0" applyFont="1" applyFill="1" applyBorder="1" applyAlignment="1">
      <alignment/>
    </xf>
    <xf numFmtId="0" fontId="32" fillId="0" borderId="0" xfId="0" applyFont="1" applyBorder="1" applyAlignment="1">
      <alignment/>
    </xf>
    <xf numFmtId="0" fontId="0" fillId="0" borderId="0" xfId="0" applyFill="1" applyBorder="1" applyAlignment="1">
      <alignment horizontal="right"/>
    </xf>
    <xf numFmtId="0" fontId="0" fillId="7" borderId="9" xfId="0" applyFill="1" applyBorder="1" applyAlignment="1">
      <alignment/>
    </xf>
    <xf numFmtId="0" fontId="10" fillId="3" borderId="16" xfId="0" applyFont="1" applyFill="1" applyBorder="1" applyAlignment="1">
      <alignment horizontal="centerContinuous"/>
    </xf>
    <xf numFmtId="0" fontId="26" fillId="6" borderId="10" xfId="0" applyFont="1" applyFill="1" applyBorder="1" applyAlignment="1">
      <alignment horizontal="centerContinuous"/>
    </xf>
    <xf numFmtId="0" fontId="10" fillId="3" borderId="9" xfId="0" applyFont="1" applyFill="1" applyBorder="1" applyAlignment="1">
      <alignment horizontal="centerContinuous"/>
    </xf>
    <xf numFmtId="0" fontId="0" fillId="6" borderId="10" xfId="0" applyFill="1" applyBorder="1" applyAlignment="1">
      <alignment horizontal="centerContinuous"/>
    </xf>
    <xf numFmtId="0" fontId="0" fillId="6" borderId="11" xfId="0" applyFill="1" applyBorder="1" applyAlignment="1">
      <alignment horizontal="centerContinuous"/>
    </xf>
    <xf numFmtId="0" fontId="0" fillId="3" borderId="16" xfId="0" applyFill="1" applyBorder="1" applyAlignment="1">
      <alignment horizontal="centerContinuous"/>
    </xf>
    <xf numFmtId="0" fontId="0" fillId="3" borderId="14" xfId="0" applyFill="1" applyBorder="1" applyAlignment="1">
      <alignment horizontal="centerContinuous"/>
    </xf>
    <xf numFmtId="166" fontId="0" fillId="7" borderId="9" xfId="0" applyNumberFormat="1" applyFill="1" applyBorder="1" applyAlignment="1">
      <alignment/>
    </xf>
    <xf numFmtId="166" fontId="0" fillId="0" borderId="0" xfId="0" applyNumberFormat="1" applyFill="1" applyBorder="1" applyAlignment="1">
      <alignment/>
    </xf>
    <xf numFmtId="0" fontId="1" fillId="0" borderId="0" xfId="0" applyFont="1" applyAlignment="1">
      <alignment/>
    </xf>
    <xf numFmtId="0" fontId="34" fillId="0" borderId="0" xfId="0" applyFont="1" applyBorder="1" applyAlignment="1">
      <alignment/>
    </xf>
    <xf numFmtId="0" fontId="33" fillId="0" borderId="0" xfId="0" applyFont="1" applyBorder="1" applyAlignment="1">
      <alignment/>
    </xf>
    <xf numFmtId="0" fontId="6" fillId="0" borderId="6" xfId="0" applyFont="1" applyBorder="1" applyAlignment="1">
      <alignment/>
    </xf>
    <xf numFmtId="0" fontId="4" fillId="7" borderId="9" xfId="0" applyFont="1" applyFill="1" applyBorder="1" applyAlignment="1">
      <alignment/>
    </xf>
    <xf numFmtId="0" fontId="0" fillId="5" borderId="9" xfId="0" applyFill="1" applyBorder="1" applyAlignment="1">
      <alignment horizontal="centerContinuous"/>
    </xf>
    <xf numFmtId="0" fontId="21" fillId="6" borderId="9" xfId="0" applyFont="1" applyFill="1" applyBorder="1" applyAlignment="1">
      <alignment/>
    </xf>
    <xf numFmtId="0" fontId="10" fillId="0" borderId="0" xfId="0" applyFont="1" applyBorder="1" applyAlignment="1">
      <alignment/>
    </xf>
    <xf numFmtId="0" fontId="1" fillId="0" borderId="0" xfId="0" applyFont="1" applyBorder="1" applyAlignment="1">
      <alignment horizontal="center"/>
    </xf>
    <xf numFmtId="0" fontId="35" fillId="0" borderId="4" xfId="0" applyFont="1" applyBorder="1" applyAlignment="1">
      <alignment/>
    </xf>
    <xf numFmtId="0" fontId="35" fillId="0" borderId="0" xfId="0" applyFont="1" applyBorder="1" applyAlignment="1">
      <alignment/>
    </xf>
    <xf numFmtId="0" fontId="10" fillId="0" borderId="0" xfId="0" applyFont="1" applyBorder="1" applyAlignment="1">
      <alignment horizontal="center"/>
    </xf>
    <xf numFmtId="0" fontId="35" fillId="0" borderId="0" xfId="0" applyFont="1" applyBorder="1" applyAlignment="1">
      <alignment horizontal="centerContinuous"/>
    </xf>
    <xf numFmtId="0" fontId="36" fillId="0" borderId="0" xfId="0" applyFont="1" applyBorder="1" applyAlignment="1">
      <alignment/>
    </xf>
    <xf numFmtId="0" fontId="37" fillId="0" borderId="0"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xf>
    <xf numFmtId="0" fontId="0" fillId="7" borderId="9" xfId="0" applyFont="1" applyFill="1" applyBorder="1" applyAlignment="1">
      <alignment/>
    </xf>
    <xf numFmtId="164" fontId="0" fillId="0" borderId="0" xfId="0" applyNumberFormat="1" applyFont="1" applyFill="1" applyBorder="1" applyAlignment="1">
      <alignment/>
    </xf>
    <xf numFmtId="0" fontId="10" fillId="0" borderId="0" xfId="0" applyFont="1" applyFill="1" applyBorder="1" applyAlignment="1">
      <alignment horizontal="centerContinuous"/>
    </xf>
    <xf numFmtId="0" fontId="26" fillId="0" borderId="0" xfId="0" applyFont="1" applyFill="1" applyBorder="1" applyAlignment="1">
      <alignment horizontal="centerContinuous"/>
    </xf>
    <xf numFmtId="0" fontId="0" fillId="0" borderId="0" xfId="0" applyFont="1" applyFill="1" applyBorder="1" applyAlignment="1">
      <alignment horizontal="center"/>
    </xf>
    <xf numFmtId="0" fontId="0" fillId="0" borderId="0" xfId="0" applyFont="1" applyFill="1" applyBorder="1" applyAlignment="1">
      <alignment/>
    </xf>
    <xf numFmtId="0" fontId="1" fillId="0" borderId="0" xfId="0" applyFont="1" applyBorder="1" applyAlignment="1">
      <alignment horizontal="right"/>
    </xf>
    <xf numFmtId="0" fontId="0" fillId="0" borderId="0" xfId="0" applyBorder="1" applyAlignment="1">
      <alignment horizontal="left"/>
    </xf>
    <xf numFmtId="0" fontId="0" fillId="0" borderId="2" xfId="0" applyFont="1" applyBorder="1" applyAlignment="1">
      <alignment/>
    </xf>
    <xf numFmtId="0" fontId="0" fillId="0" borderId="2" xfId="0" applyBorder="1" applyAlignment="1">
      <alignment horizontal="right"/>
    </xf>
    <xf numFmtId="0" fontId="0" fillId="0" borderId="2" xfId="0" applyFill="1" applyBorder="1" applyAlignment="1">
      <alignment/>
    </xf>
    <xf numFmtId="166" fontId="0" fillId="5" borderId="9" xfId="0" applyNumberFormat="1" applyFill="1" applyBorder="1" applyAlignment="1">
      <alignment/>
    </xf>
    <xf numFmtId="2" fontId="0" fillId="0" borderId="0" xfId="0" applyNumberFormat="1" applyBorder="1" applyAlignment="1">
      <alignment/>
    </xf>
    <xf numFmtId="0" fontId="4" fillId="0" borderId="0" xfId="0" applyFont="1" applyFill="1" applyBorder="1" applyAlignment="1">
      <alignment/>
    </xf>
    <xf numFmtId="165" fontId="0" fillId="0" borderId="0" xfId="0" applyNumberFormat="1" applyBorder="1" applyAlignment="1">
      <alignment/>
    </xf>
    <xf numFmtId="165" fontId="4" fillId="0" borderId="0" xfId="0" applyNumberFormat="1" applyFont="1" applyFill="1" applyBorder="1" applyAlignment="1">
      <alignment/>
    </xf>
    <xf numFmtId="166" fontId="0" fillId="7" borderId="9" xfId="0" applyNumberFormat="1" applyFill="1" applyBorder="1" applyAlignment="1">
      <alignment horizontal="center"/>
    </xf>
    <xf numFmtId="0" fontId="0" fillId="0" borderId="0" xfId="0" applyFont="1" applyBorder="1" applyAlignment="1" quotePrefix="1">
      <alignment/>
    </xf>
    <xf numFmtId="164" fontId="0" fillId="0" borderId="0" xfId="0" applyNumberFormat="1" applyFill="1" applyBorder="1" applyAlignment="1">
      <alignment horizontal="right"/>
    </xf>
    <xf numFmtId="164" fontId="0" fillId="3" borderId="9" xfId="0" applyNumberFormat="1" applyFill="1" applyBorder="1" applyAlignment="1">
      <alignment horizontal="right"/>
    </xf>
    <xf numFmtId="166" fontId="0" fillId="10" borderId="9" xfId="0" applyNumberFormat="1" applyFill="1" applyBorder="1" applyAlignment="1">
      <alignment/>
    </xf>
    <xf numFmtId="164" fontId="9" fillId="10" borderId="9" xfId="0" applyNumberFormat="1" applyFont="1" applyFill="1" applyBorder="1" applyAlignment="1">
      <alignment horizontal="center"/>
    </xf>
    <xf numFmtId="0" fontId="5" fillId="0" borderId="7" xfId="0" applyFont="1" applyBorder="1" applyAlignment="1">
      <alignment/>
    </xf>
    <xf numFmtId="0" fontId="0" fillId="0" borderId="7" xfId="0" applyFill="1" applyBorder="1" applyAlignment="1">
      <alignment horizontal="right"/>
    </xf>
    <xf numFmtId="164" fontId="0" fillId="0" borderId="7" xfId="0" applyNumberFormat="1" applyFont="1" applyFill="1" applyBorder="1" applyAlignment="1">
      <alignment/>
    </xf>
    <xf numFmtId="164" fontId="21" fillId="6" borderId="9" xfId="0" applyNumberFormat="1" applyFont="1" applyFill="1" applyBorder="1" applyAlignment="1">
      <alignment horizontal="center"/>
    </xf>
    <xf numFmtId="166" fontId="4" fillId="5" borderId="9" xfId="0" applyNumberFormat="1" applyFont="1" applyFill="1" applyBorder="1" applyAlignment="1">
      <alignment horizontal="center"/>
    </xf>
    <xf numFmtId="4" fontId="4" fillId="7" borderId="15" xfId="0" applyNumberFormat="1" applyFont="1" applyFill="1" applyBorder="1" applyAlignment="1">
      <alignment/>
    </xf>
    <xf numFmtId="166" fontId="0" fillId="2" borderId="9" xfId="0" applyNumberFormat="1" applyFill="1" applyBorder="1" applyAlignment="1">
      <alignment/>
    </xf>
    <xf numFmtId="0" fontId="10" fillId="0" borderId="5" xfId="0" applyFont="1" applyBorder="1" applyAlignment="1">
      <alignment/>
    </xf>
    <xf numFmtId="165" fontId="0" fillId="0" borderId="0" xfId="0" applyNumberFormat="1" applyAlignment="1">
      <alignment/>
    </xf>
    <xf numFmtId="0" fontId="6" fillId="0" borderId="0" xfId="0" applyFont="1" applyBorder="1" applyAlignment="1">
      <alignment/>
    </xf>
    <xf numFmtId="0" fontId="21" fillId="6" borderId="12" xfId="0" applyFont="1" applyFill="1" applyBorder="1" applyAlignment="1" quotePrefix="1">
      <alignment horizontal="center"/>
    </xf>
    <xf numFmtId="4" fontId="0" fillId="0" borderId="0" xfId="0" applyNumberFormat="1" applyBorder="1" applyAlignment="1">
      <alignment/>
    </xf>
    <xf numFmtId="164" fontId="0" fillId="0" borderId="0" xfId="0" applyNumberFormat="1" applyBorder="1" applyAlignment="1">
      <alignment/>
    </xf>
    <xf numFmtId="0" fontId="4" fillId="3" borderId="9" xfId="0" applyFont="1" applyFill="1" applyBorder="1" applyAlignment="1">
      <alignment/>
    </xf>
    <xf numFmtId="2" fontId="0" fillId="0" borderId="0" xfId="0" applyNumberFormat="1" applyFill="1" applyBorder="1" applyAlignment="1">
      <alignment/>
    </xf>
    <xf numFmtId="166" fontId="0" fillId="5" borderId="9" xfId="0" applyNumberFormat="1" applyFont="1" applyFill="1" applyBorder="1" applyAlignment="1">
      <alignment/>
    </xf>
    <xf numFmtId="0" fontId="5" fillId="0" borderId="2" xfId="0" applyFont="1" applyBorder="1" applyAlignment="1">
      <alignment/>
    </xf>
    <xf numFmtId="0" fontId="0" fillId="0" borderId="2" xfId="0" applyFill="1" applyBorder="1" applyAlignment="1">
      <alignment horizontal="right"/>
    </xf>
    <xf numFmtId="164" fontId="0" fillId="0" borderId="2" xfId="0" applyNumberFormat="1" applyFont="1" applyFill="1" applyBorder="1" applyAlignment="1">
      <alignment/>
    </xf>
    <xf numFmtId="164" fontId="0" fillId="5" borderId="15" xfId="0" applyNumberFormat="1" applyFill="1" applyBorder="1" applyAlignment="1">
      <alignment/>
    </xf>
    <xf numFmtId="164" fontId="0" fillId="5" borderId="9" xfId="0" applyNumberFormat="1" applyFont="1" applyFill="1" applyBorder="1" applyAlignment="1">
      <alignment/>
    </xf>
    <xf numFmtId="164" fontId="0" fillId="5" borderId="9" xfId="0" applyNumberFormat="1" applyFill="1" applyBorder="1" applyAlignment="1">
      <alignment horizontal="centerContinuous"/>
    </xf>
    <xf numFmtId="166" fontId="0" fillId="3" borderId="9" xfId="0" applyNumberFormat="1" applyFill="1" applyBorder="1" applyAlignment="1">
      <alignment/>
    </xf>
    <xf numFmtId="0" fontId="7" fillId="0" borderId="0" xfId="0" applyFont="1" applyBorder="1" applyAlignment="1">
      <alignment/>
    </xf>
    <xf numFmtId="0" fontId="0" fillId="5" borderId="9" xfId="0" applyFill="1" applyBorder="1" applyAlignment="1">
      <alignment/>
    </xf>
    <xf numFmtId="4" fontId="0" fillId="5" borderId="9" xfId="0" applyNumberFormat="1" applyFill="1" applyBorder="1" applyAlignment="1">
      <alignment/>
    </xf>
    <xf numFmtId="2" fontId="0" fillId="3" borderId="9" xfId="0" applyNumberFormat="1" applyFill="1" applyBorder="1" applyAlignment="1">
      <alignment/>
    </xf>
    <xf numFmtId="0" fontId="1" fillId="0" borderId="0" xfId="0" applyFont="1" applyBorder="1" applyAlignment="1">
      <alignment horizontal="left"/>
    </xf>
    <xf numFmtId="0" fontId="10" fillId="0" borderId="0" xfId="0" applyFont="1" applyAlignment="1">
      <alignment/>
    </xf>
    <xf numFmtId="0" fontId="10" fillId="3" borderId="17" xfId="0" applyFont="1" applyFill="1" applyBorder="1" applyAlignment="1">
      <alignment horizontal="centerContinuous"/>
    </xf>
    <xf numFmtId="0" fontId="0" fillId="0" borderId="4" xfId="0" applyBorder="1" applyAlignment="1" quotePrefix="1">
      <alignment/>
    </xf>
    <xf numFmtId="0" fontId="20" fillId="0" borderId="0" xfId="0" applyFont="1" applyBorder="1" applyAlignment="1">
      <alignment/>
    </xf>
    <xf numFmtId="2" fontId="9" fillId="5" borderId="9" xfId="0" applyNumberFormat="1" applyFont="1" applyFill="1" applyBorder="1" applyAlignment="1">
      <alignment horizontal="center"/>
    </xf>
    <xf numFmtId="3" fontId="21" fillId="6" borderId="0" xfId="0" applyNumberFormat="1" applyFont="1" applyFill="1" applyBorder="1" applyAlignment="1">
      <alignment/>
    </xf>
    <xf numFmtId="2" fontId="0" fillId="0" borderId="0" xfId="0" applyNumberFormat="1" applyBorder="1" applyAlignment="1">
      <alignment horizontal="center"/>
    </xf>
    <xf numFmtId="0" fontId="10" fillId="0" borderId="7" xfId="0" applyFont="1" applyFill="1" applyBorder="1" applyAlignment="1">
      <alignment/>
    </xf>
    <xf numFmtId="0" fontId="10" fillId="3" borderId="13" xfId="0" applyFont="1" applyFill="1" applyBorder="1" applyAlignment="1">
      <alignment horizontal="centerContinuous"/>
    </xf>
    <xf numFmtId="0" fontId="21" fillId="6" borderId="10" xfId="0" applyFont="1" applyFill="1" applyBorder="1" applyAlignment="1">
      <alignment horizontal="centerContinuous"/>
    </xf>
    <xf numFmtId="0" fontId="21" fillId="6" borderId="11" xfId="0" applyFont="1" applyFill="1" applyBorder="1" applyAlignment="1">
      <alignment horizontal="centerContinuous"/>
    </xf>
    <xf numFmtId="0" fontId="0" fillId="0" borderId="0" xfId="0" applyFill="1" applyAlignment="1">
      <alignment/>
    </xf>
    <xf numFmtId="0" fontId="0" fillId="0" borderId="4" xfId="0" applyBorder="1" applyAlignment="1">
      <alignment horizontal="left"/>
    </xf>
    <xf numFmtId="0" fontId="0" fillId="0" borderId="0" xfId="0" applyAlignment="1">
      <alignment horizontal="left"/>
    </xf>
    <xf numFmtId="4" fontId="0" fillId="0" borderId="0" xfId="0" applyNumberFormat="1" applyFill="1" applyBorder="1" applyAlignment="1">
      <alignment horizontal="left"/>
    </xf>
    <xf numFmtId="0" fontId="0" fillId="0" borderId="5" xfId="0" applyBorder="1" applyAlignment="1">
      <alignment horizontal="left"/>
    </xf>
    <xf numFmtId="0" fontId="1" fillId="0" borderId="0" xfId="0" applyFont="1" applyAlignment="1">
      <alignment horizontal="left"/>
    </xf>
    <xf numFmtId="0" fontId="30" fillId="0" borderId="0" xfId="0" applyFont="1" applyBorder="1" applyAlignment="1">
      <alignment horizontal="left"/>
    </xf>
    <xf numFmtId="0" fontId="0" fillId="0" borderId="0" xfId="0" applyBorder="1" applyAlignment="1" quotePrefix="1">
      <alignment horizontal="right"/>
    </xf>
    <xf numFmtId="0" fontId="0" fillId="0" borderId="5" xfId="0" applyBorder="1" applyAlignment="1" quotePrefix="1">
      <alignment horizontal="left"/>
    </xf>
    <xf numFmtId="0" fontId="36" fillId="0" borderId="0" xfId="0" applyFont="1" applyBorder="1" applyAlignment="1" quotePrefix="1">
      <alignment horizontal="left"/>
    </xf>
    <xf numFmtId="0" fontId="35" fillId="0" borderId="5" xfId="0" applyFont="1" applyBorder="1" applyAlignment="1" quotePrefix="1">
      <alignment horizontal="left"/>
    </xf>
    <xf numFmtId="0" fontId="35" fillId="0" borderId="5" xfId="0" applyFont="1" applyBorder="1" applyAlignment="1">
      <alignment horizontal="left"/>
    </xf>
    <xf numFmtId="4" fontId="33" fillId="0" borderId="0" xfId="0" applyNumberFormat="1" applyFont="1" applyFill="1" applyBorder="1" applyAlignment="1" quotePrefix="1">
      <alignment horizontal="left"/>
    </xf>
    <xf numFmtId="0" fontId="29" fillId="0" borderId="0" xfId="0" applyFont="1" applyBorder="1" applyAlignment="1">
      <alignment horizontal="left"/>
    </xf>
    <xf numFmtId="0" fontId="0" fillId="3" borderId="9" xfId="0" applyFill="1" applyBorder="1" applyAlignment="1">
      <alignment horizontal="centerContinuous"/>
    </xf>
    <xf numFmtId="167" fontId="33" fillId="3" borderId="9" xfId="0" applyNumberFormat="1" applyFont="1" applyFill="1" applyBorder="1" applyAlignment="1">
      <alignment horizontal="centerContinuous"/>
    </xf>
    <xf numFmtId="0" fontId="11" fillId="0" borderId="0" xfId="0" applyFont="1" applyFill="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1" fillId="0" borderId="20" xfId="0" applyFont="1" applyBorder="1" applyAlignment="1">
      <alignment horizontal="center"/>
    </xf>
    <xf numFmtId="0" fontId="10" fillId="0" borderId="0" xfId="0" applyFont="1" applyAlignment="1">
      <alignment horizontal="centerContinuous"/>
    </xf>
    <xf numFmtId="0" fontId="1" fillId="0" borderId="18" xfId="0" applyFont="1" applyBorder="1" applyAlignment="1">
      <alignment horizontal="center"/>
    </xf>
    <xf numFmtId="0" fontId="1" fillId="0" borderId="19" xfId="0" applyFont="1" applyBorder="1" applyAlignment="1">
      <alignment horizontal="center"/>
    </xf>
    <xf numFmtId="0" fontId="42" fillId="6" borderId="0" xfId="0" applyFont="1" applyFill="1" applyAlignment="1">
      <alignment/>
    </xf>
    <xf numFmtId="0" fontId="21" fillId="6" borderId="0" xfId="0" applyFont="1" applyFill="1" applyAlignment="1">
      <alignment/>
    </xf>
    <xf numFmtId="0" fontId="10" fillId="3" borderId="0" xfId="0" applyFont="1" applyFill="1" applyBorder="1" applyAlignment="1">
      <alignment horizontal="centerContinuous"/>
    </xf>
    <xf numFmtId="0" fontId="0" fillId="0" borderId="19" xfId="0"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43" fillId="0" borderId="23" xfId="0" applyFont="1" applyBorder="1" applyAlignment="1">
      <alignment horizontal="center"/>
    </xf>
    <xf numFmtId="0" fontId="43" fillId="0" borderId="24" xfId="0" applyFont="1" applyBorder="1" applyAlignment="1">
      <alignment horizontal="center"/>
    </xf>
    <xf numFmtId="0" fontId="43" fillId="0" borderId="25" xfId="0" applyFont="1" applyBorder="1" applyAlignment="1">
      <alignment horizontal="center"/>
    </xf>
    <xf numFmtId="0" fontId="5" fillId="0" borderId="13" xfId="0" applyFont="1" applyBorder="1" applyAlignment="1">
      <alignment/>
    </xf>
    <xf numFmtId="0" fontId="0" fillId="0" borderId="10" xfId="0" applyBorder="1" applyAlignment="1">
      <alignment/>
    </xf>
    <xf numFmtId="0" fontId="5" fillId="0" borderId="11"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0" fillId="5" borderId="12" xfId="0" applyFont="1" applyFill="1" applyBorder="1" applyAlignment="1">
      <alignment horizontal="centerContinuous"/>
    </xf>
    <xf numFmtId="0" fontId="10" fillId="5" borderId="16" xfId="0" applyFont="1" applyFill="1" applyBorder="1" applyAlignment="1">
      <alignment horizontal="centerContinuous"/>
    </xf>
    <xf numFmtId="0" fontId="10" fillId="5" borderId="17" xfId="0" applyFont="1" applyFill="1" applyBorder="1" applyAlignment="1">
      <alignment horizontal="centerContinuous"/>
    </xf>
    <xf numFmtId="0" fontId="4" fillId="11" borderId="13" xfId="0" applyFont="1" applyFill="1" applyBorder="1" applyAlignment="1">
      <alignment horizontal="centerContinuous"/>
    </xf>
    <xf numFmtId="0" fontId="26" fillId="11" borderId="10" xfId="0" applyFont="1" applyFill="1" applyBorder="1" applyAlignment="1">
      <alignment horizontal="centerContinuous"/>
    </xf>
    <xf numFmtId="0" fontId="26" fillId="11" borderId="11" xfId="0" applyFont="1" applyFill="1" applyBorder="1" applyAlignment="1">
      <alignment horizontal="centerContinuous"/>
    </xf>
    <xf numFmtId="0" fontId="33" fillId="0" borderId="0" xfId="0" applyFont="1" applyAlignment="1">
      <alignment horizontal="centerContinuous"/>
    </xf>
    <xf numFmtId="0" fontId="0" fillId="0" borderId="0" xfId="0" applyAlignment="1">
      <alignment/>
    </xf>
    <xf numFmtId="0" fontId="21" fillId="4" borderId="0" xfId="0" applyFont="1" applyFill="1" applyAlignment="1">
      <alignment horizontal="centerContinuous"/>
    </xf>
    <xf numFmtId="0" fontId="43" fillId="0" borderId="0" xfId="0" applyFont="1" applyAlignment="1">
      <alignment horizontal="centerContinuous"/>
    </xf>
    <xf numFmtId="0" fontId="22" fillId="0" borderId="0" xfId="0" applyFont="1" applyAlignment="1">
      <alignment horizontal="centerContinuous"/>
    </xf>
    <xf numFmtId="0" fontId="0" fillId="3" borderId="2" xfId="0" applyFill="1" applyBorder="1" applyAlignment="1">
      <alignment horizontal="centerContinuous"/>
    </xf>
    <xf numFmtId="0" fontId="0" fillId="3" borderId="3" xfId="0" applyFill="1" applyBorder="1" applyAlignment="1">
      <alignment horizontal="centerContinuous"/>
    </xf>
    <xf numFmtId="0" fontId="0" fillId="3" borderId="7" xfId="0" applyFill="1" applyBorder="1" applyAlignment="1">
      <alignment horizontal="centerContinuous"/>
    </xf>
    <xf numFmtId="0" fontId="0" fillId="3" borderId="8" xfId="0" applyFill="1" applyBorder="1" applyAlignment="1">
      <alignment horizontal="centerContinuous"/>
    </xf>
    <xf numFmtId="0" fontId="11" fillId="3" borderId="1" xfId="0" applyFont="1" applyFill="1" applyBorder="1" applyAlignment="1">
      <alignment horizontal="centerContinuous"/>
    </xf>
    <xf numFmtId="0" fontId="11" fillId="3" borderId="6" xfId="0" applyFont="1" applyFill="1" applyBorder="1" applyAlignment="1">
      <alignment horizontal="centerContinuous"/>
    </xf>
    <xf numFmtId="0" fontId="0" fillId="0" borderId="5" xfId="0" applyFill="1" applyBorder="1" applyAlignment="1">
      <alignment/>
    </xf>
    <xf numFmtId="0" fontId="1" fillId="0" borderId="5" xfId="0" applyFont="1" applyBorder="1" applyAlignment="1">
      <alignment/>
    </xf>
    <xf numFmtId="0" fontId="11" fillId="0" borderId="0" xfId="0" applyFont="1" applyBorder="1" applyAlignment="1">
      <alignment/>
    </xf>
    <xf numFmtId="167" fontId="30" fillId="0" borderId="0" xfId="0" applyNumberFormat="1" applyFont="1" applyBorder="1" applyAlignment="1">
      <alignment/>
    </xf>
    <xf numFmtId="167" fontId="1" fillId="0" borderId="0" xfId="0" applyNumberFormat="1" applyFont="1" applyBorder="1" applyAlignment="1">
      <alignment/>
    </xf>
    <xf numFmtId="0" fontId="14" fillId="3" borderId="2" xfId="0" applyFont="1" applyFill="1" applyBorder="1" applyAlignment="1">
      <alignment/>
    </xf>
    <xf numFmtId="0" fontId="30" fillId="0" borderId="0" xfId="0" applyFont="1" applyBorder="1" applyAlignment="1">
      <alignment horizontal="right"/>
    </xf>
    <xf numFmtId="0" fontId="16" fillId="3" borderId="1" xfId="0" applyFont="1" applyFill="1" applyBorder="1" applyAlignment="1">
      <alignment/>
    </xf>
    <xf numFmtId="0" fontId="0" fillId="10" borderId="9" xfId="0" applyFill="1" applyBorder="1" applyAlignment="1">
      <alignment/>
    </xf>
    <xf numFmtId="2" fontId="0" fillId="10" borderId="9" xfId="0" applyNumberFormat="1" applyFill="1" applyBorder="1" applyAlignment="1">
      <alignment/>
    </xf>
    <xf numFmtId="0" fontId="0" fillId="0" borderId="0" xfId="0" applyAlignment="1">
      <alignment horizontal="center"/>
    </xf>
    <xf numFmtId="4" fontId="0" fillId="3" borderId="9" xfId="0" applyNumberFormat="1" applyFill="1" applyBorder="1" applyAlignment="1">
      <alignment/>
    </xf>
    <xf numFmtId="0" fontId="0" fillId="5" borderId="9" xfId="0" applyFill="1" applyBorder="1" applyAlignment="1">
      <alignment horizontal="right"/>
    </xf>
    <xf numFmtId="0" fontId="37" fillId="10" borderId="13" xfId="0" applyFont="1" applyFill="1" applyBorder="1" applyAlignment="1">
      <alignment/>
    </xf>
    <xf numFmtId="0" fontId="44" fillId="10" borderId="10" xfId="0" applyFont="1" applyFill="1" applyBorder="1" applyAlignment="1">
      <alignment/>
    </xf>
    <xf numFmtId="0" fontId="44" fillId="10" borderId="11" xfId="0" applyFont="1" applyFill="1" applyBorder="1" applyAlignment="1">
      <alignment/>
    </xf>
    <xf numFmtId="0" fontId="0" fillId="0" borderId="0" xfId="0" applyAlignment="1">
      <alignment horizontal="right"/>
    </xf>
    <xf numFmtId="0" fontId="10" fillId="0" borderId="0" xfId="0" applyFont="1" applyBorder="1" applyAlignment="1">
      <alignment vertical="top"/>
    </xf>
    <xf numFmtId="169" fontId="0" fillId="2" borderId="9" xfId="0" applyNumberFormat="1" applyFill="1" applyBorder="1" applyAlignment="1">
      <alignment/>
    </xf>
    <xf numFmtId="0" fontId="0" fillId="12" borderId="9" xfId="0" applyFont="1" applyFill="1" applyBorder="1" applyAlignment="1">
      <alignment/>
    </xf>
    <xf numFmtId="0" fontId="47" fillId="12" borderId="0" xfId="0" applyFont="1" applyFill="1" applyBorder="1" applyAlignment="1">
      <alignment/>
    </xf>
    <xf numFmtId="0" fontId="48" fillId="0" borderId="0" xfId="0" applyFont="1" applyBorder="1" applyAlignment="1">
      <alignment/>
    </xf>
    <xf numFmtId="0" fontId="33" fillId="0" borderId="0" xfId="0" applyFont="1" applyAlignment="1">
      <alignment/>
    </xf>
    <xf numFmtId="2" fontId="9" fillId="5" borderId="9" xfId="0" applyNumberFormat="1" applyFont="1" applyFill="1" applyBorder="1" applyAlignment="1">
      <alignment horizontal="right"/>
    </xf>
    <xf numFmtId="11" fontId="0" fillId="7" borderId="9" xfId="0" applyNumberFormat="1" applyFill="1" applyBorder="1" applyAlignment="1">
      <alignment/>
    </xf>
    <xf numFmtId="11" fontId="26" fillId="6" borderId="13" xfId="0" applyNumberFormat="1" applyFont="1" applyFill="1" applyBorder="1" applyAlignment="1">
      <alignment horizontal="centerContinuous"/>
    </xf>
    <xf numFmtId="0" fontId="1" fillId="0" borderId="30" xfId="0" applyFont="1" applyBorder="1" applyAlignment="1">
      <alignment horizontal="center"/>
    </xf>
    <xf numFmtId="0" fontId="1" fillId="0" borderId="31" xfId="0" applyFont="1" applyBorder="1" applyAlignment="1">
      <alignment horizontal="center"/>
    </xf>
    <xf numFmtId="0" fontId="43" fillId="0" borderId="32" xfId="0" applyFont="1" applyBorder="1" applyAlignment="1">
      <alignment horizontal="center"/>
    </xf>
    <xf numFmtId="0" fontId="43" fillId="0" borderId="12" xfId="0" applyFont="1" applyBorder="1" applyAlignment="1">
      <alignment horizontal="center"/>
    </xf>
    <xf numFmtId="0" fontId="43" fillId="0" borderId="33" xfId="0" applyFont="1" applyBorder="1" applyAlignment="1">
      <alignment horizontal="center"/>
    </xf>
    <xf numFmtId="170" fontId="33" fillId="3" borderId="9" xfId="0" applyNumberFormat="1" applyFont="1" applyFill="1" applyBorder="1" applyAlignment="1">
      <alignment horizontal="centerContinuous"/>
    </xf>
    <xf numFmtId="167" fontId="33" fillId="3" borderId="34" xfId="0" applyNumberFormat="1" applyFont="1" applyFill="1" applyBorder="1" applyAlignment="1">
      <alignment horizontal="centerContinuous"/>
    </xf>
    <xf numFmtId="0" fontId="0" fillId="3" borderId="34" xfId="0" applyFill="1" applyBorder="1" applyAlignment="1">
      <alignment horizontal="centerContinuous"/>
    </xf>
    <xf numFmtId="167" fontId="33" fillId="3" borderId="12" xfId="0" applyNumberFormat="1" applyFont="1" applyFill="1" applyBorder="1" applyAlignment="1">
      <alignment horizontal="centerContinuous"/>
    </xf>
    <xf numFmtId="0" fontId="11" fillId="0" borderId="2" xfId="0" applyFont="1" applyBorder="1" applyAlignment="1">
      <alignment/>
    </xf>
    <xf numFmtId="0" fontId="0" fillId="4" borderId="0" xfId="0" applyFill="1" applyAlignment="1">
      <alignment horizontal="centerContinuous"/>
    </xf>
    <xf numFmtId="0" fontId="13" fillId="0" borderId="2" xfId="0" applyFont="1" applyBorder="1" applyAlignment="1">
      <alignment/>
    </xf>
    <xf numFmtId="0" fontId="1" fillId="0" borderId="0" xfId="0" applyFont="1" applyAlignment="1">
      <alignment horizontal="right"/>
    </xf>
    <xf numFmtId="0" fontId="33" fillId="12" borderId="0" xfId="0" applyFont="1" applyFill="1" applyAlignment="1">
      <alignment/>
    </xf>
    <xf numFmtId="0" fontId="0" fillId="12" borderId="0" xfId="0" applyFill="1" applyAlignment="1">
      <alignment/>
    </xf>
    <xf numFmtId="3" fontId="21" fillId="0" borderId="0" xfId="0" applyNumberFormat="1" applyFont="1" applyFill="1" applyBorder="1" applyAlignment="1">
      <alignment/>
    </xf>
    <xf numFmtId="3" fontId="0" fillId="0" borderId="0" xfId="0" applyNumberFormat="1" applyFont="1" applyFill="1" applyBorder="1" applyAlignment="1">
      <alignment/>
    </xf>
    <xf numFmtId="4" fontId="4" fillId="0" borderId="0" xfId="0" applyNumberFormat="1" applyFont="1" applyFill="1" applyBorder="1" applyAlignment="1">
      <alignment/>
    </xf>
    <xf numFmtId="0" fontId="1" fillId="0" borderId="0" xfId="0" applyFont="1" applyAlignment="1">
      <alignment horizontal="center" wrapText="1"/>
    </xf>
    <xf numFmtId="0" fontId="0" fillId="0" borderId="0" xfId="0" applyFont="1" applyAlignment="1">
      <alignment horizontal="center"/>
    </xf>
    <xf numFmtId="0" fontId="0" fillId="0" borderId="0" xfId="0" applyFill="1" applyBorder="1" applyAlignment="1" applyProtection="1">
      <alignment/>
      <protection/>
    </xf>
    <xf numFmtId="0" fontId="6"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15" fontId="5" fillId="0" borderId="0"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center"/>
      <protection locked="0"/>
    </xf>
    <xf numFmtId="0" fontId="50" fillId="0" borderId="0" xfId="0" applyFont="1" applyFill="1" applyBorder="1" applyAlignment="1" applyProtection="1">
      <alignment horizontal="centerContinuous"/>
      <protection/>
    </xf>
    <xf numFmtId="0" fontId="16" fillId="0" borderId="2" xfId="0" applyFont="1" applyBorder="1" applyAlignment="1">
      <alignment horizontal="left"/>
    </xf>
    <xf numFmtId="0" fontId="13" fillId="0" borderId="4" xfId="0" applyFont="1" applyBorder="1" applyAlignment="1">
      <alignment horizontal="right"/>
    </xf>
    <xf numFmtId="0" fontId="14" fillId="0" borderId="0" xfId="0" applyFont="1" applyAlignment="1">
      <alignment horizontal="left"/>
    </xf>
    <xf numFmtId="0" fontId="0" fillId="10" borderId="0" xfId="0" applyFill="1" applyBorder="1" applyAlignment="1">
      <alignment horizontal="center"/>
    </xf>
    <xf numFmtId="0" fontId="0" fillId="10" borderId="9" xfId="0" applyFill="1" applyBorder="1" applyAlignment="1">
      <alignment horizontal="center"/>
    </xf>
    <xf numFmtId="2" fontId="0" fillId="10" borderId="9" xfId="0" applyNumberFormat="1" applyFill="1" applyBorder="1" applyAlignment="1">
      <alignment horizontal="center"/>
    </xf>
    <xf numFmtId="2" fontId="10" fillId="12" borderId="9" xfId="0" applyNumberFormat="1" applyFont="1" applyFill="1" applyBorder="1" applyAlignment="1">
      <alignment horizontal="center"/>
    </xf>
    <xf numFmtId="0" fontId="21" fillId="13" borderId="0" xfId="0" applyFont="1" applyFill="1" applyBorder="1" applyAlignment="1">
      <alignment horizontal="center"/>
    </xf>
    <xf numFmtId="0" fontId="21" fillId="13" borderId="9" xfId="0" applyFont="1" applyFill="1" applyBorder="1" applyAlignment="1">
      <alignment horizontal="center"/>
    </xf>
    <xf numFmtId="0" fontId="16" fillId="0" borderId="4" xfId="0" applyFont="1" applyFill="1" applyBorder="1" applyAlignment="1">
      <alignment/>
    </xf>
    <xf numFmtId="0" fontId="0" fillId="0" borderId="0" xfId="0" applyFont="1" applyAlignment="1">
      <alignment horizontal="right"/>
    </xf>
    <xf numFmtId="0" fontId="13" fillId="0" borderId="0" xfId="0" applyFont="1" applyBorder="1" applyAlignment="1">
      <alignment horizontal="right"/>
    </xf>
    <xf numFmtId="0" fontId="43" fillId="0" borderId="35" xfId="0" applyFont="1" applyBorder="1" applyAlignment="1">
      <alignment horizontal="center"/>
    </xf>
    <xf numFmtId="0" fontId="0" fillId="0" borderId="5" xfId="0" applyFont="1" applyFill="1" applyBorder="1" applyAlignment="1">
      <alignment/>
    </xf>
    <xf numFmtId="0" fontId="5" fillId="12" borderId="0" xfId="0" applyFont="1" applyFill="1" applyBorder="1" applyAlignment="1">
      <alignment/>
    </xf>
    <xf numFmtId="0" fontId="0" fillId="12" borderId="24" xfId="0" applyFill="1" applyBorder="1" applyAlignment="1">
      <alignment/>
    </xf>
    <xf numFmtId="0" fontId="0" fillId="12" borderId="24" xfId="0" applyFill="1" applyBorder="1" applyAlignment="1">
      <alignment horizontal="center"/>
    </xf>
    <xf numFmtId="0" fontId="0" fillId="0" borderId="5" xfId="0" applyFill="1" applyBorder="1" applyAlignment="1">
      <alignment horizontal="center"/>
    </xf>
    <xf numFmtId="0" fontId="0" fillId="0" borderId="8" xfId="0" applyFill="1" applyBorder="1" applyAlignment="1">
      <alignment horizontal="center"/>
    </xf>
    <xf numFmtId="0" fontId="0" fillId="0" borderId="4" xfId="0" applyFill="1" applyBorder="1" applyAlignment="1">
      <alignment/>
    </xf>
    <xf numFmtId="0" fontId="43" fillId="0" borderId="0" xfId="0" applyFont="1" applyBorder="1" applyAlignment="1">
      <alignment/>
    </xf>
    <xf numFmtId="0" fontId="4" fillId="0" borderId="0" xfId="0" applyFont="1" applyFill="1" applyBorder="1" applyAlignment="1">
      <alignment/>
    </xf>
    <xf numFmtId="164" fontId="0" fillId="12" borderId="15" xfId="0" applyNumberFormat="1" applyFont="1" applyFill="1" applyBorder="1" applyAlignment="1">
      <alignment/>
    </xf>
    <xf numFmtId="164" fontId="0" fillId="12" borderId="24" xfId="0" applyNumberFormat="1" applyFont="1" applyFill="1" applyBorder="1" applyAlignment="1">
      <alignment horizontal="center"/>
    </xf>
    <xf numFmtId="0" fontId="48" fillId="12" borderId="0" xfId="0" applyFont="1" applyFill="1" applyBorder="1" applyAlignment="1">
      <alignment/>
    </xf>
    <xf numFmtId="172" fontId="0" fillId="3" borderId="9" xfId="0" applyNumberFormat="1" applyFill="1" applyBorder="1" applyAlignment="1">
      <alignment/>
    </xf>
    <xf numFmtId="11" fontId="0" fillId="0" borderId="0" xfId="0" applyNumberFormat="1" applyBorder="1" applyAlignment="1">
      <alignment/>
    </xf>
    <xf numFmtId="173" fontId="0" fillId="5" borderId="9" xfId="0" applyNumberFormat="1" applyFill="1" applyBorder="1" applyAlignment="1">
      <alignment/>
    </xf>
    <xf numFmtId="11" fontId="4" fillId="5" borderId="9" xfId="0" applyNumberFormat="1" applyFont="1" applyFill="1" applyBorder="1" applyAlignment="1">
      <alignment horizontal="center"/>
    </xf>
    <xf numFmtId="11" fontId="21" fillId="6" borderId="9" xfId="0" applyNumberFormat="1" applyFont="1" applyFill="1" applyBorder="1" applyAlignment="1">
      <alignment horizontal="center"/>
    </xf>
    <xf numFmtId="173" fontId="0" fillId="7" borderId="9" xfId="0" applyNumberFormat="1" applyFill="1" applyBorder="1" applyAlignment="1">
      <alignment/>
    </xf>
    <xf numFmtId="169" fontId="0" fillId="7" borderId="9" xfId="0" applyNumberFormat="1" applyFill="1" applyBorder="1" applyAlignment="1">
      <alignment/>
    </xf>
    <xf numFmtId="169" fontId="0" fillId="5" borderId="9" xfId="0" applyNumberFormat="1" applyFill="1" applyBorder="1" applyAlignment="1">
      <alignment/>
    </xf>
    <xf numFmtId="169" fontId="4" fillId="5" borderId="9" xfId="0" applyNumberFormat="1" applyFont="1" applyFill="1" applyBorder="1" applyAlignment="1">
      <alignment/>
    </xf>
    <xf numFmtId="0" fontId="11" fillId="0" borderId="4" xfId="0" applyFont="1" applyBorder="1" applyAlignment="1">
      <alignment horizontal="left"/>
    </xf>
    <xf numFmtId="0" fontId="11" fillId="0" borderId="0" xfId="0" applyFont="1" applyBorder="1" applyAlignment="1">
      <alignment horizontal="left"/>
    </xf>
    <xf numFmtId="0" fontId="16" fillId="0" borderId="0" xfId="0" applyFont="1" applyFill="1" applyBorder="1" applyAlignment="1">
      <alignment horizontal="right"/>
    </xf>
    <xf numFmtId="2" fontId="45" fillId="0" borderId="0" xfId="0" applyNumberFormat="1" applyFont="1" applyFill="1" applyBorder="1" applyAlignment="1" applyProtection="1">
      <alignment horizontal="center"/>
      <protection locked="0"/>
    </xf>
    <xf numFmtId="0" fontId="0" fillId="12" borderId="15" xfId="0" applyFill="1" applyBorder="1" applyAlignment="1">
      <alignment/>
    </xf>
    <xf numFmtId="2" fontId="10" fillId="0" borderId="0" xfId="0" applyNumberFormat="1" applyFont="1" applyFill="1" applyBorder="1" applyAlignment="1">
      <alignment horizontal="center"/>
    </xf>
    <xf numFmtId="0" fontId="14" fillId="12" borderId="0" xfId="0" applyFont="1" applyFill="1" applyBorder="1" applyAlignment="1">
      <alignment/>
    </xf>
    <xf numFmtId="0" fontId="14" fillId="12" borderId="7" xfId="0" applyFont="1" applyFill="1" applyBorder="1" applyAlignment="1">
      <alignment/>
    </xf>
    <xf numFmtId="0" fontId="16" fillId="12" borderId="7" xfId="0" applyFont="1" applyFill="1" applyBorder="1" applyAlignment="1">
      <alignment horizontal="right"/>
    </xf>
    <xf numFmtId="2" fontId="45" fillId="12" borderId="7" xfId="0" applyNumberFormat="1" applyFont="1" applyFill="1" applyBorder="1" applyAlignment="1" applyProtection="1">
      <alignment horizontal="center"/>
      <protection locked="0"/>
    </xf>
    <xf numFmtId="2" fontId="33" fillId="12" borderId="9" xfId="0" applyNumberFormat="1" applyFont="1" applyFill="1" applyBorder="1" applyAlignment="1">
      <alignment horizontal="center"/>
    </xf>
    <xf numFmtId="0" fontId="52" fillId="0" borderId="0" xfId="0" applyFont="1" applyFill="1" applyBorder="1" applyAlignment="1">
      <alignment/>
    </xf>
    <xf numFmtId="0" fontId="52" fillId="0" borderId="0" xfId="0" applyFont="1" applyFill="1" applyBorder="1" applyAlignment="1">
      <alignment horizontal="center"/>
    </xf>
    <xf numFmtId="0" fontId="14" fillId="12" borderId="0" xfId="0" applyFont="1" applyFill="1" applyAlignment="1">
      <alignment/>
    </xf>
    <xf numFmtId="0" fontId="14" fillId="12" borderId="1" xfId="0" applyFont="1" applyFill="1" applyBorder="1" applyAlignment="1">
      <alignment/>
    </xf>
    <xf numFmtId="0" fontId="14" fillId="12" borderId="3" xfId="0" applyFont="1" applyFill="1" applyBorder="1" applyAlignment="1">
      <alignment/>
    </xf>
    <xf numFmtId="0" fontId="14" fillId="12" borderId="4" xfId="0" applyFont="1" applyFill="1" applyBorder="1" applyAlignment="1">
      <alignment/>
    </xf>
    <xf numFmtId="0" fontId="14" fillId="12" borderId="5" xfId="0" applyFont="1" applyFill="1" applyBorder="1" applyAlignment="1">
      <alignment/>
    </xf>
    <xf numFmtId="0" fontId="0" fillId="12" borderId="5" xfId="0" applyFill="1" applyBorder="1" applyAlignment="1">
      <alignment horizontal="centerContinuous"/>
    </xf>
    <xf numFmtId="0" fontId="14" fillId="12" borderId="6" xfId="0" applyFont="1" applyFill="1" applyBorder="1" applyAlignment="1">
      <alignment/>
    </xf>
    <xf numFmtId="0" fontId="52" fillId="12" borderId="7" xfId="0" applyFont="1" applyFill="1" applyBorder="1" applyAlignment="1">
      <alignment/>
    </xf>
    <xf numFmtId="0" fontId="52" fillId="12" borderId="7" xfId="0" applyFont="1" applyFill="1" applyBorder="1" applyAlignment="1">
      <alignment horizontal="center"/>
    </xf>
    <xf numFmtId="0" fontId="14" fillId="12" borderId="8" xfId="0" applyFont="1" applyFill="1" applyBorder="1" applyAlignment="1">
      <alignment/>
    </xf>
    <xf numFmtId="0" fontId="45" fillId="12" borderId="0" xfId="0" applyFont="1" applyFill="1" applyBorder="1" applyAlignment="1">
      <alignment horizontal="centerContinuous"/>
    </xf>
    <xf numFmtId="0" fontId="25" fillId="12" borderId="0" xfId="0" applyFont="1" applyFill="1" applyBorder="1" applyAlignment="1">
      <alignment horizontal="centerContinuous"/>
    </xf>
    <xf numFmtId="0" fontId="53" fillId="0" borderId="0" xfId="0" applyFont="1" applyBorder="1" applyAlignment="1">
      <alignment/>
    </xf>
    <xf numFmtId="167" fontId="0" fillId="10" borderId="9" xfId="0" applyNumberFormat="1" applyFill="1" applyBorder="1" applyAlignment="1">
      <alignment/>
    </xf>
    <xf numFmtId="164" fontId="0" fillId="12" borderId="15" xfId="0" applyNumberFormat="1" applyFill="1" applyBorder="1" applyAlignment="1">
      <alignment/>
    </xf>
    <xf numFmtId="169" fontId="0" fillId="3" borderId="9" xfId="0" applyNumberFormat="1" applyFill="1" applyBorder="1" applyAlignment="1">
      <alignment/>
    </xf>
    <xf numFmtId="0" fontId="5" fillId="0" borderId="0" xfId="0" applyFont="1" applyBorder="1" applyAlignment="1" quotePrefix="1">
      <alignment/>
    </xf>
    <xf numFmtId="0" fontId="0" fillId="12" borderId="9" xfId="0" applyFill="1" applyBorder="1" applyAlignment="1">
      <alignment/>
    </xf>
    <xf numFmtId="169" fontId="0" fillId="10" borderId="9" xfId="0" applyNumberFormat="1" applyFill="1" applyBorder="1" applyAlignment="1">
      <alignment/>
    </xf>
    <xf numFmtId="0" fontId="54" fillId="0" borderId="0" xfId="0" applyFont="1" applyBorder="1" applyAlignment="1" quotePrefix="1">
      <alignment/>
    </xf>
    <xf numFmtId="0" fontId="54" fillId="0" borderId="0" xfId="0" applyFont="1" applyBorder="1" applyAlignment="1">
      <alignment/>
    </xf>
    <xf numFmtId="0" fontId="9" fillId="0" borderId="0" xfId="0" applyFont="1" applyBorder="1" applyAlignment="1">
      <alignment/>
    </xf>
    <xf numFmtId="183" fontId="0" fillId="10" borderId="9" xfId="0" applyNumberFormat="1" applyFill="1" applyBorder="1" applyAlignment="1">
      <alignment/>
    </xf>
    <xf numFmtId="183" fontId="0" fillId="2" borderId="9" xfId="0" applyNumberFormat="1" applyFill="1" applyBorder="1" applyAlignment="1">
      <alignment/>
    </xf>
    <xf numFmtId="0" fontId="1" fillId="0" borderId="0" xfId="0" applyFont="1" applyFill="1" applyBorder="1" applyAlignment="1">
      <alignment/>
    </xf>
    <xf numFmtId="164" fontId="1" fillId="12" borderId="9" xfId="0" applyNumberFormat="1" applyFont="1" applyFill="1" applyBorder="1" applyAlignment="1">
      <alignment/>
    </xf>
    <xf numFmtId="0" fontId="55" fillId="0" borderId="0" xfId="0" applyFont="1" applyBorder="1" applyAlignment="1">
      <alignment/>
    </xf>
    <xf numFmtId="0" fontId="0" fillId="0" borderId="5" xfId="0" applyBorder="1" applyAlignment="1" quotePrefix="1">
      <alignment/>
    </xf>
    <xf numFmtId="164" fontId="1" fillId="0" borderId="0" xfId="0" applyNumberFormat="1" applyFont="1" applyFill="1" applyBorder="1" applyAlignment="1">
      <alignment/>
    </xf>
    <xf numFmtId="164" fontId="1" fillId="12" borderId="15" xfId="0" applyNumberFormat="1" applyFont="1" applyFill="1" applyBorder="1" applyAlignment="1">
      <alignment horizontal="center"/>
    </xf>
    <xf numFmtId="164" fontId="1" fillId="5" borderId="9" xfId="0" applyNumberFormat="1" applyFont="1" applyFill="1" applyBorder="1" applyAlignment="1">
      <alignment horizontal="center"/>
    </xf>
    <xf numFmtId="174" fontId="0" fillId="3" borderId="9" xfId="0" applyNumberFormat="1" applyFill="1" applyBorder="1" applyAlignment="1">
      <alignment/>
    </xf>
    <xf numFmtId="184" fontId="0" fillId="0" borderId="0" xfId="0" applyNumberFormat="1" applyBorder="1" applyAlignment="1">
      <alignment/>
    </xf>
    <xf numFmtId="164" fontId="4" fillId="5" borderId="9" xfId="0" applyNumberFormat="1" applyFont="1" applyFill="1" applyBorder="1" applyAlignment="1">
      <alignment horizontal="center"/>
    </xf>
    <xf numFmtId="0" fontId="22" fillId="0" borderId="0" xfId="0" applyFont="1" applyBorder="1" applyAlignment="1">
      <alignment/>
    </xf>
    <xf numFmtId="0" fontId="22" fillId="0" borderId="4" xfId="0" applyFont="1" applyBorder="1" applyAlignment="1">
      <alignment/>
    </xf>
    <xf numFmtId="0" fontId="22" fillId="0" borderId="0" xfId="0" applyFont="1" applyFill="1" applyBorder="1" applyAlignment="1">
      <alignment horizontal="right"/>
    </xf>
    <xf numFmtId="166" fontId="22" fillId="0" borderId="0" xfId="0" applyNumberFormat="1" applyFont="1" applyFill="1" applyBorder="1" applyAlignment="1">
      <alignment/>
    </xf>
    <xf numFmtId="0" fontId="22" fillId="0" borderId="5" xfId="0" applyFont="1" applyBorder="1" applyAlignment="1">
      <alignment/>
    </xf>
    <xf numFmtId="0" fontId="22" fillId="0" borderId="0" xfId="0" applyFont="1" applyFill="1" applyBorder="1" applyAlignment="1">
      <alignment/>
    </xf>
    <xf numFmtId="164" fontId="22" fillId="0" borderId="0" xfId="0" applyNumberFormat="1" applyFont="1" applyFill="1" applyBorder="1" applyAlignment="1">
      <alignment/>
    </xf>
    <xf numFmtId="166" fontId="0" fillId="0" borderId="36" xfId="0" applyNumberFormat="1" applyFill="1" applyBorder="1" applyAlignment="1">
      <alignment/>
    </xf>
    <xf numFmtId="0" fontId="10" fillId="3" borderId="37" xfId="0" applyFont="1" applyFill="1" applyBorder="1" applyAlignment="1">
      <alignment horizontal="centerContinuous"/>
    </xf>
    <xf numFmtId="0" fontId="10" fillId="3" borderId="38" xfId="0" applyFont="1" applyFill="1" applyBorder="1" applyAlignment="1">
      <alignment horizontal="centerContinuous"/>
    </xf>
    <xf numFmtId="0" fontId="10" fillId="3" borderId="39" xfId="0" applyFont="1" applyFill="1" applyBorder="1" applyAlignment="1">
      <alignment horizontal="centerContinuous"/>
    </xf>
    <xf numFmtId="0" fontId="5" fillId="0" borderId="6" xfId="0" applyFont="1" applyBorder="1" applyAlignment="1">
      <alignment horizontal="center"/>
    </xf>
    <xf numFmtId="0" fontId="37" fillId="0" borderId="0" xfId="0" applyFont="1" applyFill="1" applyBorder="1" applyAlignment="1">
      <alignment/>
    </xf>
    <xf numFmtId="0" fontId="44" fillId="0" borderId="0" xfId="0" applyFont="1" applyFill="1" applyBorder="1" applyAlignment="1">
      <alignment/>
    </xf>
    <xf numFmtId="0" fontId="0" fillId="10" borderId="9" xfId="0" applyFill="1" applyBorder="1" applyAlignment="1">
      <alignment horizontal="right"/>
    </xf>
    <xf numFmtId="0" fontId="9" fillId="0" borderId="0" xfId="0" applyFont="1" applyAlignment="1">
      <alignment/>
    </xf>
    <xf numFmtId="2" fontId="33" fillId="0" borderId="0" xfId="0" applyNumberFormat="1" applyFont="1" applyFill="1" applyBorder="1" applyAlignment="1">
      <alignment horizontal="center"/>
    </xf>
    <xf numFmtId="0" fontId="9" fillId="0" borderId="0" xfId="0" applyFont="1" applyBorder="1" applyAlignment="1">
      <alignment horizontal="left"/>
    </xf>
    <xf numFmtId="169" fontId="33" fillId="12" borderId="15" xfId="0" applyNumberFormat="1" applyFont="1" applyFill="1" applyBorder="1" applyAlignment="1">
      <alignment horizontal="center"/>
    </xf>
    <xf numFmtId="0" fontId="1" fillId="0" borderId="0" xfId="0" applyFont="1" applyAlignment="1">
      <alignment horizontal="center"/>
    </xf>
    <xf numFmtId="1" fontId="56" fillId="14" borderId="15" xfId="0" applyNumberFormat="1" applyFont="1" applyFill="1" applyBorder="1" applyAlignment="1">
      <alignment horizontal="center"/>
    </xf>
    <xf numFmtId="2" fontId="56" fillId="14" borderId="15" xfId="0" applyNumberFormat="1" applyFont="1" applyFill="1" applyBorder="1" applyAlignment="1">
      <alignment horizontal="center"/>
    </xf>
    <xf numFmtId="167" fontId="33" fillId="12" borderId="15" xfId="0" applyNumberFormat="1" applyFont="1" applyFill="1" applyBorder="1" applyAlignment="1">
      <alignment horizontal="center"/>
    </xf>
    <xf numFmtId="0" fontId="11" fillId="3" borderId="4" xfId="0" applyFont="1" applyFill="1" applyBorder="1" applyAlignment="1">
      <alignment horizontal="centerContinuous"/>
    </xf>
    <xf numFmtId="0" fontId="0" fillId="3" borderId="0" xfId="0" applyFill="1" applyBorder="1" applyAlignment="1">
      <alignment horizontal="centerContinuous"/>
    </xf>
    <xf numFmtId="0" fontId="0" fillId="3" borderId="5" xfId="0" applyFill="1" applyBorder="1" applyAlignment="1">
      <alignment horizontal="centerContinuous"/>
    </xf>
    <xf numFmtId="0" fontId="1" fillId="0" borderId="0" xfId="0" applyFont="1" applyAlignment="1" quotePrefix="1">
      <alignment/>
    </xf>
    <xf numFmtId="0" fontId="51" fillId="0" borderId="0" xfId="0" applyFont="1" applyAlignment="1">
      <alignment/>
    </xf>
    <xf numFmtId="1" fontId="56" fillId="0" borderId="0" xfId="0" applyNumberFormat="1" applyFont="1" applyFill="1" applyBorder="1" applyAlignment="1">
      <alignment horizontal="center"/>
    </xf>
    <xf numFmtId="2" fontId="56" fillId="0" borderId="0" xfId="0" applyNumberFormat="1" applyFont="1" applyFill="1" applyBorder="1" applyAlignment="1">
      <alignment horizontal="center"/>
    </xf>
    <xf numFmtId="0" fontId="6" fillId="0" borderId="0" xfId="0" applyFont="1" applyFill="1" applyAlignment="1">
      <alignment/>
    </xf>
    <xf numFmtId="167" fontId="33" fillId="0" borderId="0" xfId="0" applyNumberFormat="1" applyFont="1" applyFill="1" applyBorder="1" applyAlignment="1">
      <alignment horizontal="center"/>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12" fillId="0" borderId="0" xfId="0" applyFont="1" applyFill="1" applyBorder="1" applyAlignment="1">
      <alignment horizontal="centerContinuous"/>
    </xf>
    <xf numFmtId="0" fontId="0" fillId="0" borderId="0" xfId="0" applyFont="1" applyFill="1" applyBorder="1" applyAlignment="1">
      <alignment horizontal="centerContinuous"/>
    </xf>
    <xf numFmtId="0" fontId="0" fillId="0" borderId="0" xfId="0" applyFill="1" applyBorder="1" applyAlignment="1">
      <alignment horizontal="left"/>
    </xf>
    <xf numFmtId="0" fontId="52" fillId="0" borderId="4" xfId="0" applyFont="1" applyFill="1" applyBorder="1" applyAlignment="1">
      <alignment/>
    </xf>
    <xf numFmtId="0" fontId="52" fillId="0" borderId="6" xfId="0" applyFont="1" applyFill="1" applyBorder="1" applyAlignment="1">
      <alignment/>
    </xf>
    <xf numFmtId="0" fontId="14" fillId="0" borderId="7" xfId="0" applyFont="1" applyFill="1" applyBorder="1" applyAlignment="1">
      <alignment/>
    </xf>
    <xf numFmtId="0" fontId="16" fillId="0" borderId="7" xfId="0" applyFont="1" applyFill="1" applyBorder="1" applyAlignment="1">
      <alignment horizontal="right"/>
    </xf>
    <xf numFmtId="0" fontId="16" fillId="12" borderId="2" xfId="0" applyFont="1" applyFill="1" applyBorder="1" applyAlignment="1">
      <alignment horizontal="right"/>
    </xf>
    <xf numFmtId="0" fontId="16" fillId="12" borderId="1" xfId="0" applyFont="1" applyFill="1" applyBorder="1" applyAlignment="1">
      <alignment/>
    </xf>
    <xf numFmtId="0" fontId="15" fillId="12" borderId="2" xfId="0" applyFont="1" applyFill="1" applyBorder="1" applyAlignment="1">
      <alignment/>
    </xf>
    <xf numFmtId="2" fontId="16" fillId="12" borderId="2" xfId="0" applyNumberFormat="1" applyFont="1" applyFill="1" applyBorder="1" applyAlignment="1" applyProtection="1">
      <alignment horizontal="center"/>
      <protection locked="0"/>
    </xf>
    <xf numFmtId="0" fontId="14" fillId="0" borderId="0" xfId="0" applyFont="1" applyAlignment="1">
      <alignment horizontal="right"/>
    </xf>
    <xf numFmtId="0" fontId="52" fillId="0" borderId="0" xfId="0" applyFont="1" applyFill="1" applyBorder="1" applyAlignment="1">
      <alignment horizontal="right"/>
    </xf>
    <xf numFmtId="0" fontId="64" fillId="0" borderId="0" xfId="0" applyFont="1" applyFill="1" applyBorder="1" applyAlignment="1">
      <alignment horizontal="right"/>
    </xf>
    <xf numFmtId="0" fontId="63" fillId="0" borderId="0" xfId="0" applyFont="1" applyBorder="1" applyAlignment="1">
      <alignment horizontal="right"/>
    </xf>
    <xf numFmtId="0" fontId="16" fillId="0" borderId="3" xfId="0" applyFont="1" applyFill="1" applyBorder="1" applyAlignment="1">
      <alignment horizontal="right"/>
    </xf>
    <xf numFmtId="0" fontId="40" fillId="4" borderId="10" xfId="0" applyFont="1" applyFill="1" applyBorder="1" applyAlignment="1">
      <alignment horizontal="left" vertical="center"/>
    </xf>
    <xf numFmtId="0" fontId="21" fillId="4" borderId="10" xfId="0" applyFont="1" applyFill="1" applyBorder="1" applyAlignment="1">
      <alignment horizontal="centerContinuous" vertical="center"/>
    </xf>
    <xf numFmtId="0" fontId="0" fillId="0" borderId="0" xfId="0" applyAlignment="1">
      <alignment vertical="center"/>
    </xf>
    <xf numFmtId="0" fontId="1" fillId="10" borderId="7" xfId="0" applyFont="1" applyFill="1" applyBorder="1" applyAlignment="1">
      <alignment horizontal="left" vertical="center"/>
    </xf>
    <xf numFmtId="0" fontId="43" fillId="12" borderId="0" xfId="0" applyFont="1" applyFill="1" applyAlignment="1">
      <alignment horizontal="center"/>
    </xf>
    <xf numFmtId="0" fontId="46" fillId="4" borderId="10" xfId="0" applyFont="1" applyFill="1" applyBorder="1" applyAlignment="1">
      <alignment horizontal="center" vertical="center"/>
    </xf>
    <xf numFmtId="0" fontId="0" fillId="0" borderId="4"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1" fillId="0" borderId="4" xfId="0" applyFont="1" applyBorder="1" applyAlignment="1">
      <alignment horizontal="left"/>
    </xf>
    <xf numFmtId="0" fontId="57" fillId="0" borderId="0" xfId="20" applyFont="1" applyBorder="1" applyAlignment="1">
      <alignment horizontal="left"/>
    </xf>
    <xf numFmtId="0" fontId="69" fillId="12" borderId="0" xfId="0" applyFont="1" applyFill="1" applyAlignment="1">
      <alignment/>
    </xf>
    <xf numFmtId="0" fontId="12" fillId="12" borderId="0" xfId="0" applyFont="1" applyFill="1" applyAlignment="1">
      <alignment/>
    </xf>
    <xf numFmtId="0" fontId="51" fillId="0" borderId="0" xfId="0" applyFont="1" applyBorder="1" applyAlignment="1">
      <alignment/>
    </xf>
    <xf numFmtId="0" fontId="11" fillId="12" borderId="0" xfId="0" applyFont="1" applyFill="1" applyBorder="1" applyAlignment="1">
      <alignment horizontal="left"/>
    </xf>
    <xf numFmtId="0" fontId="69" fillId="12" borderId="0" xfId="0" applyFont="1" applyFill="1" applyBorder="1" applyAlignment="1">
      <alignment horizontal="left"/>
    </xf>
    <xf numFmtId="0" fontId="10" fillId="12" borderId="0" xfId="0" applyFont="1" applyFill="1" applyAlignment="1">
      <alignment horizontal="centerContinuous"/>
    </xf>
    <xf numFmtId="0" fontId="65" fillId="10" borderId="8" xfId="0" applyFont="1" applyFill="1" applyBorder="1" applyAlignment="1">
      <alignment horizontal="right" vertical="center"/>
    </xf>
    <xf numFmtId="0" fontId="72" fillId="4" borderId="0" xfId="0" applyFont="1" applyFill="1" applyAlignment="1">
      <alignment horizontal="centerContinuous"/>
    </xf>
    <xf numFmtId="0" fontId="57" fillId="0" borderId="4" xfId="20" applyBorder="1" applyAlignment="1">
      <alignment horizontal="left"/>
    </xf>
    <xf numFmtId="0" fontId="43" fillId="0" borderId="0" xfId="0" applyFont="1" applyFill="1" applyAlignment="1">
      <alignment horizontal="center"/>
    </xf>
    <xf numFmtId="0" fontId="33" fillId="0" borderId="0" xfId="0" applyFont="1" applyFill="1" applyAlignment="1">
      <alignment horizontal="left"/>
    </xf>
    <xf numFmtId="0" fontId="10" fillId="0" borderId="0" xfId="0" applyFont="1" applyFill="1" applyAlignment="1">
      <alignment horizontal="centerContinuous"/>
    </xf>
    <xf numFmtId="0" fontId="33" fillId="0" borderId="0" xfId="0" applyFont="1" applyFill="1" applyAlignment="1">
      <alignment/>
    </xf>
    <xf numFmtId="0" fontId="12" fillId="0" borderId="0" xfId="0" applyFont="1" applyFill="1" applyAlignment="1">
      <alignment/>
    </xf>
    <xf numFmtId="0" fontId="69" fillId="0" borderId="0" xfId="0" applyFont="1" applyFill="1" applyAlignment="1">
      <alignment/>
    </xf>
    <xf numFmtId="0" fontId="10" fillId="0" borderId="0" xfId="0" applyFont="1" applyBorder="1" applyAlignment="1">
      <alignment horizontal="right"/>
    </xf>
    <xf numFmtId="0" fontId="0" fillId="10" borderId="9" xfId="0" applyFont="1" applyFill="1" applyBorder="1" applyAlignment="1">
      <alignment/>
    </xf>
    <xf numFmtId="0" fontId="4" fillId="10" borderId="9" xfId="0" applyFont="1" applyFill="1" applyBorder="1" applyAlignment="1">
      <alignment/>
    </xf>
    <xf numFmtId="164" fontId="0" fillId="5" borderId="18" xfId="0" applyNumberFormat="1" applyFill="1" applyBorder="1" applyAlignment="1">
      <alignment/>
    </xf>
    <xf numFmtId="1" fontId="0" fillId="10" borderId="15" xfId="0" applyNumberFormat="1" applyFill="1" applyBorder="1" applyAlignment="1">
      <alignment/>
    </xf>
    <xf numFmtId="183" fontId="0" fillId="7" borderId="15" xfId="0" applyNumberFormat="1" applyFill="1" applyBorder="1" applyAlignment="1">
      <alignment/>
    </xf>
    <xf numFmtId="0" fontId="21" fillId="6" borderId="15" xfId="0" applyFont="1" applyFill="1" applyBorder="1" applyAlignment="1">
      <alignment/>
    </xf>
    <xf numFmtId="0" fontId="0" fillId="7" borderId="15" xfId="0" applyFill="1" applyBorder="1" applyAlignment="1">
      <alignment/>
    </xf>
    <xf numFmtId="166" fontId="0" fillId="5" borderId="9" xfId="0" applyNumberFormat="1" applyFill="1" applyBorder="1" applyAlignment="1">
      <alignment horizontal="center"/>
    </xf>
    <xf numFmtId="2" fontId="21" fillId="6" borderId="9" xfId="0" applyNumberFormat="1" applyFont="1" applyFill="1" applyBorder="1" applyAlignment="1">
      <alignment horizontal="center"/>
    </xf>
    <xf numFmtId="0" fontId="5" fillId="0" borderId="6" xfId="0" applyFont="1" applyBorder="1" applyAlignment="1">
      <alignment/>
    </xf>
    <xf numFmtId="172" fontId="0" fillId="3" borderId="9" xfId="0" applyNumberFormat="1" applyFill="1" applyBorder="1" applyAlignment="1">
      <alignment horizontal="right"/>
    </xf>
    <xf numFmtId="4" fontId="0" fillId="10" borderId="9" xfId="0" applyNumberFormat="1" applyFill="1" applyBorder="1" applyAlignment="1">
      <alignment/>
    </xf>
    <xf numFmtId="2" fontId="4" fillId="10" borderId="9" xfId="0" applyNumberFormat="1" applyFont="1" applyFill="1" applyBorder="1" applyAlignment="1">
      <alignment horizontal="center"/>
    </xf>
    <xf numFmtId="4" fontId="0" fillId="0" borderId="5" xfId="0" applyNumberFormat="1" applyBorder="1" applyAlignment="1">
      <alignment/>
    </xf>
    <xf numFmtId="186" fontId="0" fillId="3" borderId="9" xfId="0" applyNumberFormat="1" applyFill="1" applyBorder="1" applyAlignment="1">
      <alignment/>
    </xf>
    <xf numFmtId="185" fontId="0" fillId="12" borderId="9" xfId="0" applyNumberFormat="1" applyFill="1" applyBorder="1" applyAlignment="1">
      <alignment/>
    </xf>
    <xf numFmtId="0" fontId="11" fillId="0" borderId="0" xfId="0" applyFont="1" applyBorder="1" applyAlignment="1">
      <alignment vertical="center"/>
    </xf>
    <xf numFmtId="0" fontId="6" fillId="12" borderId="0" xfId="0" applyFont="1" applyFill="1" applyAlignment="1">
      <alignment/>
    </xf>
    <xf numFmtId="0" fontId="11" fillId="12" borderId="0" xfId="0" applyFont="1" applyFill="1" applyAlignment="1">
      <alignment/>
    </xf>
    <xf numFmtId="0" fontId="1" fillId="0" borderId="0" xfId="0" applyFont="1" applyBorder="1" applyAlignment="1">
      <alignment horizontal="right" vertical="center"/>
    </xf>
    <xf numFmtId="0" fontId="11" fillId="12" borderId="13" xfId="0" applyFont="1" applyFill="1" applyBorder="1" applyAlignment="1">
      <alignment horizontal="left"/>
    </xf>
    <xf numFmtId="0" fontId="0" fillId="12" borderId="10" xfId="0" applyFill="1" applyBorder="1" applyAlignment="1">
      <alignment/>
    </xf>
    <xf numFmtId="0" fontId="10" fillId="12" borderId="11" xfId="0" applyFont="1" applyFill="1" applyBorder="1" applyAlignment="1">
      <alignment horizontal="centerContinuous"/>
    </xf>
    <xf numFmtId="4" fontId="0" fillId="0" borderId="0" xfId="0" applyNumberFormat="1" applyBorder="1" applyAlignment="1">
      <alignment horizontal="right"/>
    </xf>
    <xf numFmtId="4" fontId="0" fillId="12" borderId="9" xfId="0" applyNumberFormat="1" applyFill="1" applyBorder="1" applyAlignment="1">
      <alignment/>
    </xf>
    <xf numFmtId="4" fontId="0" fillId="15" borderId="9" xfId="0" applyNumberFormat="1" applyFill="1" applyBorder="1" applyAlignment="1">
      <alignment/>
    </xf>
    <xf numFmtId="0" fontId="51" fillId="0" borderId="0" xfId="0" applyFont="1" applyAlignment="1">
      <alignment horizontal="right"/>
    </xf>
    <xf numFmtId="0" fontId="51" fillId="0" borderId="0" xfId="0" applyFont="1" applyBorder="1" applyAlignment="1">
      <alignment horizontal="right"/>
    </xf>
    <xf numFmtId="0" fontId="51" fillId="0" borderId="0" xfId="0" applyFont="1" applyFill="1" applyBorder="1" applyAlignment="1">
      <alignment horizontal="right"/>
    </xf>
    <xf numFmtId="0" fontId="51" fillId="0" borderId="0" xfId="0" applyFont="1" applyBorder="1" applyAlignment="1" quotePrefix="1">
      <alignment horizontal="left"/>
    </xf>
    <xf numFmtId="0" fontId="46" fillId="16" borderId="0" xfId="0" applyFont="1" applyFill="1" applyAlignment="1">
      <alignment/>
    </xf>
    <xf numFmtId="0" fontId="21" fillId="16" borderId="0" xfId="0" applyFont="1" applyFill="1" applyAlignment="1">
      <alignment/>
    </xf>
    <xf numFmtId="0" fontId="0" fillId="16" borderId="0" xfId="0" applyFill="1" applyAlignment="1">
      <alignment/>
    </xf>
    <xf numFmtId="0" fontId="0" fillId="16" borderId="0" xfId="0" applyFill="1" applyBorder="1" applyAlignment="1">
      <alignment/>
    </xf>
    <xf numFmtId="4" fontId="46" fillId="16" borderId="15" xfId="0" applyNumberFormat="1" applyFont="1" applyFill="1" applyBorder="1" applyAlignment="1">
      <alignment horizontal="center"/>
    </xf>
    <xf numFmtId="166" fontId="21" fillId="16" borderId="0" xfId="0" applyNumberFormat="1" applyFont="1" applyFill="1" applyBorder="1" applyAlignment="1">
      <alignment horizontal="center"/>
    </xf>
    <xf numFmtId="0" fontId="21" fillId="16" borderId="0" xfId="0" applyFont="1" applyFill="1" applyBorder="1" applyAlignment="1">
      <alignment horizontal="center"/>
    </xf>
    <xf numFmtId="0" fontId="0" fillId="0" borderId="7" xfId="0" applyBorder="1" applyAlignment="1">
      <alignment horizontal="center"/>
    </xf>
    <xf numFmtId="0" fontId="0" fillId="0" borderId="2" xfId="0" applyBorder="1" applyAlignment="1">
      <alignment horizontal="center"/>
    </xf>
    <xf numFmtId="2" fontId="21" fillId="16" borderId="0" xfId="0" applyNumberFormat="1" applyFont="1" applyFill="1" applyBorder="1" applyAlignment="1">
      <alignment horizontal="center"/>
    </xf>
    <xf numFmtId="166" fontId="21" fillId="16" borderId="5" xfId="0" applyNumberFormat="1" applyFont="1" applyFill="1" applyBorder="1" applyAlignment="1">
      <alignment horizontal="center"/>
    </xf>
    <xf numFmtId="0" fontId="42" fillId="16" borderId="0" xfId="0" applyFont="1" applyFill="1" applyAlignment="1">
      <alignment/>
    </xf>
    <xf numFmtId="0" fontId="21" fillId="0" borderId="0" xfId="0" applyFont="1" applyAlignment="1">
      <alignment/>
    </xf>
    <xf numFmtId="0" fontId="46" fillId="16" borderId="13" xfId="0" applyFont="1" applyFill="1" applyBorder="1" applyAlignment="1">
      <alignment horizontal="centerContinuous"/>
    </xf>
    <xf numFmtId="0" fontId="46" fillId="16" borderId="10" xfId="0" applyFont="1" applyFill="1" applyBorder="1" applyAlignment="1">
      <alignment horizontal="centerContinuous"/>
    </xf>
    <xf numFmtId="0" fontId="46" fillId="16" borderId="11" xfId="0" applyFont="1" applyFill="1" applyBorder="1" applyAlignment="1">
      <alignment horizontal="centerContinuous"/>
    </xf>
    <xf numFmtId="0" fontId="73" fillId="6" borderId="13" xfId="0" applyFont="1" applyFill="1" applyBorder="1" applyAlignment="1">
      <alignment horizontal="centerContinuous"/>
    </xf>
    <xf numFmtId="0" fontId="43"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43" fillId="0" borderId="43" xfId="0" applyFont="1" applyBorder="1" applyAlignment="1">
      <alignment horizontal="center"/>
    </xf>
    <xf numFmtId="0" fontId="1" fillId="0" borderId="44" xfId="0" applyFont="1" applyBorder="1" applyAlignment="1">
      <alignment horizontal="center"/>
    </xf>
    <xf numFmtId="0" fontId="74" fillId="16" borderId="13" xfId="0" applyFont="1" applyFill="1" applyBorder="1" applyAlignment="1">
      <alignment/>
    </xf>
    <xf numFmtId="0" fontId="21" fillId="16" borderId="10" xfId="0" applyFont="1" applyFill="1" applyBorder="1" applyAlignment="1">
      <alignment/>
    </xf>
    <xf numFmtId="0" fontId="52" fillId="12" borderId="0" xfId="0" applyFont="1" applyFill="1" applyBorder="1" applyAlignment="1">
      <alignment horizontal="center" vertical="center"/>
    </xf>
    <xf numFmtId="0" fontId="6" fillId="0" borderId="1" xfId="0" applyFont="1" applyFill="1" applyBorder="1" applyAlignment="1">
      <alignment horizontal="left" vertical="center"/>
    </xf>
    <xf numFmtId="0" fontId="11" fillId="0" borderId="2" xfId="0" applyFont="1" applyFill="1" applyBorder="1" applyAlignment="1">
      <alignment horizontal="center" vertical="center"/>
    </xf>
    <xf numFmtId="0" fontId="5" fillId="0" borderId="2" xfId="0" applyFont="1" applyBorder="1" applyAlignment="1">
      <alignment horizontal="right" vertical="center"/>
    </xf>
    <xf numFmtId="164" fontId="5" fillId="12" borderId="15" xfId="0" applyNumberFormat="1" applyFont="1" applyFill="1" applyBorder="1" applyAlignment="1">
      <alignment horizontal="center" vertical="center"/>
    </xf>
    <xf numFmtId="0" fontId="1" fillId="0" borderId="2" xfId="0" applyFont="1" applyBorder="1" applyAlignment="1">
      <alignment horizontal="left" vertical="center"/>
    </xf>
    <xf numFmtId="0" fontId="11" fillId="0" borderId="2" xfId="0" applyFont="1" applyBorder="1" applyAlignment="1">
      <alignment horizontal="left" vertical="center"/>
    </xf>
    <xf numFmtId="0" fontId="6" fillId="0" borderId="2" xfId="0" applyFont="1" applyBorder="1" applyAlignment="1">
      <alignment horizontal="left" vertical="center"/>
    </xf>
    <xf numFmtId="0" fontId="0" fillId="0" borderId="2" xfId="0" applyBorder="1" applyAlignment="1">
      <alignment vertical="center"/>
    </xf>
    <xf numFmtId="0" fontId="5" fillId="0" borderId="4"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right" vertical="center"/>
    </xf>
    <xf numFmtId="0" fontId="1"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1" fillId="0" borderId="5" xfId="0" applyFont="1" applyBorder="1" applyAlignment="1">
      <alignment horizontal="left" vertical="center"/>
    </xf>
    <xf numFmtId="0" fontId="5" fillId="0" borderId="0" xfId="0" applyFont="1" applyBorder="1" applyAlignment="1">
      <alignment horizontal="center" vertical="center"/>
    </xf>
    <xf numFmtId="0" fontId="10" fillId="0" borderId="0" xfId="0" applyFont="1" applyBorder="1" applyAlignment="1">
      <alignment horizontal="centerContinuous"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Continuous" vertical="center"/>
    </xf>
    <xf numFmtId="0" fontId="0" fillId="0" borderId="5" xfId="0" applyFont="1" applyBorder="1" applyAlignment="1">
      <alignment vertical="center"/>
    </xf>
    <xf numFmtId="0" fontId="5" fillId="0" borderId="0" xfId="0" applyFont="1" applyBorder="1" applyAlignment="1">
      <alignment horizontal="centerContinuous" vertical="center"/>
    </xf>
    <xf numFmtId="0" fontId="0" fillId="0" borderId="5" xfId="0" applyFont="1" applyBorder="1" applyAlignment="1">
      <alignment horizontal="centerContinuous" vertical="center"/>
    </xf>
    <xf numFmtId="164" fontId="5" fillId="12" borderId="18" xfId="0" applyNumberFormat="1" applyFont="1" applyFill="1" applyBorder="1" applyAlignment="1">
      <alignment horizontal="center" vertical="center"/>
    </xf>
    <xf numFmtId="0" fontId="5" fillId="0" borderId="0" xfId="0" applyFont="1" applyBorder="1" applyAlignment="1">
      <alignment vertical="center"/>
    </xf>
    <xf numFmtId="0" fontId="1" fillId="0" borderId="5" xfId="0" applyFont="1" applyFill="1" applyBorder="1" applyAlignment="1">
      <alignment horizontal="left" vertical="center"/>
    </xf>
    <xf numFmtId="0" fontId="5" fillId="0" borderId="0" xfId="0" applyFont="1" applyBorder="1" applyAlignment="1">
      <alignment horizontal="left" vertical="center"/>
    </xf>
    <xf numFmtId="164" fontId="5" fillId="0" borderId="0" xfId="0" applyNumberFormat="1" applyFont="1" applyFill="1" applyBorder="1" applyAlignment="1">
      <alignment horizontal="center" vertical="center"/>
    </xf>
    <xf numFmtId="2" fontId="5" fillId="12" borderId="15" xfId="0" applyNumberFormat="1" applyFont="1" applyFill="1" applyBorder="1" applyAlignment="1">
      <alignment horizontal="center" vertical="center"/>
    </xf>
    <xf numFmtId="0" fontId="6" fillId="0" borderId="6" xfId="0" applyFont="1" applyBorder="1" applyAlignment="1">
      <alignment horizontal="left" vertical="center"/>
    </xf>
    <xf numFmtId="0" fontId="0" fillId="0" borderId="7" xfId="0" applyFont="1" applyBorder="1" applyAlignment="1">
      <alignment vertical="center"/>
    </xf>
    <xf numFmtId="0" fontId="5" fillId="0" borderId="7" xfId="0" applyFont="1" applyBorder="1" applyAlignment="1">
      <alignment horizontal="right" vertical="center"/>
    </xf>
    <xf numFmtId="0" fontId="42" fillId="0" borderId="7" xfId="0" applyFont="1" applyFill="1" applyBorder="1" applyAlignment="1">
      <alignment horizontal="center" vertical="center"/>
    </xf>
    <xf numFmtId="0" fontId="0" fillId="0" borderId="8" xfId="0" applyFont="1" applyBorder="1" applyAlignment="1">
      <alignment vertical="center"/>
    </xf>
    <xf numFmtId="0" fontId="11" fillId="7" borderId="13" xfId="0" applyFont="1" applyFill="1" applyBorder="1" applyAlignment="1">
      <alignment vertical="center"/>
    </xf>
    <xf numFmtId="0" fontId="10" fillId="7" borderId="10" xfId="0" applyFont="1" applyFill="1" applyBorder="1" applyAlignment="1">
      <alignment horizontal="centerContinuous" vertical="center"/>
    </xf>
    <xf numFmtId="0" fontId="0" fillId="7" borderId="10" xfId="0" applyFill="1" applyBorder="1" applyAlignment="1">
      <alignment vertical="center"/>
    </xf>
    <xf numFmtId="0" fontId="0" fillId="7" borderId="11" xfId="0" applyFill="1" applyBorder="1" applyAlignment="1">
      <alignment vertical="center"/>
    </xf>
    <xf numFmtId="0" fontId="5" fillId="0" borderId="1" xfId="0" applyFont="1" applyBorder="1" applyAlignment="1">
      <alignment horizontal="centerContinuous" vertical="center"/>
    </xf>
    <xf numFmtId="0" fontId="0" fillId="0" borderId="2" xfId="0"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8" xfId="0" applyFont="1" applyBorder="1" applyAlignment="1">
      <alignment horizontal="center" vertical="center"/>
    </xf>
    <xf numFmtId="0" fontId="1" fillId="0" borderId="18" xfId="0" applyFont="1" applyBorder="1" applyAlignment="1">
      <alignment horizontal="center" vertical="center"/>
    </xf>
    <xf numFmtId="0" fontId="5" fillId="0" borderId="4" xfId="0" applyFont="1" applyBorder="1" applyAlignment="1">
      <alignment horizontal="centerContinuous" vertical="center"/>
    </xf>
    <xf numFmtId="0" fontId="0" fillId="0" borderId="0" xfId="0" applyBorder="1" applyAlignment="1">
      <alignment horizontal="centerContinuous" vertical="center"/>
    </xf>
    <xf numFmtId="0" fontId="5" fillId="0" borderId="5" xfId="0" applyFont="1" applyBorder="1" applyAlignment="1">
      <alignment horizontal="centerContinuous" vertical="center"/>
    </xf>
    <xf numFmtId="0" fontId="0" fillId="0" borderId="19" xfId="0" applyBorder="1" applyAlignment="1">
      <alignment vertical="center"/>
    </xf>
    <xf numFmtId="0" fontId="1" fillId="0" borderId="6" xfId="0" applyFont="1" applyBorder="1" applyAlignment="1">
      <alignment horizontal="centerContinuous" vertical="center"/>
    </xf>
    <xf numFmtId="0" fontId="0" fillId="0" borderId="8" xfId="0" applyBorder="1" applyAlignment="1">
      <alignment horizontal="centerContinuous" vertical="center"/>
    </xf>
    <xf numFmtId="0" fontId="1" fillId="0" borderId="19" xfId="0" applyFont="1" applyBorder="1" applyAlignment="1">
      <alignment horizontal="center" vertical="center"/>
    </xf>
    <xf numFmtId="0" fontId="0" fillId="0" borderId="4" xfId="0" applyBorder="1" applyAlignment="1">
      <alignment vertical="center"/>
    </xf>
    <xf numFmtId="0" fontId="11" fillId="0" borderId="0" xfId="0" applyFont="1" applyFill="1" applyBorder="1" applyAlignment="1">
      <alignment vertical="center"/>
    </xf>
    <xf numFmtId="0" fontId="1" fillId="0" borderId="21" xfId="0" applyFont="1" applyBorder="1" applyAlignment="1">
      <alignment horizontal="center" vertical="center"/>
    </xf>
    <xf numFmtId="0" fontId="33" fillId="0" borderId="0" xfId="0" applyFont="1" applyBorder="1" applyAlignment="1">
      <alignment vertical="center"/>
    </xf>
    <xf numFmtId="0" fontId="0" fillId="0" borderId="5" xfId="0" applyBorder="1" applyAlignment="1">
      <alignment vertical="center"/>
    </xf>
    <xf numFmtId="0" fontId="0" fillId="0" borderId="42" xfId="0" applyFont="1" applyBorder="1" applyAlignment="1">
      <alignment vertical="center"/>
    </xf>
    <xf numFmtId="169" fontId="0" fillId="0" borderId="45" xfId="0" applyNumberFormat="1" applyBorder="1" applyAlignment="1">
      <alignment vertical="center"/>
    </xf>
    <xf numFmtId="4" fontId="51" fillId="7" borderId="9" xfId="0" applyNumberFormat="1" applyFont="1" applyFill="1" applyBorder="1" applyAlignment="1">
      <alignment horizontal="right" vertical="center"/>
    </xf>
    <xf numFmtId="4" fontId="51" fillId="7" borderId="9" xfId="0" applyNumberFormat="1" applyFont="1" applyFill="1" applyBorder="1" applyAlignment="1">
      <alignment horizontal="left" vertical="center"/>
    </xf>
    <xf numFmtId="0" fontId="1" fillId="0" borderId="20" xfId="0" applyFont="1" applyBorder="1" applyAlignment="1">
      <alignment horizontal="center" vertical="center"/>
    </xf>
    <xf numFmtId="169" fontId="41" fillId="0" borderId="24" xfId="0" applyNumberFormat="1" applyFont="1" applyBorder="1" applyAlignment="1">
      <alignment horizontal="center" vertical="center"/>
    </xf>
    <xf numFmtId="4" fontId="0" fillId="0" borderId="0" xfId="0" applyNumberFormat="1" applyFill="1" applyBorder="1" applyAlignment="1">
      <alignment horizontal="left" vertical="center"/>
    </xf>
    <xf numFmtId="4" fontId="0" fillId="0" borderId="5" xfId="0" applyNumberFormat="1" applyFill="1" applyBorder="1" applyAlignment="1">
      <alignment horizontal="left"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42" xfId="0" applyBorder="1" applyAlignment="1">
      <alignment vertical="center"/>
    </xf>
    <xf numFmtId="4" fontId="51" fillId="7" borderId="20" xfId="0" applyNumberFormat="1" applyFont="1" applyFill="1" applyBorder="1" applyAlignment="1">
      <alignment horizontal="right" vertical="center"/>
    </xf>
    <xf numFmtId="4" fontId="51" fillId="7" borderId="9" xfId="0" applyNumberFormat="1" applyFont="1" applyFill="1" applyBorder="1" applyAlignment="1">
      <alignment horizontal="center" vertical="center"/>
    </xf>
    <xf numFmtId="4" fontId="51" fillId="7" borderId="24" xfId="0" applyNumberFormat="1" applyFont="1" applyFill="1" applyBorder="1" applyAlignment="1">
      <alignment horizontal="left" vertical="center"/>
    </xf>
    <xf numFmtId="169" fontId="71" fillId="6" borderId="24" xfId="0" applyNumberFormat="1" applyFont="1" applyFill="1" applyBorder="1" applyAlignment="1">
      <alignment horizontal="center" vertical="center"/>
    </xf>
    <xf numFmtId="4" fontId="51" fillId="7" borderId="9" xfId="0" applyNumberFormat="1" applyFont="1" applyFill="1" applyBorder="1" applyAlignment="1">
      <alignment vertical="center"/>
    </xf>
    <xf numFmtId="0" fontId="1" fillId="0" borderId="22" xfId="0" applyFont="1" applyBorder="1" applyAlignment="1">
      <alignment horizontal="center" vertical="center"/>
    </xf>
    <xf numFmtId="0" fontId="0" fillId="0" borderId="1" xfId="0" applyBorder="1" applyAlignment="1">
      <alignment vertical="center"/>
    </xf>
    <xf numFmtId="0" fontId="11" fillId="0" borderId="2" xfId="0" applyFont="1" applyFill="1" applyBorder="1" applyAlignment="1">
      <alignment vertical="center"/>
    </xf>
    <xf numFmtId="0" fontId="0" fillId="0" borderId="3" xfId="0" applyBorder="1" applyAlignment="1">
      <alignment vertical="center"/>
    </xf>
    <xf numFmtId="0" fontId="11" fillId="0" borderId="4" xfId="0" applyFont="1" applyFill="1" applyBorder="1" applyAlignment="1">
      <alignment horizontal="centerContinuous" vertical="center"/>
    </xf>
    <xf numFmtId="4" fontId="51" fillId="7" borderId="14" xfId="0" applyNumberFormat="1" applyFont="1" applyFill="1" applyBorder="1" applyAlignment="1">
      <alignment horizontal="right" vertical="center"/>
    </xf>
    <xf numFmtId="0" fontId="1" fillId="0" borderId="0" xfId="0" applyFont="1" applyBorder="1" applyAlignment="1">
      <alignment vertical="center"/>
    </xf>
    <xf numFmtId="164" fontId="1" fillId="0" borderId="0" xfId="0" applyNumberFormat="1" applyFont="1" applyBorder="1" applyAlignment="1">
      <alignment horizontal="center" vertical="center"/>
    </xf>
    <xf numFmtId="167" fontId="1" fillId="0" borderId="4" xfId="0" applyNumberFormat="1" applyFont="1" applyBorder="1" applyAlignment="1">
      <alignment horizontal="right" vertical="center"/>
    </xf>
    <xf numFmtId="167" fontId="1" fillId="0" borderId="5" xfId="0" applyNumberFormat="1" applyFont="1" applyBorder="1" applyAlignment="1">
      <alignment horizontal="left" vertical="center"/>
    </xf>
    <xf numFmtId="0" fontId="10" fillId="0" borderId="0" xfId="0" applyFont="1" applyFill="1" applyBorder="1" applyAlignment="1">
      <alignment horizontal="centerContinuous" vertical="center"/>
    </xf>
    <xf numFmtId="0" fontId="10" fillId="0" borderId="5" xfId="0" applyFont="1" applyFill="1" applyBorder="1" applyAlignment="1">
      <alignment horizontal="centerContinuous" vertical="center"/>
    </xf>
    <xf numFmtId="0" fontId="0" fillId="0" borderId="7" xfId="0" applyBorder="1" applyAlignment="1">
      <alignment vertical="center"/>
    </xf>
    <xf numFmtId="0" fontId="0" fillId="0" borderId="8" xfId="0" applyBorder="1" applyAlignment="1">
      <alignment vertical="center"/>
    </xf>
    <xf numFmtId="0" fontId="1" fillId="0" borderId="4" xfId="0" applyFont="1" applyBorder="1" applyAlignment="1">
      <alignment horizontal="right" vertical="center"/>
    </xf>
    <xf numFmtId="0" fontId="1" fillId="0" borderId="5" xfId="0" applyFont="1" applyBorder="1" applyAlignment="1">
      <alignment vertical="center"/>
    </xf>
    <xf numFmtId="164" fontId="65" fillId="0" borderId="4" xfId="0" applyNumberFormat="1" applyFont="1" applyBorder="1" applyAlignment="1">
      <alignment horizontal="right" vertical="center"/>
    </xf>
    <xf numFmtId="164" fontId="65" fillId="0" borderId="5" xfId="0" applyNumberFormat="1" applyFont="1" applyBorder="1" applyAlignment="1">
      <alignment horizontal="left" vertical="center"/>
    </xf>
    <xf numFmtId="164" fontId="1" fillId="0" borderId="4" xfId="0" applyNumberFormat="1" applyFont="1" applyBorder="1" applyAlignment="1">
      <alignment horizontal="right" vertical="center"/>
    </xf>
    <xf numFmtId="164" fontId="65" fillId="0" borderId="0" xfId="0" applyNumberFormat="1" applyFont="1" applyBorder="1" applyAlignment="1">
      <alignment horizontal="right" vertical="center"/>
    </xf>
    <xf numFmtId="164" fontId="1" fillId="0" borderId="5" xfId="0" applyNumberFormat="1" applyFont="1" applyBorder="1" applyAlignment="1">
      <alignment horizontal="left" vertical="center"/>
    </xf>
    <xf numFmtId="164" fontId="1" fillId="7" borderId="15" xfId="0" applyNumberFormat="1" applyFont="1" applyFill="1" applyBorder="1" applyAlignment="1">
      <alignment horizontal="center" vertical="center"/>
    </xf>
    <xf numFmtId="164" fontId="1" fillId="0" borderId="0" xfId="0" applyNumberFormat="1" applyFont="1" applyBorder="1" applyAlignment="1">
      <alignment horizontal="right" vertical="center"/>
    </xf>
    <xf numFmtId="2" fontId="1" fillId="7" borderId="15" xfId="0" applyNumberFormat="1" applyFont="1" applyFill="1" applyBorder="1" applyAlignment="1">
      <alignment horizontal="center" vertical="center"/>
    </xf>
    <xf numFmtId="167" fontId="30" fillId="0" borderId="0" xfId="0" applyNumberFormat="1" applyFont="1" applyBorder="1" applyAlignment="1">
      <alignment vertical="center"/>
    </xf>
    <xf numFmtId="167" fontId="1" fillId="0" borderId="0" xfId="0" applyNumberFormat="1" applyFont="1" applyBorder="1" applyAlignment="1">
      <alignment vertical="center"/>
    </xf>
    <xf numFmtId="0" fontId="0" fillId="0" borderId="6" xfId="0" applyBorder="1" applyAlignment="1">
      <alignment vertical="center"/>
    </xf>
    <xf numFmtId="0" fontId="0" fillId="12" borderId="0" xfId="0" applyFill="1" applyBorder="1" applyAlignment="1">
      <alignment vertical="center"/>
    </xf>
    <xf numFmtId="0" fontId="5" fillId="12" borderId="0" xfId="0" applyFont="1" applyFill="1" applyBorder="1" applyAlignment="1">
      <alignment horizontal="center" vertical="center"/>
    </xf>
    <xf numFmtId="0" fontId="0" fillId="12" borderId="5" xfId="0" applyFill="1" applyBorder="1" applyAlignment="1">
      <alignment vertical="center"/>
    </xf>
    <xf numFmtId="0" fontId="0" fillId="0" borderId="0" xfId="0" applyAlignment="1">
      <alignment horizontal="center" vertical="center"/>
    </xf>
    <xf numFmtId="0" fontId="5" fillId="7" borderId="46" xfId="0" applyFont="1" applyFill="1" applyBorder="1" applyAlignment="1">
      <alignment horizontal="center" vertical="center"/>
    </xf>
    <xf numFmtId="0" fontId="0" fillId="0" borderId="0" xfId="0" applyFont="1" applyAlignment="1">
      <alignment vertical="center"/>
    </xf>
    <xf numFmtId="0" fontId="0" fillId="0" borderId="4" xfId="0" applyFont="1" applyBorder="1" applyAlignment="1">
      <alignment vertical="center"/>
    </xf>
    <xf numFmtId="0" fontId="52" fillId="0" borderId="0" xfId="0" applyFont="1" applyFill="1" applyBorder="1" applyAlignment="1">
      <alignment horizontal="center" vertical="center"/>
    </xf>
    <xf numFmtId="0" fontId="52" fillId="0" borderId="4" xfId="0" applyFont="1" applyFill="1" applyBorder="1" applyAlignment="1">
      <alignment horizontal="left" vertical="center"/>
    </xf>
    <xf numFmtId="164" fontId="1" fillId="0" borderId="0" xfId="0" applyNumberFormat="1" applyFont="1" applyBorder="1" applyAlignment="1">
      <alignment vertical="center"/>
    </xf>
    <xf numFmtId="164" fontId="1" fillId="0" borderId="12" xfId="0" applyNumberFormat="1" applyFont="1" applyBorder="1" applyAlignment="1">
      <alignment vertical="center"/>
    </xf>
    <xf numFmtId="164" fontId="1" fillId="0" borderId="14" xfId="0" applyNumberFormat="1" applyFont="1" applyBorder="1" applyAlignment="1">
      <alignment vertical="center"/>
    </xf>
    <xf numFmtId="164" fontId="76" fillId="0" borderId="14" xfId="0" applyNumberFormat="1" applyFont="1" applyBorder="1" applyAlignment="1">
      <alignment horizontal="centerContinuous" vertical="center"/>
    </xf>
    <xf numFmtId="164" fontId="76" fillId="0" borderId="12" xfId="0" applyNumberFormat="1" applyFont="1" applyBorder="1" applyAlignment="1">
      <alignment horizontal="centerContinuous" vertical="center"/>
    </xf>
    <xf numFmtId="169" fontId="77" fillId="0" borderId="23" xfId="0" applyNumberFormat="1" applyFont="1" applyBorder="1" applyAlignment="1">
      <alignment horizontal="center" vertical="center"/>
    </xf>
    <xf numFmtId="169" fontId="1" fillId="0" borderId="45" xfId="0" applyNumberFormat="1" applyFont="1" applyBorder="1" applyAlignment="1">
      <alignment vertical="center"/>
    </xf>
    <xf numFmtId="169" fontId="77" fillId="0" borderId="24" xfId="0" applyNumberFormat="1" applyFont="1" applyBorder="1" applyAlignment="1">
      <alignment horizontal="center" vertical="center"/>
    </xf>
    <xf numFmtId="169" fontId="77" fillId="0" borderId="25" xfId="0" applyNumberFormat="1" applyFont="1" applyBorder="1" applyAlignment="1">
      <alignment horizontal="center" vertical="center"/>
    </xf>
    <xf numFmtId="0" fontId="11" fillId="0" borderId="0" xfId="0" applyFont="1" applyAlignment="1">
      <alignment/>
    </xf>
    <xf numFmtId="0" fontId="43" fillId="0" borderId="0" xfId="0" applyFont="1" applyAlignment="1">
      <alignment/>
    </xf>
    <xf numFmtId="0" fontId="16" fillId="7" borderId="6" xfId="0" applyFont="1" applyFill="1" applyBorder="1" applyAlignment="1">
      <alignment horizontal="left"/>
    </xf>
    <xf numFmtId="0" fontId="14" fillId="7" borderId="7" xfId="0" applyFont="1" applyFill="1" applyBorder="1" applyAlignment="1">
      <alignment/>
    </xf>
    <xf numFmtId="0" fontId="16" fillId="7" borderId="7" xfId="0" applyFont="1" applyFill="1" applyBorder="1" applyAlignment="1">
      <alignment horizontal="left"/>
    </xf>
    <xf numFmtId="0" fontId="16" fillId="7" borderId="8" xfId="0" applyFont="1" applyFill="1" applyBorder="1" applyAlignment="1">
      <alignment horizontal="left"/>
    </xf>
    <xf numFmtId="0" fontId="13" fillId="0" borderId="0" xfId="0" applyFont="1" applyAlignment="1">
      <alignment horizontal="center"/>
    </xf>
    <xf numFmtId="0" fontId="1" fillId="0" borderId="0" xfId="0" applyFont="1" applyFill="1" applyAlignment="1">
      <alignment/>
    </xf>
    <xf numFmtId="164" fontId="45" fillId="17" borderId="15" xfId="0" applyNumberFormat="1" applyFont="1" applyFill="1" applyBorder="1" applyAlignment="1" applyProtection="1">
      <alignment horizontal="center"/>
      <protection locked="0"/>
    </xf>
    <xf numFmtId="2" fontId="45" fillId="17" borderId="9" xfId="0" applyNumberFormat="1" applyFont="1" applyFill="1" applyBorder="1" applyAlignment="1" applyProtection="1">
      <alignment horizontal="center"/>
      <protection locked="0"/>
    </xf>
    <xf numFmtId="2" fontId="45" fillId="17" borderId="24" xfId="0" applyNumberFormat="1" applyFont="1" applyFill="1" applyBorder="1" applyAlignment="1" applyProtection="1">
      <alignment horizontal="center"/>
      <protection locked="0"/>
    </xf>
    <xf numFmtId="1" fontId="45" fillId="17" borderId="15" xfId="0" applyNumberFormat="1" applyFont="1" applyFill="1" applyBorder="1" applyAlignment="1" applyProtection="1">
      <alignment horizontal="center"/>
      <protection locked="0"/>
    </xf>
    <xf numFmtId="0" fontId="15" fillId="7" borderId="0" xfId="0" applyFont="1" applyFill="1" applyBorder="1" applyAlignment="1">
      <alignment/>
    </xf>
    <xf numFmtId="0" fontId="15" fillId="7" borderId="4" xfId="0" applyFont="1" applyFill="1" applyBorder="1" applyAlignment="1">
      <alignment/>
    </xf>
    <xf numFmtId="0" fontId="16" fillId="7" borderId="5" xfId="0" applyFont="1" applyFill="1" applyBorder="1" applyAlignment="1">
      <alignment/>
    </xf>
    <xf numFmtId="0" fontId="16" fillId="7" borderId="5" xfId="0" applyFont="1" applyFill="1" applyBorder="1" applyAlignment="1">
      <alignment horizontal="right"/>
    </xf>
    <xf numFmtId="0" fontId="16" fillId="7" borderId="4" xfId="0" applyFont="1" applyFill="1" applyBorder="1" applyAlignment="1">
      <alignment/>
    </xf>
    <xf numFmtId="0" fontId="16" fillId="7" borderId="0" xfId="0" applyFont="1" applyFill="1" applyBorder="1" applyAlignment="1">
      <alignment/>
    </xf>
    <xf numFmtId="0" fontId="16" fillId="7" borderId="6" xfId="0" applyFont="1" applyFill="1" applyBorder="1" applyAlignment="1">
      <alignment/>
    </xf>
    <xf numFmtId="0" fontId="16" fillId="7" borderId="9" xfId="0" applyFont="1" applyFill="1" applyBorder="1" applyAlignment="1">
      <alignment horizontal="center"/>
    </xf>
    <xf numFmtId="0" fontId="16" fillId="7" borderId="24" xfId="0" applyFont="1" applyFill="1" applyBorder="1" applyAlignment="1">
      <alignment horizontal="center"/>
    </xf>
    <xf numFmtId="0" fontId="52" fillId="7" borderId="4" xfId="0" applyFont="1" applyFill="1" applyBorder="1" applyAlignment="1">
      <alignment/>
    </xf>
    <xf numFmtId="0" fontId="14" fillId="7" borderId="0" xfId="0" applyFont="1" applyFill="1" applyBorder="1" applyAlignment="1">
      <alignment/>
    </xf>
    <xf numFmtId="0" fontId="16" fillId="7" borderId="0" xfId="0" applyFont="1" applyFill="1" applyBorder="1" applyAlignment="1">
      <alignment horizontal="right"/>
    </xf>
    <xf numFmtId="0" fontId="0" fillId="7" borderId="0" xfId="0" applyFill="1" applyBorder="1" applyAlignment="1">
      <alignment/>
    </xf>
    <xf numFmtId="0" fontId="13" fillId="7" borderId="5" xfId="0" applyFont="1" applyFill="1" applyBorder="1" applyAlignment="1">
      <alignment horizontal="right"/>
    </xf>
    <xf numFmtId="0" fontId="11" fillId="0" borderId="0" xfId="0" applyFont="1" applyAlignment="1">
      <alignment vertical="center"/>
    </xf>
    <xf numFmtId="0" fontId="80" fillId="0" borderId="4" xfId="0" applyFont="1" applyBorder="1" applyAlignment="1">
      <alignment horizontal="left"/>
    </xf>
    <xf numFmtId="0" fontId="23" fillId="4" borderId="0" xfId="0" applyFont="1" applyFill="1" applyAlignment="1">
      <alignment horizontal="left"/>
    </xf>
    <xf numFmtId="0" fontId="49" fillId="4" borderId="0" xfId="0" applyFont="1" applyFill="1" applyAlignment="1">
      <alignment horizontal="left"/>
    </xf>
    <xf numFmtId="0" fontId="21" fillId="4" borderId="0" xfId="0" applyFont="1" applyFill="1" applyAlignment="1">
      <alignment/>
    </xf>
    <xf numFmtId="0" fontId="21" fillId="0" borderId="0" xfId="0" applyFont="1" applyFill="1" applyAlignment="1">
      <alignment/>
    </xf>
    <xf numFmtId="0" fontId="81" fillId="0" borderId="3" xfId="0" applyFont="1" applyBorder="1" applyAlignment="1">
      <alignment horizontal="left" vertical="center"/>
    </xf>
    <xf numFmtId="0" fontId="81" fillId="0" borderId="5" xfId="0" applyFont="1" applyBorder="1" applyAlignment="1">
      <alignment horizontal="left" vertical="center"/>
    </xf>
    <xf numFmtId="0" fontId="80" fillId="10" borderId="6" xfId="0" applyFont="1" applyFill="1" applyBorder="1" applyAlignment="1">
      <alignment horizontal="left" vertical="center"/>
    </xf>
    <xf numFmtId="0" fontId="82" fillId="10" borderId="7" xfId="0" applyFont="1" applyFill="1" applyBorder="1" applyAlignment="1">
      <alignment horizontal="left" vertical="center"/>
    </xf>
    <xf numFmtId="0" fontId="80" fillId="10" borderId="7" xfId="0" applyFont="1" applyFill="1" applyBorder="1" applyAlignment="1">
      <alignment horizontal="left" vertical="center"/>
    </xf>
    <xf numFmtId="0" fontId="40" fillId="4" borderId="13" xfId="0" applyFont="1" applyFill="1" applyBorder="1" applyAlignment="1">
      <alignment horizontal="left"/>
    </xf>
    <xf numFmtId="0" fontId="83" fillId="4" borderId="11" xfId="0" applyFont="1" applyFill="1" applyBorder="1" applyAlignment="1">
      <alignment horizontal="right" vertical="center"/>
    </xf>
    <xf numFmtId="0" fontId="69" fillId="12" borderId="13" xfId="0" applyFont="1" applyFill="1" applyBorder="1" applyAlignment="1">
      <alignment/>
    </xf>
    <xf numFmtId="0" fontId="0" fillId="12" borderId="11" xfId="0" applyFill="1" applyBorder="1" applyAlignment="1">
      <alignment/>
    </xf>
    <xf numFmtId="0" fontId="52" fillId="12" borderId="6" xfId="0" applyFont="1" applyFill="1" applyBorder="1" applyAlignment="1">
      <alignment horizontal="center"/>
    </xf>
    <xf numFmtId="0" fontId="14" fillId="0" borderId="8" xfId="0" applyFont="1" applyBorder="1" applyAlignment="1" applyProtection="1">
      <alignment horizontal="center"/>
      <protection locked="0"/>
    </xf>
    <xf numFmtId="1" fontId="5" fillId="12" borderId="15" xfId="0" applyNumberFormat="1" applyFont="1" applyFill="1" applyBorder="1" applyAlignment="1">
      <alignment horizontal="center" vertical="center"/>
    </xf>
    <xf numFmtId="0" fontId="14" fillId="0" borderId="0" xfId="0" applyFont="1" applyFill="1" applyBorder="1" applyAlignment="1" applyProtection="1">
      <alignment horizontal="center"/>
      <protection locked="0"/>
    </xf>
    <xf numFmtId="0" fontId="14" fillId="0" borderId="0" xfId="0" applyFont="1" applyBorder="1" applyAlignment="1" applyProtection="1">
      <alignment horizontal="center"/>
      <protection locked="0"/>
    </xf>
    <xf numFmtId="0" fontId="52" fillId="12" borderId="4" xfId="0" applyFont="1" applyFill="1" applyBorder="1" applyAlignment="1">
      <alignment horizontal="center"/>
    </xf>
    <xf numFmtId="0" fontId="52" fillId="12" borderId="0" xfId="0" applyFont="1" applyFill="1" applyBorder="1" applyAlignment="1">
      <alignment horizontal="center"/>
    </xf>
    <xf numFmtId="0" fontId="52" fillId="12" borderId="5" xfId="0" applyFont="1" applyFill="1" applyBorder="1" applyAlignment="1">
      <alignment horizont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66" fillId="0" borderId="4" xfId="0" applyFont="1" applyBorder="1" applyAlignment="1">
      <alignment horizontal="left" vertical="center" wrapText="1"/>
    </xf>
    <xf numFmtId="0" fontId="66" fillId="0" borderId="0" xfId="0" applyFont="1" applyBorder="1" applyAlignment="1">
      <alignment horizontal="left" vertical="center" wrapText="1"/>
    </xf>
    <xf numFmtId="0" fontId="66" fillId="0" borderId="5" xfId="0" applyFont="1" applyBorder="1" applyAlignment="1">
      <alignment horizontal="left" vertical="center" wrapText="1"/>
    </xf>
    <xf numFmtId="0" fontId="49" fillId="18" borderId="0" xfId="0" applyFont="1" applyFill="1" applyAlignment="1">
      <alignment horizontal="center"/>
    </xf>
    <xf numFmtId="0" fontId="43" fillId="12" borderId="0" xfId="0" applyFont="1" applyFill="1" applyAlignment="1">
      <alignment horizontal="center"/>
    </xf>
    <xf numFmtId="0" fontId="5" fillId="12" borderId="13" xfId="0" applyFont="1" applyFill="1" applyBorder="1" applyAlignment="1">
      <alignment horizontal="center" vertical="center"/>
    </xf>
    <xf numFmtId="0" fontId="5" fillId="12" borderId="11" xfId="0" applyFont="1" applyFill="1" applyBorder="1" applyAlignment="1">
      <alignment horizontal="center" vertical="center"/>
    </xf>
    <xf numFmtId="0" fontId="52" fillId="10" borderId="4" xfId="0" applyFont="1" applyFill="1" applyBorder="1" applyAlignment="1">
      <alignment horizontal="center" vertical="center"/>
    </xf>
    <xf numFmtId="0" fontId="52" fillId="10" borderId="0" xfId="0" applyFont="1" applyFill="1" applyBorder="1" applyAlignment="1">
      <alignment horizontal="center" vertical="center"/>
    </xf>
    <xf numFmtId="0" fontId="52" fillId="10" borderId="5" xfId="0" applyFont="1" applyFill="1" applyBorder="1" applyAlignment="1">
      <alignment horizontal="center" vertical="center"/>
    </xf>
    <xf numFmtId="164" fontId="65" fillId="0" borderId="4" xfId="0" applyNumberFormat="1" applyFont="1" applyBorder="1" applyAlignment="1">
      <alignment horizontal="center" vertical="center"/>
    </xf>
    <xf numFmtId="164" fontId="65" fillId="0" borderId="0" xfId="0" applyNumberFormat="1" applyFont="1" applyBorder="1" applyAlignment="1">
      <alignment horizontal="center" vertical="center"/>
    </xf>
    <xf numFmtId="164" fontId="1" fillId="0" borderId="4"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11" fillId="12" borderId="13" xfId="0" applyFont="1" applyFill="1" applyBorder="1" applyAlignment="1">
      <alignment horizontal="center" vertical="center"/>
    </xf>
    <xf numFmtId="0" fontId="11" fillId="12" borderId="10" xfId="0" applyFont="1" applyFill="1" applyBorder="1" applyAlignment="1">
      <alignment horizontal="center" vertical="center"/>
    </xf>
    <xf numFmtId="0" fontId="11" fillId="12" borderId="11" xfId="0" applyFont="1" applyFill="1" applyBorder="1" applyAlignment="1">
      <alignment horizontal="center" vertical="center"/>
    </xf>
    <xf numFmtId="164" fontId="1" fillId="0" borderId="5" xfId="0" applyNumberFormat="1" applyFont="1" applyBorder="1" applyAlignment="1">
      <alignment horizontal="center" vertical="center"/>
    </xf>
    <xf numFmtId="0" fontId="1" fillId="7" borderId="13"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11" xfId="0" applyFont="1" applyFill="1" applyBorder="1" applyAlignment="1">
      <alignment horizontal="center" vertical="center"/>
    </xf>
    <xf numFmtId="2" fontId="1" fillId="7" borderId="1" xfId="0" applyNumberFormat="1" applyFont="1" applyFill="1" applyBorder="1" applyAlignment="1" quotePrefix="1">
      <alignment horizontal="center" vertical="center"/>
    </xf>
    <xf numFmtId="2" fontId="1" fillId="7" borderId="3" xfId="0" applyNumberFormat="1" applyFont="1" applyFill="1" applyBorder="1" applyAlignment="1" quotePrefix="1">
      <alignment horizontal="center" vertical="center"/>
    </xf>
    <xf numFmtId="0" fontId="13" fillId="10" borderId="1" xfId="0" applyFont="1" applyFill="1" applyBorder="1" applyAlignment="1">
      <alignment horizontal="center" vertical="center"/>
    </xf>
    <xf numFmtId="0" fontId="13" fillId="10" borderId="2" xfId="0" applyFont="1" applyFill="1" applyBorder="1" applyAlignment="1">
      <alignment horizontal="center" vertical="center"/>
    </xf>
    <xf numFmtId="0" fontId="13" fillId="10" borderId="3" xfId="0" applyFont="1" applyFill="1" applyBorder="1" applyAlignment="1">
      <alignment horizontal="center" vertical="center"/>
    </xf>
    <xf numFmtId="0" fontId="67" fillId="12" borderId="1" xfId="0" applyFont="1" applyFill="1" applyBorder="1" applyAlignment="1">
      <alignment horizontal="center" vertical="center"/>
    </xf>
    <xf numFmtId="0" fontId="67" fillId="12" borderId="2" xfId="0" applyFont="1" applyFill="1" applyBorder="1" applyAlignment="1">
      <alignment horizontal="center" vertical="center"/>
    </xf>
    <xf numFmtId="0" fontId="67" fillId="12" borderId="3" xfId="0" applyFont="1" applyFill="1" applyBorder="1" applyAlignment="1">
      <alignment horizontal="center" vertical="center"/>
    </xf>
    <xf numFmtId="0" fontId="52" fillId="12" borderId="7" xfId="0" applyFont="1" applyFill="1" applyBorder="1" applyAlignment="1">
      <alignment horizontal="center"/>
    </xf>
    <xf numFmtId="0" fontId="52" fillId="12" borderId="8" xfId="0" applyFont="1" applyFill="1" applyBorder="1" applyAlignment="1">
      <alignment horizontal="center"/>
    </xf>
    <xf numFmtId="0" fontId="42" fillId="6" borderId="13" xfId="0" applyFont="1" applyFill="1" applyBorder="1" applyAlignment="1">
      <alignment horizontal="center" vertical="center"/>
    </xf>
    <xf numFmtId="0" fontId="42" fillId="6" borderId="10" xfId="0" applyFont="1" applyFill="1" applyBorder="1" applyAlignment="1">
      <alignment horizontal="center" vertical="center"/>
    </xf>
    <xf numFmtId="0" fontId="42" fillId="6" borderId="11" xfId="0" applyFont="1" applyFill="1" applyBorder="1" applyAlignment="1">
      <alignment horizontal="center" vertical="center"/>
    </xf>
    <xf numFmtId="164" fontId="75" fillId="0" borderId="33" xfId="0" applyNumberFormat="1" applyFont="1" applyBorder="1" applyAlignment="1">
      <alignment horizontal="center" vertical="center"/>
    </xf>
    <xf numFmtId="164" fontId="75" fillId="0" borderId="47" xfId="0" applyNumberFormat="1" applyFont="1" applyBorder="1" applyAlignment="1">
      <alignment horizontal="center" vertical="center"/>
    </xf>
    <xf numFmtId="164" fontId="75" fillId="0" borderId="12" xfId="0" applyNumberFormat="1" applyFont="1" applyBorder="1" applyAlignment="1">
      <alignment horizontal="center" vertical="center"/>
    </xf>
    <xf numFmtId="164" fontId="75" fillId="0" borderId="14" xfId="0" applyNumberFormat="1" applyFont="1" applyBorder="1" applyAlignment="1">
      <alignment horizontal="center" vertical="center"/>
    </xf>
    <xf numFmtId="0" fontId="1" fillId="0" borderId="0" xfId="0" applyFont="1" applyBorder="1" applyAlignment="1">
      <alignment horizontal="center" vertical="center"/>
    </xf>
    <xf numFmtId="164" fontId="65" fillId="0" borderId="5" xfId="0" applyNumberFormat="1" applyFont="1" applyBorder="1" applyAlignment="1">
      <alignment horizontal="center" vertical="center"/>
    </xf>
    <xf numFmtId="0" fontId="16" fillId="7" borderId="2" xfId="0" applyFont="1" applyFill="1" applyBorder="1" applyAlignment="1">
      <alignment horizontal="center"/>
    </xf>
    <xf numFmtId="0" fontId="16" fillId="7" borderId="3" xfId="0" applyFont="1" applyFill="1" applyBorder="1" applyAlignment="1">
      <alignment horizontal="center"/>
    </xf>
    <xf numFmtId="0" fontId="45" fillId="6" borderId="13" xfId="0" applyFont="1" applyFill="1" applyBorder="1" applyAlignment="1">
      <alignment horizontal="center"/>
    </xf>
    <xf numFmtId="0" fontId="45" fillId="6" borderId="10" xfId="0" applyFont="1" applyFill="1" applyBorder="1" applyAlignment="1">
      <alignment horizontal="center"/>
    </xf>
    <xf numFmtId="0" fontId="45" fillId="6" borderId="11" xfId="0" applyFont="1" applyFill="1" applyBorder="1" applyAlignment="1">
      <alignment horizontal="center"/>
    </xf>
    <xf numFmtId="0" fontId="43" fillId="7" borderId="13" xfId="0" applyFont="1" applyFill="1" applyBorder="1" applyAlignment="1">
      <alignment horizontal="center"/>
    </xf>
    <xf numFmtId="0" fontId="43" fillId="7" borderId="10" xfId="0" applyFont="1" applyFill="1" applyBorder="1" applyAlignment="1">
      <alignment horizontal="center"/>
    </xf>
    <xf numFmtId="0" fontId="43" fillId="7" borderId="11" xfId="0" applyFont="1" applyFill="1" applyBorder="1" applyAlignment="1">
      <alignment horizontal="center"/>
    </xf>
    <xf numFmtId="0" fontId="11" fillId="12" borderId="6" xfId="0" applyFont="1" applyFill="1" applyBorder="1" applyAlignment="1">
      <alignment horizontal="center" vertical="center"/>
    </xf>
    <xf numFmtId="0" fontId="11" fillId="12" borderId="7" xfId="0" applyFont="1" applyFill="1" applyBorder="1" applyAlignment="1">
      <alignment horizontal="center" vertical="center"/>
    </xf>
    <xf numFmtId="0" fontId="11" fillId="12" borderId="8" xfId="0" applyFont="1" applyFill="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1" fillId="12" borderId="2" xfId="0" applyFont="1" applyFill="1" applyBorder="1" applyAlignment="1">
      <alignment horizontal="center"/>
    </xf>
    <xf numFmtId="0" fontId="40" fillId="17" borderId="13" xfId="0" applyFont="1" applyFill="1" applyBorder="1" applyAlignment="1" applyProtection="1">
      <alignment horizontal="center"/>
      <protection locked="0"/>
    </xf>
    <xf numFmtId="0" fontId="40" fillId="17" borderId="11" xfId="0" applyFont="1" applyFill="1" applyBorder="1" applyAlignment="1" applyProtection="1">
      <alignment horizontal="center"/>
      <protection locked="0"/>
    </xf>
    <xf numFmtId="0" fontId="69" fillId="7" borderId="13" xfId="0" applyFont="1" applyFill="1" applyBorder="1" applyAlignment="1">
      <alignment horizontal="center" vertical="center"/>
    </xf>
    <xf numFmtId="0" fontId="69" fillId="7" borderId="11" xfId="0" applyFont="1" applyFill="1" applyBorder="1" applyAlignment="1">
      <alignment horizontal="center" vertical="center"/>
    </xf>
    <xf numFmtId="164" fontId="75" fillId="0" borderId="35" xfId="0" applyNumberFormat="1" applyFont="1" applyBorder="1" applyAlignment="1">
      <alignment horizontal="center" vertical="center"/>
    </xf>
    <xf numFmtId="164" fontId="75" fillId="0" borderId="48" xfId="0" applyNumberFormat="1" applyFont="1" applyBorder="1" applyAlignment="1">
      <alignment horizontal="center" vertical="center"/>
    </xf>
    <xf numFmtId="2" fontId="16" fillId="7" borderId="7" xfId="0" applyNumberFormat="1" applyFont="1" applyFill="1" applyBorder="1" applyAlignment="1" applyProtection="1">
      <alignment horizontal="center"/>
      <protection locked="0"/>
    </xf>
    <xf numFmtId="2" fontId="16" fillId="7" borderId="8" xfId="0" applyNumberFormat="1" applyFont="1" applyFill="1" applyBorder="1" applyAlignment="1" applyProtection="1">
      <alignment horizontal="center"/>
      <protection locked="0"/>
    </xf>
    <xf numFmtId="0" fontId="0" fillId="0" borderId="0" xfId="0" applyBorder="1" applyAlignment="1">
      <alignment horizontal="center"/>
    </xf>
    <xf numFmtId="0" fontId="6" fillId="0" borderId="0" xfId="0" applyFont="1" applyBorder="1" applyAlignment="1">
      <alignment horizontal="center"/>
    </xf>
    <xf numFmtId="166" fontId="42" fillId="6" borderId="13" xfId="0" applyNumberFormat="1" applyFont="1" applyFill="1" applyBorder="1" applyAlignment="1">
      <alignment horizontal="center"/>
    </xf>
    <xf numFmtId="166" fontId="42" fillId="6" borderId="10" xfId="0" applyNumberFormat="1" applyFont="1" applyFill="1" applyBorder="1" applyAlignment="1">
      <alignment horizontal="center"/>
    </xf>
    <xf numFmtId="166" fontId="42" fillId="6" borderId="11" xfId="0" applyNumberFormat="1" applyFont="1" applyFill="1" applyBorder="1" applyAlignment="1">
      <alignment horizontal="center"/>
    </xf>
    <xf numFmtId="164" fontId="0" fillId="5" borderId="12" xfId="0" applyNumberFormat="1" applyFill="1" applyBorder="1" applyAlignment="1">
      <alignment horizontal="center"/>
    </xf>
    <xf numFmtId="0" fontId="0" fillId="0" borderId="14" xfId="0" applyBorder="1" applyAlignment="1">
      <alignment horizontal="center"/>
    </xf>
    <xf numFmtId="1" fontId="0" fillId="10" borderId="12" xfId="0" applyNumberFormat="1" applyFill="1" applyBorder="1" applyAlignment="1">
      <alignment horizontal="center"/>
    </xf>
    <xf numFmtId="0" fontId="0" fillId="10" borderId="14" xfId="0" applyFill="1" applyBorder="1" applyAlignment="1">
      <alignment horizontal="center"/>
    </xf>
    <xf numFmtId="0" fontId="46" fillId="16" borderId="0" xfId="0" applyFont="1" applyFill="1" applyAlignment="1">
      <alignment/>
    </xf>
    <xf numFmtId="0" fontId="46" fillId="16" borderId="13" xfId="0" applyFont="1" applyFill="1" applyBorder="1" applyAlignment="1">
      <alignment horizontal="center"/>
    </xf>
    <xf numFmtId="0" fontId="46" fillId="16" borderId="10" xfId="0" applyFont="1" applyFill="1" applyBorder="1" applyAlignment="1">
      <alignment horizontal="center"/>
    </xf>
    <xf numFmtId="0" fontId="46" fillId="16" borderId="11" xfId="0" applyFont="1" applyFill="1" applyBorder="1" applyAlignment="1">
      <alignment horizontal="center"/>
    </xf>
    <xf numFmtId="0" fontId="73" fillId="6" borderId="13" xfId="0" applyFont="1" applyFill="1" applyBorder="1" applyAlignment="1">
      <alignment horizontal="center"/>
    </xf>
    <xf numFmtId="0" fontId="73" fillId="6" borderId="10" xfId="0" applyFont="1" applyFill="1" applyBorder="1" applyAlignment="1">
      <alignment horizontal="center"/>
    </xf>
    <xf numFmtId="0" fontId="73" fillId="6" borderId="1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b/>
        <i val="0"/>
        <color rgb="FFFFFFFF"/>
      </font>
      <fill>
        <patternFill>
          <bgColor rgb="FF1FB714"/>
        </patternFill>
      </fill>
      <border/>
    </dxf>
    <dxf>
      <font>
        <color rgb="FFDD0806"/>
      </font>
      <fill>
        <patternFill>
          <bgColor rgb="FFFFFFFF"/>
        </patternFill>
      </fill>
      <border>
        <left style="thin">
          <color rgb="FF000000"/>
        </left>
        <right style="thin">
          <color rgb="FF000000"/>
        </right>
        <top style="thin"/>
        <bottom style="thin">
          <color rgb="FF000000"/>
        </bottom>
      </border>
    </dxf>
    <dxf>
      <font>
        <b/>
        <i val="0"/>
        <color rgb="FFDD0806"/>
      </font>
      <fill>
        <patternFill>
          <fgColor rgb="FFFFFFFF"/>
          <bgColor rgb="FFFFFFFF"/>
        </patternFill>
      </fill>
      <border/>
    </dxf>
    <dxf>
      <font>
        <b/>
        <i val="0"/>
        <color rgb="FFDD0806"/>
      </font>
      <fill>
        <patternFill>
          <bgColor rgb="FFFFFFFF"/>
        </patternFill>
      </fill>
      <border/>
    </dxf>
    <dxf>
      <font>
        <color rgb="FFFFFFFF"/>
      </font>
      <fill>
        <patternFill>
          <bgColor rgb="FFFFFFFF"/>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18</xdr:row>
      <xdr:rowOff>95250</xdr:rowOff>
    </xdr:from>
    <xdr:to>
      <xdr:col>11</xdr:col>
      <xdr:colOff>685800</xdr:colOff>
      <xdr:row>47</xdr:row>
      <xdr:rowOff>66675</xdr:rowOff>
    </xdr:to>
    <xdr:grpSp>
      <xdr:nvGrpSpPr>
        <xdr:cNvPr id="1" name="Group 301"/>
        <xdr:cNvGrpSpPr>
          <a:grpSpLocks/>
        </xdr:cNvGrpSpPr>
      </xdr:nvGrpSpPr>
      <xdr:grpSpPr>
        <a:xfrm>
          <a:off x="4057650" y="4057650"/>
          <a:ext cx="5600700" cy="4810125"/>
          <a:chOff x="374" y="428"/>
          <a:chExt cx="517" cy="505"/>
        </a:xfrm>
        <a:solidFill>
          <a:srgbClr val="FFFFFF"/>
        </a:solidFill>
      </xdr:grpSpPr>
      <xdr:grpSp>
        <xdr:nvGrpSpPr>
          <xdr:cNvPr id="2" name="Group 59"/>
          <xdr:cNvGrpSpPr>
            <a:grpSpLocks/>
          </xdr:cNvGrpSpPr>
        </xdr:nvGrpSpPr>
        <xdr:grpSpPr>
          <a:xfrm>
            <a:off x="374" y="445"/>
            <a:ext cx="431" cy="371"/>
            <a:chOff x="0" y="6071"/>
            <a:chExt cx="16545" cy="10852"/>
          </a:xfrm>
          <a:solidFill>
            <a:srgbClr val="FFFFFF"/>
          </a:solidFill>
        </xdr:grpSpPr>
        <xdr:sp>
          <xdr:nvSpPr>
            <xdr:cNvPr id="3" name="Line 60"/>
            <xdr:cNvSpPr>
              <a:spLocks/>
            </xdr:cNvSpPr>
          </xdr:nvSpPr>
          <xdr:spPr>
            <a:xfrm flipV="1">
              <a:off x="0" y="13722"/>
              <a:ext cx="16545"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 name="Line 61"/>
            <xdr:cNvSpPr>
              <a:spLocks/>
            </xdr:cNvSpPr>
          </xdr:nvSpPr>
          <xdr:spPr>
            <a:xfrm flipH="1">
              <a:off x="5092" y="11394"/>
              <a:ext cx="5017" cy="5529"/>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 name="Line 62"/>
            <xdr:cNvSpPr>
              <a:spLocks/>
            </xdr:cNvSpPr>
          </xdr:nvSpPr>
          <xdr:spPr>
            <a:xfrm flipV="1">
              <a:off x="8037" y="6071"/>
              <a:ext cx="0" cy="7651"/>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6" name="Oval 63"/>
          <xdr:cNvSpPr>
            <a:spLocks/>
          </xdr:cNvSpPr>
        </xdr:nvSpPr>
        <xdr:spPr>
          <a:xfrm>
            <a:off x="406" y="627"/>
            <a:ext cx="359" cy="171"/>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7" name="Group 64"/>
          <xdr:cNvGrpSpPr>
            <a:grpSpLocks/>
          </xdr:cNvGrpSpPr>
        </xdr:nvGrpSpPr>
        <xdr:grpSpPr>
          <a:xfrm>
            <a:off x="406" y="511"/>
            <a:ext cx="361" cy="197"/>
            <a:chOff x="1236" y="7983"/>
            <a:chExt cx="13855" cy="5780"/>
          </a:xfrm>
          <a:solidFill>
            <a:srgbClr val="FFFFFF"/>
          </a:solidFill>
        </xdr:grpSpPr>
        <xdr:sp>
          <xdr:nvSpPr>
            <xdr:cNvPr id="8" name="Arc 65"/>
            <xdr:cNvSpPr>
              <a:spLocks/>
            </xdr:cNvSpPr>
          </xdr:nvSpPr>
          <xdr:spPr>
            <a:xfrm flipH="1">
              <a:off x="1236" y="7983"/>
              <a:ext cx="6837" cy="578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 name="Arc 66"/>
            <xdr:cNvSpPr>
              <a:spLocks/>
            </xdr:cNvSpPr>
          </xdr:nvSpPr>
          <xdr:spPr>
            <a:xfrm>
              <a:off x="8035" y="7983"/>
              <a:ext cx="7056" cy="5698"/>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0" name="Group 67"/>
          <xdr:cNvGrpSpPr>
            <a:grpSpLocks/>
          </xdr:cNvGrpSpPr>
        </xdr:nvGrpSpPr>
        <xdr:grpSpPr>
          <a:xfrm>
            <a:off x="406" y="707"/>
            <a:ext cx="361" cy="226"/>
            <a:chOff x="1236" y="13721"/>
            <a:chExt cx="13855" cy="6196"/>
          </a:xfrm>
          <a:solidFill>
            <a:srgbClr val="FFFFFF"/>
          </a:solidFill>
        </xdr:grpSpPr>
        <xdr:sp>
          <xdr:nvSpPr>
            <xdr:cNvPr id="11" name="Arc 68"/>
            <xdr:cNvSpPr>
              <a:spLocks/>
            </xdr:cNvSpPr>
          </xdr:nvSpPr>
          <xdr:spPr>
            <a:xfrm flipH="1" flipV="1">
              <a:off x="1236" y="13721"/>
              <a:ext cx="6837" cy="619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 name="Arc 69"/>
            <xdr:cNvSpPr>
              <a:spLocks/>
            </xdr:cNvSpPr>
          </xdr:nvSpPr>
          <xdr:spPr>
            <a:xfrm flipV="1">
              <a:off x="8073" y="13721"/>
              <a:ext cx="7018" cy="619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3" name="Arc 70"/>
          <xdr:cNvSpPr>
            <a:spLocks/>
          </xdr:cNvSpPr>
        </xdr:nvSpPr>
        <xdr:spPr>
          <a:xfrm flipH="1">
            <a:off x="520" y="511"/>
            <a:ext cx="64" cy="278"/>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 name="Arc 71"/>
          <xdr:cNvSpPr>
            <a:spLocks/>
          </xdr:cNvSpPr>
        </xdr:nvSpPr>
        <xdr:spPr>
          <a:xfrm>
            <a:off x="582" y="511"/>
            <a:ext cx="128" cy="261"/>
          </a:xfrm>
          <a:prstGeom prst="arc">
            <a:avLst/>
          </a:prstGeom>
          <a:noFill/>
          <a:ln w="19050"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 name="Line 72"/>
          <xdr:cNvSpPr>
            <a:spLocks/>
          </xdr:cNvSpPr>
        </xdr:nvSpPr>
        <xdr:spPr>
          <a:xfrm flipV="1">
            <a:off x="584" y="640"/>
            <a:ext cx="108" cy="65"/>
          </a:xfrm>
          <a:prstGeom prst="line">
            <a:avLst/>
          </a:prstGeom>
          <a:solidFill>
            <a:srgbClr val="FFFFFF"/>
          </a:solidFill>
          <a:ln w="19050"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 name="Arc 76"/>
          <xdr:cNvSpPr>
            <a:spLocks/>
          </xdr:cNvSpPr>
        </xdr:nvSpPr>
        <xdr:spPr>
          <a:xfrm>
            <a:off x="586" y="511"/>
            <a:ext cx="87" cy="278"/>
          </a:xfrm>
          <a:prstGeom prst="arc">
            <a:avLst/>
          </a:prstGeom>
          <a:noFill/>
          <a:ln w="19050" cmpd="sng">
            <a:solidFill>
              <a:srgbClr val="F309ED"/>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 name="Line 77"/>
          <xdr:cNvSpPr>
            <a:spLocks/>
          </xdr:cNvSpPr>
        </xdr:nvSpPr>
        <xdr:spPr>
          <a:xfrm flipV="1">
            <a:off x="583" y="448"/>
            <a:ext cx="129" cy="259"/>
          </a:xfrm>
          <a:prstGeom prst="line">
            <a:avLst/>
          </a:prstGeom>
          <a:solidFill>
            <a:srgbClr val="FFFFFF"/>
          </a:solidFill>
          <a:ln w="19050" cmpd="sng">
            <a:solidFill>
              <a:srgbClr val="F309ED"/>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 name="Line 78"/>
          <xdr:cNvSpPr>
            <a:spLocks/>
          </xdr:cNvSpPr>
        </xdr:nvSpPr>
        <xdr:spPr>
          <a:xfrm>
            <a:off x="584" y="705"/>
            <a:ext cx="89" cy="83"/>
          </a:xfrm>
          <a:prstGeom prst="line">
            <a:avLst/>
          </a:prstGeom>
          <a:solidFill>
            <a:srgbClr val="FFFFFF"/>
          </a:solidFill>
          <a:ln w="19050" cmpd="sng">
            <a:solidFill>
              <a:srgbClr val="F309ED"/>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 name="Line 79"/>
          <xdr:cNvSpPr>
            <a:spLocks/>
          </xdr:cNvSpPr>
        </xdr:nvSpPr>
        <xdr:spPr>
          <a:xfrm flipV="1">
            <a:off x="693" y="446"/>
            <a:ext cx="18" cy="19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 name="Line 82"/>
          <xdr:cNvSpPr>
            <a:spLocks/>
          </xdr:cNvSpPr>
        </xdr:nvSpPr>
        <xdr:spPr>
          <a:xfrm flipH="1">
            <a:off x="646" y="442"/>
            <a:ext cx="67" cy="185"/>
          </a:xfrm>
          <a:prstGeom prst="line">
            <a:avLst/>
          </a:prstGeom>
          <a:solidFill>
            <a:srgbClr val="FFFFFF"/>
          </a:solidFill>
          <a:ln w="19050" cmpd="sng">
            <a:solidFill>
              <a:srgbClr val="00009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 name="Line 83"/>
          <xdr:cNvSpPr>
            <a:spLocks/>
          </xdr:cNvSpPr>
        </xdr:nvSpPr>
        <xdr:spPr>
          <a:xfrm>
            <a:off x="713" y="448"/>
            <a:ext cx="36" cy="205"/>
          </a:xfrm>
          <a:prstGeom prst="line">
            <a:avLst/>
          </a:prstGeom>
          <a:solidFill>
            <a:srgbClr val="FFFFFF"/>
          </a:solidFill>
          <a:ln w="19050" cmpd="sng">
            <a:solidFill>
              <a:srgbClr val="00009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 name="Line 84"/>
          <xdr:cNvSpPr>
            <a:spLocks/>
          </xdr:cNvSpPr>
        </xdr:nvSpPr>
        <xdr:spPr>
          <a:xfrm flipH="1">
            <a:off x="699" y="446"/>
            <a:ext cx="14" cy="261"/>
          </a:xfrm>
          <a:prstGeom prst="line">
            <a:avLst/>
          </a:prstGeom>
          <a:solidFill>
            <a:srgbClr val="FFFFFF"/>
          </a:solidFill>
          <a:ln w="12700" cmpd="sng">
            <a:solidFill>
              <a:srgbClr val="00009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 name="Line 85"/>
          <xdr:cNvSpPr>
            <a:spLocks/>
          </xdr:cNvSpPr>
        </xdr:nvSpPr>
        <xdr:spPr>
          <a:xfrm flipH="1">
            <a:off x="690" y="448"/>
            <a:ext cx="23" cy="146"/>
          </a:xfrm>
          <a:prstGeom prst="line">
            <a:avLst/>
          </a:prstGeom>
          <a:solidFill>
            <a:srgbClr val="FFFFFF"/>
          </a:solidFill>
          <a:ln w="19050" cmpd="sng">
            <a:solidFill>
              <a:srgbClr val="00009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 name="Line 86"/>
          <xdr:cNvSpPr>
            <a:spLocks/>
          </xdr:cNvSpPr>
        </xdr:nvSpPr>
        <xdr:spPr>
          <a:xfrm flipV="1">
            <a:off x="698" y="656"/>
            <a:ext cx="54" cy="54"/>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 name="Line 87"/>
          <xdr:cNvSpPr>
            <a:spLocks/>
          </xdr:cNvSpPr>
        </xdr:nvSpPr>
        <xdr:spPr>
          <a:xfrm flipH="1" flipV="1">
            <a:off x="690" y="593"/>
            <a:ext cx="60" cy="61"/>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 name="Line 88"/>
          <xdr:cNvSpPr>
            <a:spLocks/>
          </xdr:cNvSpPr>
        </xdr:nvSpPr>
        <xdr:spPr>
          <a:xfrm>
            <a:off x="646" y="627"/>
            <a:ext cx="50" cy="81"/>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 name="Line 89"/>
          <xdr:cNvSpPr>
            <a:spLocks/>
          </xdr:cNvSpPr>
        </xdr:nvSpPr>
        <xdr:spPr>
          <a:xfrm flipH="1">
            <a:off x="646" y="593"/>
            <a:ext cx="44" cy="33"/>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28" name="Group 98"/>
          <xdr:cNvGrpSpPr>
            <a:grpSpLocks/>
          </xdr:cNvGrpSpPr>
        </xdr:nvGrpSpPr>
        <xdr:grpSpPr>
          <a:xfrm rot="1511241">
            <a:off x="689" y="428"/>
            <a:ext cx="49" cy="26"/>
            <a:chOff x="12109" y="5572"/>
            <a:chExt cx="1891" cy="748"/>
          </a:xfrm>
          <a:solidFill>
            <a:srgbClr val="FFFFFF"/>
          </a:solidFill>
        </xdr:grpSpPr>
        <xdr:sp>
          <xdr:nvSpPr>
            <xdr:cNvPr id="29" name="Line 99"/>
            <xdr:cNvSpPr>
              <a:spLocks/>
            </xdr:cNvSpPr>
          </xdr:nvSpPr>
          <xdr:spPr>
            <a:xfrm flipH="1">
              <a:off x="12109" y="5572"/>
              <a:ext cx="0" cy="74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 name="Arc 100"/>
            <xdr:cNvSpPr>
              <a:spLocks/>
            </xdr:cNvSpPr>
          </xdr:nvSpPr>
          <xdr:spPr>
            <a:xfrm>
              <a:off x="13418" y="5821"/>
              <a:ext cx="291" cy="20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 name="Line 101"/>
            <xdr:cNvSpPr>
              <a:spLocks/>
            </xdr:cNvSpPr>
          </xdr:nvSpPr>
          <xdr:spPr>
            <a:xfrm>
              <a:off x="12255" y="5572"/>
              <a:ext cx="218" cy="24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 name="Line 102"/>
            <xdr:cNvSpPr>
              <a:spLocks/>
            </xdr:cNvSpPr>
          </xdr:nvSpPr>
          <xdr:spPr>
            <a:xfrm flipH="1" flipV="1">
              <a:off x="13709" y="6029"/>
              <a:ext cx="146" cy="4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Rectangle 103"/>
            <xdr:cNvSpPr>
              <a:spLocks/>
            </xdr:cNvSpPr>
          </xdr:nvSpPr>
          <xdr:spPr>
            <a:xfrm>
              <a:off x="12145" y="6071"/>
              <a:ext cx="946" cy="8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 name="Line 104"/>
            <xdr:cNvSpPr>
              <a:spLocks/>
            </xdr:cNvSpPr>
          </xdr:nvSpPr>
          <xdr:spPr>
            <a:xfrm>
              <a:off x="12109" y="6320"/>
              <a:ext cx="178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 name="Rectangle 105"/>
            <xdr:cNvSpPr>
              <a:spLocks/>
            </xdr:cNvSpPr>
          </xdr:nvSpPr>
          <xdr:spPr>
            <a:xfrm>
              <a:off x="13527" y="5863"/>
              <a:ext cx="73" cy="166"/>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Line 106"/>
            <xdr:cNvSpPr>
              <a:spLocks/>
            </xdr:cNvSpPr>
          </xdr:nvSpPr>
          <xdr:spPr>
            <a:xfrm>
              <a:off x="12109" y="5572"/>
              <a:ext cx="1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 name="Line 107"/>
            <xdr:cNvSpPr>
              <a:spLocks/>
            </xdr:cNvSpPr>
          </xdr:nvSpPr>
          <xdr:spPr>
            <a:xfrm>
              <a:off x="12473" y="5821"/>
              <a:ext cx="101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 name="Arc 108"/>
            <xdr:cNvSpPr>
              <a:spLocks/>
            </xdr:cNvSpPr>
          </xdr:nvSpPr>
          <xdr:spPr>
            <a:xfrm>
              <a:off x="13818" y="6071"/>
              <a:ext cx="182" cy="12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Arc 109"/>
            <xdr:cNvSpPr>
              <a:spLocks/>
            </xdr:cNvSpPr>
          </xdr:nvSpPr>
          <xdr:spPr>
            <a:xfrm flipV="1">
              <a:off x="13855" y="6196"/>
              <a:ext cx="145" cy="124"/>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 name="Line 110"/>
            <xdr:cNvSpPr>
              <a:spLocks/>
            </xdr:cNvSpPr>
          </xdr:nvSpPr>
          <xdr:spPr>
            <a:xfrm>
              <a:off x="12509" y="5821"/>
              <a:ext cx="0" cy="1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 name="Line 111"/>
            <xdr:cNvSpPr>
              <a:spLocks/>
            </xdr:cNvSpPr>
          </xdr:nvSpPr>
          <xdr:spPr>
            <a:xfrm>
              <a:off x="13345" y="5821"/>
              <a:ext cx="0" cy="1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Line 112"/>
            <xdr:cNvSpPr>
              <a:spLocks/>
            </xdr:cNvSpPr>
          </xdr:nvSpPr>
          <xdr:spPr>
            <a:xfrm>
              <a:off x="12509" y="5988"/>
              <a:ext cx="8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3" name="Oval 113"/>
          <xdr:cNvSpPr>
            <a:spLocks/>
          </xdr:cNvSpPr>
        </xdr:nvSpPr>
        <xdr:spPr>
          <a:xfrm>
            <a:off x="641" y="575"/>
            <a:ext cx="7" cy="9"/>
          </a:xfrm>
          <a:prstGeom prst="ellipse">
            <a:avLst/>
          </a:prstGeom>
          <a:solidFill>
            <a:srgbClr val="F309ED"/>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 name="Oval 114"/>
          <xdr:cNvSpPr>
            <a:spLocks/>
          </xdr:cNvSpPr>
        </xdr:nvSpPr>
        <xdr:spPr>
          <a:xfrm>
            <a:off x="689" y="633"/>
            <a:ext cx="8" cy="10"/>
          </a:xfrm>
          <a:prstGeom prst="ellipse">
            <a:avLst/>
          </a:prstGeom>
          <a:solidFill>
            <a:srgbClr val="69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 name="Line 115"/>
          <xdr:cNvSpPr>
            <a:spLocks/>
          </xdr:cNvSpPr>
        </xdr:nvSpPr>
        <xdr:spPr>
          <a:xfrm>
            <a:off x="648" y="583"/>
            <a:ext cx="80" cy="95"/>
          </a:xfrm>
          <a:prstGeom prst="line">
            <a:avLst/>
          </a:prstGeom>
          <a:noFill/>
          <a:ln w="38100" cmpd="sng">
            <a:solidFill>
              <a:srgbClr val="1FB714"/>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46" name="Line 116"/>
          <xdr:cNvSpPr>
            <a:spLocks/>
          </xdr:cNvSpPr>
        </xdr:nvSpPr>
        <xdr:spPr>
          <a:xfrm flipH="1">
            <a:off x="610" y="640"/>
            <a:ext cx="81" cy="115"/>
          </a:xfrm>
          <a:prstGeom prst="line">
            <a:avLst/>
          </a:prstGeom>
          <a:noFill/>
          <a:ln w="19050" cmpd="sng">
            <a:solidFill>
              <a:srgbClr val="000000"/>
            </a:solidFill>
            <a:headEnd type="stealth"/>
            <a:tailEnd type="none"/>
          </a:ln>
        </xdr:spPr>
        <xdr:txBody>
          <a:bodyPr vertOverflow="clip" wrap="square"/>
          <a:p>
            <a:pPr algn="l">
              <a:defRPr/>
            </a:pPr>
            <a:r>
              <a:rPr lang="en-US" cap="none" u="none" baseline="0">
                <a:latin typeface="Geneva"/>
                <a:ea typeface="Geneva"/>
                <a:cs typeface="Geneva"/>
              </a:rPr>
              <a:t/>
            </a:r>
          </a:p>
        </xdr:txBody>
      </xdr:sp>
      <xdr:sp>
        <xdr:nvSpPr>
          <xdr:cNvPr id="47" name="TextBox 117"/>
          <xdr:cNvSpPr txBox="1">
            <a:spLocks noChangeArrowheads="1"/>
          </xdr:cNvSpPr>
        </xdr:nvSpPr>
        <xdr:spPr>
          <a:xfrm>
            <a:off x="769" y="779"/>
            <a:ext cx="122" cy="32"/>
          </a:xfrm>
          <a:prstGeom prst="rect">
            <a:avLst/>
          </a:prstGeom>
          <a:noFill/>
          <a:ln w="19050" cmpd="sng">
            <a:solidFill>
              <a:srgbClr val="DD0806"/>
            </a:solidFill>
            <a:headEnd type="none"/>
            <a:tailEnd type="none"/>
          </a:ln>
        </xdr:spPr>
        <xdr:txBody>
          <a:bodyPr vertOverflow="clip" wrap="square"/>
          <a:p>
            <a:pPr algn="l">
              <a:defRPr/>
            </a:pPr>
            <a:r>
              <a:rPr lang="en-US" cap="none" sz="1200" b="1" i="0" u="none" baseline="0">
                <a:latin typeface="Geneva"/>
                <a:ea typeface="Geneva"/>
                <a:cs typeface="Geneva"/>
              </a:rPr>
              <a:t>Top of Photo</a:t>
            </a:r>
          </a:p>
        </xdr:txBody>
      </xdr:sp>
      <xdr:sp>
        <xdr:nvSpPr>
          <xdr:cNvPr id="48" name="Line 118"/>
          <xdr:cNvSpPr>
            <a:spLocks/>
          </xdr:cNvSpPr>
        </xdr:nvSpPr>
        <xdr:spPr>
          <a:xfrm>
            <a:off x="709" y="698"/>
            <a:ext cx="79" cy="81"/>
          </a:xfrm>
          <a:prstGeom prst="line">
            <a:avLst/>
          </a:prstGeom>
          <a:noFill/>
          <a:ln w="19050" cmpd="sng">
            <a:solidFill>
              <a:srgbClr val="993366"/>
            </a:solidFill>
            <a:headEnd type="stealth"/>
            <a:tailEnd type="none"/>
          </a:ln>
        </xdr:spPr>
        <xdr:txBody>
          <a:bodyPr vertOverflow="clip" wrap="square"/>
          <a:p>
            <a:pPr algn="l">
              <a:defRPr/>
            </a:pPr>
            <a:r>
              <a:rPr lang="en-US" cap="none" u="none" baseline="0">
                <a:latin typeface="Geneva"/>
                <a:ea typeface="Geneva"/>
                <a:cs typeface="Geneva"/>
              </a:rPr>
              <a:t/>
            </a:r>
          </a:p>
        </xdr:txBody>
      </xdr:sp>
      <xdr:sp>
        <xdr:nvSpPr>
          <xdr:cNvPr id="49" name="Line 119"/>
          <xdr:cNvSpPr>
            <a:spLocks/>
          </xdr:cNvSpPr>
        </xdr:nvSpPr>
        <xdr:spPr>
          <a:xfrm>
            <a:off x="728" y="683"/>
            <a:ext cx="90" cy="92"/>
          </a:xfrm>
          <a:prstGeom prst="line">
            <a:avLst/>
          </a:prstGeom>
          <a:noFill/>
          <a:ln w="19050" cmpd="sng">
            <a:solidFill>
              <a:srgbClr val="993366"/>
            </a:solidFill>
            <a:headEnd type="stealth"/>
            <a:tailEnd type="none"/>
          </a:ln>
        </xdr:spPr>
        <xdr:txBody>
          <a:bodyPr vertOverflow="clip" wrap="square"/>
          <a:p>
            <a:pPr algn="l">
              <a:defRPr/>
            </a:pPr>
            <a:r>
              <a:rPr lang="en-US" cap="none" u="none" baseline="0">
                <a:latin typeface="Geneva"/>
                <a:ea typeface="Geneva"/>
                <a:cs typeface="Geneva"/>
              </a:rPr>
              <a:t/>
            </a:r>
          </a:p>
        </xdr:txBody>
      </xdr:sp>
      <xdr:sp>
        <xdr:nvSpPr>
          <xdr:cNvPr id="50" name="Line 120"/>
          <xdr:cNvSpPr>
            <a:spLocks/>
          </xdr:cNvSpPr>
        </xdr:nvSpPr>
        <xdr:spPr>
          <a:xfrm>
            <a:off x="745" y="664"/>
            <a:ext cx="107" cy="111"/>
          </a:xfrm>
          <a:prstGeom prst="line">
            <a:avLst/>
          </a:prstGeom>
          <a:noFill/>
          <a:ln w="19050" cmpd="sng">
            <a:solidFill>
              <a:srgbClr val="993366"/>
            </a:solidFill>
            <a:headEnd type="stealth"/>
            <a:tailEnd type="none"/>
          </a:ln>
        </xdr:spPr>
        <xdr:txBody>
          <a:bodyPr vertOverflow="clip" wrap="square"/>
          <a:p>
            <a:pPr algn="l">
              <a:defRPr/>
            </a:pPr>
            <a:r>
              <a:rPr lang="en-US" cap="none" u="none" baseline="0">
                <a:latin typeface="Geneva"/>
                <a:ea typeface="Geneva"/>
                <a:cs typeface="Geneva"/>
              </a:rPr>
              <a:t/>
            </a:r>
          </a:p>
        </xdr:txBody>
      </xdr:sp>
      <xdr:sp>
        <xdr:nvSpPr>
          <xdr:cNvPr id="51" name="Line 122"/>
          <xdr:cNvSpPr>
            <a:spLocks/>
          </xdr:cNvSpPr>
        </xdr:nvSpPr>
        <xdr:spPr>
          <a:xfrm flipH="1">
            <a:off x="714" y="603"/>
            <a:ext cx="35" cy="14"/>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64</xdr:row>
      <xdr:rowOff>85725</xdr:rowOff>
    </xdr:from>
    <xdr:to>
      <xdr:col>2</xdr:col>
      <xdr:colOff>295275</xdr:colOff>
      <xdr:row>68</xdr:row>
      <xdr:rowOff>95250</xdr:rowOff>
    </xdr:to>
    <xdr:grpSp>
      <xdr:nvGrpSpPr>
        <xdr:cNvPr id="1" name="Group 100"/>
        <xdr:cNvGrpSpPr>
          <a:grpSpLocks/>
        </xdr:cNvGrpSpPr>
      </xdr:nvGrpSpPr>
      <xdr:grpSpPr>
        <a:xfrm>
          <a:off x="1143000" y="11420475"/>
          <a:ext cx="142875" cy="657225"/>
          <a:chOff x="-63" y="-2308"/>
          <a:chExt cx="13" cy="20385"/>
        </a:xfrm>
        <a:solidFill>
          <a:srgbClr val="FFFFFF"/>
        </a:solidFill>
      </xdr:grpSpPr>
      <xdr:sp>
        <xdr:nvSpPr>
          <xdr:cNvPr id="2" name="Line 101"/>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 name="Line 102"/>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 name="Line 103"/>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64</xdr:row>
      <xdr:rowOff>85725</xdr:rowOff>
    </xdr:from>
    <xdr:to>
      <xdr:col>3</xdr:col>
      <xdr:colOff>19050</xdr:colOff>
      <xdr:row>68</xdr:row>
      <xdr:rowOff>66675</xdr:rowOff>
    </xdr:to>
    <xdr:grpSp>
      <xdr:nvGrpSpPr>
        <xdr:cNvPr id="5" name="Group 104"/>
        <xdr:cNvGrpSpPr>
          <a:grpSpLocks/>
        </xdr:cNvGrpSpPr>
      </xdr:nvGrpSpPr>
      <xdr:grpSpPr>
        <a:xfrm>
          <a:off x="1819275" y="11420475"/>
          <a:ext cx="209550" cy="628650"/>
          <a:chOff x="-3200" y="-2308"/>
          <a:chExt cx="4800" cy="19231"/>
        </a:xfrm>
        <a:solidFill>
          <a:srgbClr val="FFFFFF"/>
        </a:solidFill>
      </xdr:grpSpPr>
      <xdr:sp>
        <xdr:nvSpPr>
          <xdr:cNvPr id="6" name="Line 105"/>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 name="Line 106"/>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 name="Line 107"/>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1095375</xdr:colOff>
      <xdr:row>64</xdr:row>
      <xdr:rowOff>104775</xdr:rowOff>
    </xdr:from>
    <xdr:to>
      <xdr:col>7</xdr:col>
      <xdr:colOff>314325</xdr:colOff>
      <xdr:row>68</xdr:row>
      <xdr:rowOff>104775</xdr:rowOff>
    </xdr:to>
    <xdr:grpSp>
      <xdr:nvGrpSpPr>
        <xdr:cNvPr id="9" name="Group 108"/>
        <xdr:cNvGrpSpPr>
          <a:grpSpLocks/>
        </xdr:cNvGrpSpPr>
      </xdr:nvGrpSpPr>
      <xdr:grpSpPr>
        <a:xfrm>
          <a:off x="6381750" y="11439525"/>
          <a:ext cx="381000" cy="647700"/>
          <a:chOff x="-952" y="-2308"/>
          <a:chExt cx="2619" cy="20000"/>
        </a:xfrm>
        <a:solidFill>
          <a:srgbClr val="FFFFFF"/>
        </a:solidFill>
      </xdr:grpSpPr>
      <xdr:sp>
        <xdr:nvSpPr>
          <xdr:cNvPr id="10" name="Line 109"/>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 name="Line 110"/>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 name="Line 111"/>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64</xdr:row>
      <xdr:rowOff>95250</xdr:rowOff>
    </xdr:from>
    <xdr:to>
      <xdr:col>6</xdr:col>
      <xdr:colOff>47625</xdr:colOff>
      <xdr:row>68</xdr:row>
      <xdr:rowOff>114300</xdr:rowOff>
    </xdr:to>
    <xdr:grpSp>
      <xdr:nvGrpSpPr>
        <xdr:cNvPr id="13" name="Group 112"/>
        <xdr:cNvGrpSpPr>
          <a:grpSpLocks/>
        </xdr:cNvGrpSpPr>
      </xdr:nvGrpSpPr>
      <xdr:grpSpPr>
        <a:xfrm>
          <a:off x="5286375" y="11430000"/>
          <a:ext cx="47625" cy="666750"/>
          <a:chOff x="0" y="-1923"/>
          <a:chExt cx="1633" cy="20385"/>
        </a:xfrm>
        <a:solidFill>
          <a:srgbClr val="FFFFFF"/>
        </a:solidFill>
      </xdr:grpSpPr>
      <xdr:sp>
        <xdr:nvSpPr>
          <xdr:cNvPr id="14" name="Line 113"/>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 name="Line 114"/>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 name="Line 115"/>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64</xdr:row>
      <xdr:rowOff>66675</xdr:rowOff>
    </xdr:from>
    <xdr:to>
      <xdr:col>9</xdr:col>
      <xdr:colOff>47625</xdr:colOff>
      <xdr:row>68</xdr:row>
      <xdr:rowOff>66675</xdr:rowOff>
    </xdr:to>
    <xdr:grpSp>
      <xdr:nvGrpSpPr>
        <xdr:cNvPr id="17" name="Group 116"/>
        <xdr:cNvGrpSpPr>
          <a:grpSpLocks/>
        </xdr:cNvGrpSpPr>
      </xdr:nvGrpSpPr>
      <xdr:grpSpPr>
        <a:xfrm>
          <a:off x="8172450" y="11401425"/>
          <a:ext cx="295275" cy="647700"/>
          <a:chOff x="-2553" y="-3077"/>
          <a:chExt cx="4255" cy="20000"/>
        </a:xfrm>
        <a:solidFill>
          <a:srgbClr val="FFFFFF"/>
        </a:solidFill>
      </xdr:grpSpPr>
      <xdr:sp>
        <xdr:nvSpPr>
          <xdr:cNvPr id="18" name="Line 117"/>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 name="Line 118"/>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 name="Line 119"/>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64</xdr:row>
      <xdr:rowOff>47625</xdr:rowOff>
    </xdr:from>
    <xdr:to>
      <xdr:col>10</xdr:col>
      <xdr:colOff>228600</xdr:colOff>
      <xdr:row>68</xdr:row>
      <xdr:rowOff>66675</xdr:rowOff>
    </xdr:to>
    <xdr:grpSp>
      <xdr:nvGrpSpPr>
        <xdr:cNvPr id="21" name="Group 120"/>
        <xdr:cNvGrpSpPr>
          <a:grpSpLocks/>
        </xdr:cNvGrpSpPr>
      </xdr:nvGrpSpPr>
      <xdr:grpSpPr>
        <a:xfrm>
          <a:off x="9686925" y="11382375"/>
          <a:ext cx="95250" cy="666750"/>
          <a:chOff x="-65" y="-3462"/>
          <a:chExt cx="10" cy="20385"/>
        </a:xfrm>
        <a:solidFill>
          <a:srgbClr val="FFFFFF"/>
        </a:solidFill>
      </xdr:grpSpPr>
      <xdr:sp>
        <xdr:nvSpPr>
          <xdr:cNvPr id="22" name="Line 121"/>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 name="Line 122"/>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 name="Line 123"/>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64</xdr:row>
      <xdr:rowOff>66675</xdr:rowOff>
    </xdr:from>
    <xdr:to>
      <xdr:col>8</xdr:col>
      <xdr:colOff>219075</xdr:colOff>
      <xdr:row>68</xdr:row>
      <xdr:rowOff>76200</xdr:rowOff>
    </xdr:to>
    <xdr:grpSp>
      <xdr:nvGrpSpPr>
        <xdr:cNvPr id="25" name="Group 124"/>
        <xdr:cNvGrpSpPr>
          <a:grpSpLocks/>
        </xdr:cNvGrpSpPr>
      </xdr:nvGrpSpPr>
      <xdr:grpSpPr>
        <a:xfrm>
          <a:off x="7534275" y="11401425"/>
          <a:ext cx="47625" cy="657225"/>
          <a:chOff x="-60" y="-3077"/>
          <a:chExt cx="4" cy="20385"/>
        </a:xfrm>
        <a:solidFill>
          <a:srgbClr val="FFFFFF"/>
        </a:solidFill>
      </xdr:grpSpPr>
      <xdr:sp>
        <xdr:nvSpPr>
          <xdr:cNvPr id="26" name="Line 125"/>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 name="Line 126"/>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Line 127"/>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64</xdr:row>
      <xdr:rowOff>66675</xdr:rowOff>
    </xdr:from>
    <xdr:to>
      <xdr:col>1</xdr:col>
      <xdr:colOff>66675</xdr:colOff>
      <xdr:row>68</xdr:row>
      <xdr:rowOff>66675</xdr:rowOff>
    </xdr:to>
    <xdr:grpSp>
      <xdr:nvGrpSpPr>
        <xdr:cNvPr id="29" name="Group 128"/>
        <xdr:cNvGrpSpPr>
          <a:grpSpLocks/>
        </xdr:cNvGrpSpPr>
      </xdr:nvGrpSpPr>
      <xdr:grpSpPr>
        <a:xfrm>
          <a:off x="266700" y="11401425"/>
          <a:ext cx="123825" cy="647700"/>
          <a:chOff x="-1639" y="-3077"/>
          <a:chExt cx="3607" cy="20000"/>
        </a:xfrm>
        <a:solidFill>
          <a:srgbClr val="FFFFFF"/>
        </a:solidFill>
      </xdr:grpSpPr>
      <xdr:sp>
        <xdr:nvSpPr>
          <xdr:cNvPr id="30" name="Line 129"/>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 name="Line 130"/>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 name="Line 131"/>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144</xdr:row>
      <xdr:rowOff>85725</xdr:rowOff>
    </xdr:from>
    <xdr:to>
      <xdr:col>2</xdr:col>
      <xdr:colOff>295275</xdr:colOff>
      <xdr:row>148</xdr:row>
      <xdr:rowOff>95250</xdr:rowOff>
    </xdr:to>
    <xdr:grpSp>
      <xdr:nvGrpSpPr>
        <xdr:cNvPr id="33" name="Group 132"/>
        <xdr:cNvGrpSpPr>
          <a:grpSpLocks/>
        </xdr:cNvGrpSpPr>
      </xdr:nvGrpSpPr>
      <xdr:grpSpPr>
        <a:xfrm>
          <a:off x="1143000" y="24593550"/>
          <a:ext cx="142875" cy="657225"/>
          <a:chOff x="-63" y="-2308"/>
          <a:chExt cx="13" cy="20385"/>
        </a:xfrm>
        <a:solidFill>
          <a:srgbClr val="FFFFFF"/>
        </a:solidFill>
      </xdr:grpSpPr>
      <xdr:sp>
        <xdr:nvSpPr>
          <xdr:cNvPr id="34" name="Line 133"/>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 name="Line 134"/>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Line 135"/>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144</xdr:row>
      <xdr:rowOff>85725</xdr:rowOff>
    </xdr:from>
    <xdr:to>
      <xdr:col>3</xdr:col>
      <xdr:colOff>19050</xdr:colOff>
      <xdr:row>148</xdr:row>
      <xdr:rowOff>66675</xdr:rowOff>
    </xdr:to>
    <xdr:grpSp>
      <xdr:nvGrpSpPr>
        <xdr:cNvPr id="37" name="Group 136"/>
        <xdr:cNvGrpSpPr>
          <a:grpSpLocks/>
        </xdr:cNvGrpSpPr>
      </xdr:nvGrpSpPr>
      <xdr:grpSpPr>
        <a:xfrm>
          <a:off x="1819275" y="24593550"/>
          <a:ext cx="209550" cy="628650"/>
          <a:chOff x="-3200" y="-2308"/>
          <a:chExt cx="4800" cy="19231"/>
        </a:xfrm>
        <a:solidFill>
          <a:srgbClr val="FFFFFF"/>
        </a:solidFill>
      </xdr:grpSpPr>
      <xdr:sp>
        <xdr:nvSpPr>
          <xdr:cNvPr id="38" name="Line 137"/>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Line 138"/>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 name="Line 139"/>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1076325</xdr:colOff>
      <xdr:row>144</xdr:row>
      <xdr:rowOff>114300</xdr:rowOff>
    </xdr:from>
    <xdr:to>
      <xdr:col>7</xdr:col>
      <xdr:colOff>295275</xdr:colOff>
      <xdr:row>148</xdr:row>
      <xdr:rowOff>114300</xdr:rowOff>
    </xdr:to>
    <xdr:grpSp>
      <xdr:nvGrpSpPr>
        <xdr:cNvPr id="41" name="Group 140"/>
        <xdr:cNvGrpSpPr>
          <a:grpSpLocks/>
        </xdr:cNvGrpSpPr>
      </xdr:nvGrpSpPr>
      <xdr:grpSpPr>
        <a:xfrm>
          <a:off x="6362700" y="24622125"/>
          <a:ext cx="381000" cy="647700"/>
          <a:chOff x="-952" y="-2308"/>
          <a:chExt cx="2619" cy="20000"/>
        </a:xfrm>
        <a:solidFill>
          <a:srgbClr val="FFFFFF"/>
        </a:solidFill>
      </xdr:grpSpPr>
      <xdr:sp>
        <xdr:nvSpPr>
          <xdr:cNvPr id="42" name="Line 141"/>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 name="Line 142"/>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 name="Line 143"/>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144</xdr:row>
      <xdr:rowOff>95250</xdr:rowOff>
    </xdr:from>
    <xdr:to>
      <xdr:col>6</xdr:col>
      <xdr:colOff>47625</xdr:colOff>
      <xdr:row>148</xdr:row>
      <xdr:rowOff>114300</xdr:rowOff>
    </xdr:to>
    <xdr:grpSp>
      <xdr:nvGrpSpPr>
        <xdr:cNvPr id="45" name="Group 144"/>
        <xdr:cNvGrpSpPr>
          <a:grpSpLocks/>
        </xdr:cNvGrpSpPr>
      </xdr:nvGrpSpPr>
      <xdr:grpSpPr>
        <a:xfrm>
          <a:off x="5286375" y="24603075"/>
          <a:ext cx="47625" cy="666750"/>
          <a:chOff x="0" y="-1923"/>
          <a:chExt cx="1633" cy="20385"/>
        </a:xfrm>
        <a:solidFill>
          <a:srgbClr val="FFFFFF"/>
        </a:solidFill>
      </xdr:grpSpPr>
      <xdr:sp>
        <xdr:nvSpPr>
          <xdr:cNvPr id="46" name="Line 145"/>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 name="Line 146"/>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 name="Line 147"/>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144</xdr:row>
      <xdr:rowOff>66675</xdr:rowOff>
    </xdr:from>
    <xdr:to>
      <xdr:col>9</xdr:col>
      <xdr:colOff>47625</xdr:colOff>
      <xdr:row>148</xdr:row>
      <xdr:rowOff>66675</xdr:rowOff>
    </xdr:to>
    <xdr:grpSp>
      <xdr:nvGrpSpPr>
        <xdr:cNvPr id="49" name="Group 148"/>
        <xdr:cNvGrpSpPr>
          <a:grpSpLocks/>
        </xdr:cNvGrpSpPr>
      </xdr:nvGrpSpPr>
      <xdr:grpSpPr>
        <a:xfrm>
          <a:off x="8172450" y="24574500"/>
          <a:ext cx="295275" cy="647700"/>
          <a:chOff x="-2553" y="-3077"/>
          <a:chExt cx="4255" cy="20000"/>
        </a:xfrm>
        <a:solidFill>
          <a:srgbClr val="FFFFFF"/>
        </a:solidFill>
      </xdr:grpSpPr>
      <xdr:sp>
        <xdr:nvSpPr>
          <xdr:cNvPr id="50" name="Line 149"/>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1" name="Line 150"/>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 name="Line 151"/>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144</xdr:row>
      <xdr:rowOff>47625</xdr:rowOff>
    </xdr:from>
    <xdr:to>
      <xdr:col>10</xdr:col>
      <xdr:colOff>228600</xdr:colOff>
      <xdr:row>148</xdr:row>
      <xdr:rowOff>66675</xdr:rowOff>
    </xdr:to>
    <xdr:grpSp>
      <xdr:nvGrpSpPr>
        <xdr:cNvPr id="53" name="Group 152"/>
        <xdr:cNvGrpSpPr>
          <a:grpSpLocks/>
        </xdr:cNvGrpSpPr>
      </xdr:nvGrpSpPr>
      <xdr:grpSpPr>
        <a:xfrm>
          <a:off x="9686925" y="24555450"/>
          <a:ext cx="95250" cy="666750"/>
          <a:chOff x="-65" y="-3462"/>
          <a:chExt cx="10" cy="20385"/>
        </a:xfrm>
        <a:solidFill>
          <a:srgbClr val="FFFFFF"/>
        </a:solidFill>
      </xdr:grpSpPr>
      <xdr:sp>
        <xdr:nvSpPr>
          <xdr:cNvPr id="54" name="Line 153"/>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 name="Line 154"/>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 name="Line 155"/>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144</xdr:row>
      <xdr:rowOff>66675</xdr:rowOff>
    </xdr:from>
    <xdr:to>
      <xdr:col>8</xdr:col>
      <xdr:colOff>219075</xdr:colOff>
      <xdr:row>148</xdr:row>
      <xdr:rowOff>76200</xdr:rowOff>
    </xdr:to>
    <xdr:grpSp>
      <xdr:nvGrpSpPr>
        <xdr:cNvPr id="57" name="Group 156"/>
        <xdr:cNvGrpSpPr>
          <a:grpSpLocks/>
        </xdr:cNvGrpSpPr>
      </xdr:nvGrpSpPr>
      <xdr:grpSpPr>
        <a:xfrm>
          <a:off x="7534275" y="24574500"/>
          <a:ext cx="47625" cy="657225"/>
          <a:chOff x="-60" y="-3077"/>
          <a:chExt cx="4" cy="20385"/>
        </a:xfrm>
        <a:solidFill>
          <a:srgbClr val="FFFFFF"/>
        </a:solidFill>
      </xdr:grpSpPr>
      <xdr:sp>
        <xdr:nvSpPr>
          <xdr:cNvPr id="58" name="Line 157"/>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9" name="Line 158"/>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 name="Line 159"/>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144</xdr:row>
      <xdr:rowOff>66675</xdr:rowOff>
    </xdr:from>
    <xdr:to>
      <xdr:col>1</xdr:col>
      <xdr:colOff>66675</xdr:colOff>
      <xdr:row>148</xdr:row>
      <xdr:rowOff>66675</xdr:rowOff>
    </xdr:to>
    <xdr:grpSp>
      <xdr:nvGrpSpPr>
        <xdr:cNvPr id="61" name="Group 160"/>
        <xdr:cNvGrpSpPr>
          <a:grpSpLocks/>
        </xdr:cNvGrpSpPr>
      </xdr:nvGrpSpPr>
      <xdr:grpSpPr>
        <a:xfrm>
          <a:off x="266700" y="24574500"/>
          <a:ext cx="123825" cy="647700"/>
          <a:chOff x="-1639" y="-3077"/>
          <a:chExt cx="3607" cy="20000"/>
        </a:xfrm>
        <a:solidFill>
          <a:srgbClr val="FFFFFF"/>
        </a:solidFill>
      </xdr:grpSpPr>
      <xdr:sp>
        <xdr:nvSpPr>
          <xdr:cNvPr id="62" name="Line 161"/>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3" name="Line 162"/>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4" name="Line 163"/>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160</xdr:row>
      <xdr:rowOff>85725</xdr:rowOff>
    </xdr:from>
    <xdr:to>
      <xdr:col>2</xdr:col>
      <xdr:colOff>295275</xdr:colOff>
      <xdr:row>164</xdr:row>
      <xdr:rowOff>95250</xdr:rowOff>
    </xdr:to>
    <xdr:grpSp>
      <xdr:nvGrpSpPr>
        <xdr:cNvPr id="65" name="Group 164"/>
        <xdr:cNvGrpSpPr>
          <a:grpSpLocks/>
        </xdr:cNvGrpSpPr>
      </xdr:nvGrpSpPr>
      <xdr:grpSpPr>
        <a:xfrm>
          <a:off x="1143000" y="27203400"/>
          <a:ext cx="142875" cy="657225"/>
          <a:chOff x="-63" y="-2308"/>
          <a:chExt cx="13" cy="20385"/>
        </a:xfrm>
        <a:solidFill>
          <a:srgbClr val="FFFFFF"/>
        </a:solidFill>
      </xdr:grpSpPr>
      <xdr:sp>
        <xdr:nvSpPr>
          <xdr:cNvPr id="66" name="Line 165"/>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7" name="Line 166"/>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8" name="Line 167"/>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160</xdr:row>
      <xdr:rowOff>85725</xdr:rowOff>
    </xdr:from>
    <xdr:to>
      <xdr:col>3</xdr:col>
      <xdr:colOff>19050</xdr:colOff>
      <xdr:row>164</xdr:row>
      <xdr:rowOff>66675</xdr:rowOff>
    </xdr:to>
    <xdr:grpSp>
      <xdr:nvGrpSpPr>
        <xdr:cNvPr id="69" name="Group 168"/>
        <xdr:cNvGrpSpPr>
          <a:grpSpLocks/>
        </xdr:cNvGrpSpPr>
      </xdr:nvGrpSpPr>
      <xdr:grpSpPr>
        <a:xfrm>
          <a:off x="1819275" y="27203400"/>
          <a:ext cx="209550" cy="628650"/>
          <a:chOff x="-3200" y="-2308"/>
          <a:chExt cx="4800" cy="19231"/>
        </a:xfrm>
        <a:solidFill>
          <a:srgbClr val="FFFFFF"/>
        </a:solidFill>
      </xdr:grpSpPr>
      <xdr:sp>
        <xdr:nvSpPr>
          <xdr:cNvPr id="70" name="Line 169"/>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1" name="Line 170"/>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2" name="Line 171"/>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1104900</xdr:colOff>
      <xdr:row>160</xdr:row>
      <xdr:rowOff>95250</xdr:rowOff>
    </xdr:from>
    <xdr:to>
      <xdr:col>7</xdr:col>
      <xdr:colOff>323850</xdr:colOff>
      <xdr:row>164</xdr:row>
      <xdr:rowOff>95250</xdr:rowOff>
    </xdr:to>
    <xdr:grpSp>
      <xdr:nvGrpSpPr>
        <xdr:cNvPr id="73" name="Group 172"/>
        <xdr:cNvGrpSpPr>
          <a:grpSpLocks/>
        </xdr:cNvGrpSpPr>
      </xdr:nvGrpSpPr>
      <xdr:grpSpPr>
        <a:xfrm>
          <a:off x="6391275" y="27212925"/>
          <a:ext cx="381000" cy="647700"/>
          <a:chOff x="-952" y="-2308"/>
          <a:chExt cx="2619" cy="20000"/>
        </a:xfrm>
        <a:solidFill>
          <a:srgbClr val="FFFFFF"/>
        </a:solidFill>
      </xdr:grpSpPr>
      <xdr:sp>
        <xdr:nvSpPr>
          <xdr:cNvPr id="74" name="Line 173"/>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5" name="Line 174"/>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6" name="Line 175"/>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160</xdr:row>
      <xdr:rowOff>95250</xdr:rowOff>
    </xdr:from>
    <xdr:to>
      <xdr:col>6</xdr:col>
      <xdr:colOff>47625</xdr:colOff>
      <xdr:row>164</xdr:row>
      <xdr:rowOff>114300</xdr:rowOff>
    </xdr:to>
    <xdr:grpSp>
      <xdr:nvGrpSpPr>
        <xdr:cNvPr id="77" name="Group 176"/>
        <xdr:cNvGrpSpPr>
          <a:grpSpLocks/>
        </xdr:cNvGrpSpPr>
      </xdr:nvGrpSpPr>
      <xdr:grpSpPr>
        <a:xfrm>
          <a:off x="5286375" y="27212925"/>
          <a:ext cx="47625" cy="666750"/>
          <a:chOff x="0" y="-1923"/>
          <a:chExt cx="1633" cy="20385"/>
        </a:xfrm>
        <a:solidFill>
          <a:srgbClr val="FFFFFF"/>
        </a:solidFill>
      </xdr:grpSpPr>
      <xdr:sp>
        <xdr:nvSpPr>
          <xdr:cNvPr id="78" name="Line 177"/>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9" name="Line 178"/>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0" name="Line 179"/>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160</xdr:row>
      <xdr:rowOff>66675</xdr:rowOff>
    </xdr:from>
    <xdr:to>
      <xdr:col>9</xdr:col>
      <xdr:colOff>47625</xdr:colOff>
      <xdr:row>164</xdr:row>
      <xdr:rowOff>66675</xdr:rowOff>
    </xdr:to>
    <xdr:grpSp>
      <xdr:nvGrpSpPr>
        <xdr:cNvPr id="81" name="Group 180"/>
        <xdr:cNvGrpSpPr>
          <a:grpSpLocks/>
        </xdr:cNvGrpSpPr>
      </xdr:nvGrpSpPr>
      <xdr:grpSpPr>
        <a:xfrm>
          <a:off x="8172450" y="27184350"/>
          <a:ext cx="295275" cy="647700"/>
          <a:chOff x="-2553" y="-3077"/>
          <a:chExt cx="4255" cy="20000"/>
        </a:xfrm>
        <a:solidFill>
          <a:srgbClr val="FFFFFF"/>
        </a:solidFill>
      </xdr:grpSpPr>
      <xdr:sp>
        <xdr:nvSpPr>
          <xdr:cNvPr id="82" name="Line 181"/>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3" name="Line 182"/>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4" name="Line 183"/>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160</xdr:row>
      <xdr:rowOff>47625</xdr:rowOff>
    </xdr:from>
    <xdr:to>
      <xdr:col>10</xdr:col>
      <xdr:colOff>228600</xdr:colOff>
      <xdr:row>164</xdr:row>
      <xdr:rowOff>66675</xdr:rowOff>
    </xdr:to>
    <xdr:grpSp>
      <xdr:nvGrpSpPr>
        <xdr:cNvPr id="85" name="Group 184"/>
        <xdr:cNvGrpSpPr>
          <a:grpSpLocks/>
        </xdr:cNvGrpSpPr>
      </xdr:nvGrpSpPr>
      <xdr:grpSpPr>
        <a:xfrm>
          <a:off x="9686925" y="27165300"/>
          <a:ext cx="95250" cy="666750"/>
          <a:chOff x="-65" y="-3462"/>
          <a:chExt cx="10" cy="20385"/>
        </a:xfrm>
        <a:solidFill>
          <a:srgbClr val="FFFFFF"/>
        </a:solidFill>
      </xdr:grpSpPr>
      <xdr:sp>
        <xdr:nvSpPr>
          <xdr:cNvPr id="86" name="Line 185"/>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7" name="Line 186"/>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8" name="Line 187"/>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160</xdr:row>
      <xdr:rowOff>66675</xdr:rowOff>
    </xdr:from>
    <xdr:to>
      <xdr:col>8</xdr:col>
      <xdr:colOff>219075</xdr:colOff>
      <xdr:row>164</xdr:row>
      <xdr:rowOff>76200</xdr:rowOff>
    </xdr:to>
    <xdr:grpSp>
      <xdr:nvGrpSpPr>
        <xdr:cNvPr id="89" name="Group 188"/>
        <xdr:cNvGrpSpPr>
          <a:grpSpLocks/>
        </xdr:cNvGrpSpPr>
      </xdr:nvGrpSpPr>
      <xdr:grpSpPr>
        <a:xfrm>
          <a:off x="7534275" y="27184350"/>
          <a:ext cx="47625" cy="657225"/>
          <a:chOff x="-60" y="-3077"/>
          <a:chExt cx="4" cy="20385"/>
        </a:xfrm>
        <a:solidFill>
          <a:srgbClr val="FFFFFF"/>
        </a:solidFill>
      </xdr:grpSpPr>
      <xdr:sp>
        <xdr:nvSpPr>
          <xdr:cNvPr id="90" name="Line 189"/>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1" name="Line 190"/>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2" name="Line 191"/>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160</xdr:row>
      <xdr:rowOff>66675</xdr:rowOff>
    </xdr:from>
    <xdr:to>
      <xdr:col>1</xdr:col>
      <xdr:colOff>66675</xdr:colOff>
      <xdr:row>164</xdr:row>
      <xdr:rowOff>66675</xdr:rowOff>
    </xdr:to>
    <xdr:grpSp>
      <xdr:nvGrpSpPr>
        <xdr:cNvPr id="93" name="Group 192"/>
        <xdr:cNvGrpSpPr>
          <a:grpSpLocks/>
        </xdr:cNvGrpSpPr>
      </xdr:nvGrpSpPr>
      <xdr:grpSpPr>
        <a:xfrm>
          <a:off x="266700" y="27184350"/>
          <a:ext cx="123825" cy="647700"/>
          <a:chOff x="-1639" y="-3077"/>
          <a:chExt cx="3607" cy="20000"/>
        </a:xfrm>
        <a:solidFill>
          <a:srgbClr val="FFFFFF"/>
        </a:solidFill>
      </xdr:grpSpPr>
      <xdr:sp>
        <xdr:nvSpPr>
          <xdr:cNvPr id="94" name="Line 193"/>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5" name="Line 194"/>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6" name="Line 195"/>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144</xdr:row>
      <xdr:rowOff>66675</xdr:rowOff>
    </xdr:from>
    <xdr:to>
      <xdr:col>1</xdr:col>
      <xdr:colOff>66675</xdr:colOff>
      <xdr:row>148</xdr:row>
      <xdr:rowOff>66675</xdr:rowOff>
    </xdr:to>
    <xdr:grpSp>
      <xdr:nvGrpSpPr>
        <xdr:cNvPr id="97" name="Group 196"/>
        <xdr:cNvGrpSpPr>
          <a:grpSpLocks/>
        </xdr:cNvGrpSpPr>
      </xdr:nvGrpSpPr>
      <xdr:grpSpPr>
        <a:xfrm>
          <a:off x="266700" y="24574500"/>
          <a:ext cx="123825" cy="647700"/>
          <a:chOff x="-1639" y="-3077"/>
          <a:chExt cx="3607" cy="20000"/>
        </a:xfrm>
        <a:solidFill>
          <a:srgbClr val="FFFFFF"/>
        </a:solidFill>
      </xdr:grpSpPr>
      <xdr:sp>
        <xdr:nvSpPr>
          <xdr:cNvPr id="98" name="Line 197"/>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9" name="Line 198"/>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0" name="Line 199"/>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160</xdr:row>
      <xdr:rowOff>66675</xdr:rowOff>
    </xdr:from>
    <xdr:to>
      <xdr:col>1</xdr:col>
      <xdr:colOff>66675</xdr:colOff>
      <xdr:row>164</xdr:row>
      <xdr:rowOff>66675</xdr:rowOff>
    </xdr:to>
    <xdr:grpSp>
      <xdr:nvGrpSpPr>
        <xdr:cNvPr id="101" name="Group 200"/>
        <xdr:cNvGrpSpPr>
          <a:grpSpLocks/>
        </xdr:cNvGrpSpPr>
      </xdr:nvGrpSpPr>
      <xdr:grpSpPr>
        <a:xfrm>
          <a:off x="266700" y="27184350"/>
          <a:ext cx="123825" cy="647700"/>
          <a:chOff x="-1639" y="-3077"/>
          <a:chExt cx="3607" cy="20000"/>
        </a:xfrm>
        <a:solidFill>
          <a:srgbClr val="FFFFFF"/>
        </a:solidFill>
      </xdr:grpSpPr>
      <xdr:sp>
        <xdr:nvSpPr>
          <xdr:cNvPr id="102" name="Line 201"/>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3" name="Line 202"/>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4" name="Line 203"/>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176</xdr:row>
      <xdr:rowOff>85725</xdr:rowOff>
    </xdr:from>
    <xdr:to>
      <xdr:col>2</xdr:col>
      <xdr:colOff>295275</xdr:colOff>
      <xdr:row>180</xdr:row>
      <xdr:rowOff>95250</xdr:rowOff>
    </xdr:to>
    <xdr:grpSp>
      <xdr:nvGrpSpPr>
        <xdr:cNvPr id="105" name="Group 204"/>
        <xdr:cNvGrpSpPr>
          <a:grpSpLocks/>
        </xdr:cNvGrpSpPr>
      </xdr:nvGrpSpPr>
      <xdr:grpSpPr>
        <a:xfrm>
          <a:off x="1143000" y="29813250"/>
          <a:ext cx="142875" cy="657225"/>
          <a:chOff x="-63" y="-2308"/>
          <a:chExt cx="13" cy="20385"/>
        </a:xfrm>
        <a:solidFill>
          <a:srgbClr val="FFFFFF"/>
        </a:solidFill>
      </xdr:grpSpPr>
      <xdr:sp>
        <xdr:nvSpPr>
          <xdr:cNvPr id="106" name="Line 205"/>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7" name="Line 206"/>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8" name="Line 207"/>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176</xdr:row>
      <xdr:rowOff>85725</xdr:rowOff>
    </xdr:from>
    <xdr:to>
      <xdr:col>3</xdr:col>
      <xdr:colOff>19050</xdr:colOff>
      <xdr:row>180</xdr:row>
      <xdr:rowOff>66675</xdr:rowOff>
    </xdr:to>
    <xdr:grpSp>
      <xdr:nvGrpSpPr>
        <xdr:cNvPr id="109" name="Group 208"/>
        <xdr:cNvGrpSpPr>
          <a:grpSpLocks/>
        </xdr:cNvGrpSpPr>
      </xdr:nvGrpSpPr>
      <xdr:grpSpPr>
        <a:xfrm>
          <a:off x="1819275" y="29813250"/>
          <a:ext cx="209550" cy="628650"/>
          <a:chOff x="-3200" y="-2308"/>
          <a:chExt cx="4800" cy="19231"/>
        </a:xfrm>
        <a:solidFill>
          <a:srgbClr val="FFFFFF"/>
        </a:solidFill>
      </xdr:grpSpPr>
      <xdr:sp>
        <xdr:nvSpPr>
          <xdr:cNvPr id="110" name="Line 209"/>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1" name="Line 210"/>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2" name="Line 211"/>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1095375</xdr:colOff>
      <xdr:row>176</xdr:row>
      <xdr:rowOff>104775</xdr:rowOff>
    </xdr:from>
    <xdr:to>
      <xdr:col>7</xdr:col>
      <xdr:colOff>314325</xdr:colOff>
      <xdr:row>180</xdr:row>
      <xdr:rowOff>104775</xdr:rowOff>
    </xdr:to>
    <xdr:grpSp>
      <xdr:nvGrpSpPr>
        <xdr:cNvPr id="113" name="Group 212"/>
        <xdr:cNvGrpSpPr>
          <a:grpSpLocks/>
        </xdr:cNvGrpSpPr>
      </xdr:nvGrpSpPr>
      <xdr:grpSpPr>
        <a:xfrm>
          <a:off x="6381750" y="29832300"/>
          <a:ext cx="381000" cy="647700"/>
          <a:chOff x="-952" y="-2308"/>
          <a:chExt cx="2619" cy="20000"/>
        </a:xfrm>
        <a:solidFill>
          <a:srgbClr val="FFFFFF"/>
        </a:solidFill>
      </xdr:grpSpPr>
      <xdr:sp>
        <xdr:nvSpPr>
          <xdr:cNvPr id="114" name="Line 213"/>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5" name="Line 214"/>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6" name="Line 215"/>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176</xdr:row>
      <xdr:rowOff>95250</xdr:rowOff>
    </xdr:from>
    <xdr:to>
      <xdr:col>6</xdr:col>
      <xdr:colOff>47625</xdr:colOff>
      <xdr:row>180</xdr:row>
      <xdr:rowOff>114300</xdr:rowOff>
    </xdr:to>
    <xdr:grpSp>
      <xdr:nvGrpSpPr>
        <xdr:cNvPr id="117" name="Group 216"/>
        <xdr:cNvGrpSpPr>
          <a:grpSpLocks/>
        </xdr:cNvGrpSpPr>
      </xdr:nvGrpSpPr>
      <xdr:grpSpPr>
        <a:xfrm>
          <a:off x="5286375" y="29822775"/>
          <a:ext cx="47625" cy="666750"/>
          <a:chOff x="0" y="-1923"/>
          <a:chExt cx="1633" cy="20385"/>
        </a:xfrm>
        <a:solidFill>
          <a:srgbClr val="FFFFFF"/>
        </a:solidFill>
      </xdr:grpSpPr>
      <xdr:sp>
        <xdr:nvSpPr>
          <xdr:cNvPr id="118" name="Line 217"/>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9" name="Line 218"/>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0" name="Line 219"/>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176</xdr:row>
      <xdr:rowOff>66675</xdr:rowOff>
    </xdr:from>
    <xdr:to>
      <xdr:col>9</xdr:col>
      <xdr:colOff>47625</xdr:colOff>
      <xdr:row>180</xdr:row>
      <xdr:rowOff>66675</xdr:rowOff>
    </xdr:to>
    <xdr:grpSp>
      <xdr:nvGrpSpPr>
        <xdr:cNvPr id="121" name="Group 220"/>
        <xdr:cNvGrpSpPr>
          <a:grpSpLocks/>
        </xdr:cNvGrpSpPr>
      </xdr:nvGrpSpPr>
      <xdr:grpSpPr>
        <a:xfrm>
          <a:off x="8172450" y="29794200"/>
          <a:ext cx="295275" cy="647700"/>
          <a:chOff x="-2553" y="-3077"/>
          <a:chExt cx="4255" cy="20000"/>
        </a:xfrm>
        <a:solidFill>
          <a:srgbClr val="FFFFFF"/>
        </a:solidFill>
      </xdr:grpSpPr>
      <xdr:sp>
        <xdr:nvSpPr>
          <xdr:cNvPr id="122" name="Line 221"/>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3" name="Line 222"/>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4" name="Line 223"/>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176</xdr:row>
      <xdr:rowOff>47625</xdr:rowOff>
    </xdr:from>
    <xdr:to>
      <xdr:col>10</xdr:col>
      <xdr:colOff>228600</xdr:colOff>
      <xdr:row>180</xdr:row>
      <xdr:rowOff>66675</xdr:rowOff>
    </xdr:to>
    <xdr:grpSp>
      <xdr:nvGrpSpPr>
        <xdr:cNvPr id="125" name="Group 224"/>
        <xdr:cNvGrpSpPr>
          <a:grpSpLocks/>
        </xdr:cNvGrpSpPr>
      </xdr:nvGrpSpPr>
      <xdr:grpSpPr>
        <a:xfrm>
          <a:off x="9686925" y="29775150"/>
          <a:ext cx="95250" cy="666750"/>
          <a:chOff x="-65" y="-3462"/>
          <a:chExt cx="10" cy="20385"/>
        </a:xfrm>
        <a:solidFill>
          <a:srgbClr val="FFFFFF"/>
        </a:solidFill>
      </xdr:grpSpPr>
      <xdr:sp>
        <xdr:nvSpPr>
          <xdr:cNvPr id="126" name="Line 225"/>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7" name="Line 226"/>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8" name="Line 227"/>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176</xdr:row>
      <xdr:rowOff>66675</xdr:rowOff>
    </xdr:from>
    <xdr:to>
      <xdr:col>8</xdr:col>
      <xdr:colOff>219075</xdr:colOff>
      <xdr:row>180</xdr:row>
      <xdr:rowOff>76200</xdr:rowOff>
    </xdr:to>
    <xdr:grpSp>
      <xdr:nvGrpSpPr>
        <xdr:cNvPr id="129" name="Group 228"/>
        <xdr:cNvGrpSpPr>
          <a:grpSpLocks/>
        </xdr:cNvGrpSpPr>
      </xdr:nvGrpSpPr>
      <xdr:grpSpPr>
        <a:xfrm>
          <a:off x="7534275" y="29794200"/>
          <a:ext cx="47625" cy="657225"/>
          <a:chOff x="-60" y="-3077"/>
          <a:chExt cx="4" cy="20385"/>
        </a:xfrm>
        <a:solidFill>
          <a:srgbClr val="FFFFFF"/>
        </a:solidFill>
      </xdr:grpSpPr>
      <xdr:sp>
        <xdr:nvSpPr>
          <xdr:cNvPr id="130" name="Line 229"/>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1" name="Line 230"/>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2" name="Line 231"/>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176</xdr:row>
      <xdr:rowOff>66675</xdr:rowOff>
    </xdr:from>
    <xdr:to>
      <xdr:col>1</xdr:col>
      <xdr:colOff>66675</xdr:colOff>
      <xdr:row>180</xdr:row>
      <xdr:rowOff>66675</xdr:rowOff>
    </xdr:to>
    <xdr:grpSp>
      <xdr:nvGrpSpPr>
        <xdr:cNvPr id="133" name="Group 232"/>
        <xdr:cNvGrpSpPr>
          <a:grpSpLocks/>
        </xdr:cNvGrpSpPr>
      </xdr:nvGrpSpPr>
      <xdr:grpSpPr>
        <a:xfrm>
          <a:off x="266700" y="29794200"/>
          <a:ext cx="123825" cy="647700"/>
          <a:chOff x="-1639" y="-3077"/>
          <a:chExt cx="3607" cy="20000"/>
        </a:xfrm>
        <a:solidFill>
          <a:srgbClr val="FFFFFF"/>
        </a:solidFill>
      </xdr:grpSpPr>
      <xdr:sp>
        <xdr:nvSpPr>
          <xdr:cNvPr id="134" name="Line 233"/>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5" name="Line 234"/>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6" name="Line 235"/>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176</xdr:row>
      <xdr:rowOff>66675</xdr:rowOff>
    </xdr:from>
    <xdr:to>
      <xdr:col>1</xdr:col>
      <xdr:colOff>66675</xdr:colOff>
      <xdr:row>180</xdr:row>
      <xdr:rowOff>66675</xdr:rowOff>
    </xdr:to>
    <xdr:grpSp>
      <xdr:nvGrpSpPr>
        <xdr:cNvPr id="137" name="Group 236"/>
        <xdr:cNvGrpSpPr>
          <a:grpSpLocks/>
        </xdr:cNvGrpSpPr>
      </xdr:nvGrpSpPr>
      <xdr:grpSpPr>
        <a:xfrm>
          <a:off x="266700" y="29794200"/>
          <a:ext cx="123825" cy="647700"/>
          <a:chOff x="-1639" y="-3077"/>
          <a:chExt cx="3607" cy="20000"/>
        </a:xfrm>
        <a:solidFill>
          <a:srgbClr val="FFFFFF"/>
        </a:solidFill>
      </xdr:grpSpPr>
      <xdr:sp>
        <xdr:nvSpPr>
          <xdr:cNvPr id="138" name="Line 237"/>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9" name="Line 238"/>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0" name="Line 239"/>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192</xdr:row>
      <xdr:rowOff>85725</xdr:rowOff>
    </xdr:from>
    <xdr:to>
      <xdr:col>2</xdr:col>
      <xdr:colOff>295275</xdr:colOff>
      <xdr:row>196</xdr:row>
      <xdr:rowOff>95250</xdr:rowOff>
    </xdr:to>
    <xdr:grpSp>
      <xdr:nvGrpSpPr>
        <xdr:cNvPr id="141" name="Group 240"/>
        <xdr:cNvGrpSpPr>
          <a:grpSpLocks/>
        </xdr:cNvGrpSpPr>
      </xdr:nvGrpSpPr>
      <xdr:grpSpPr>
        <a:xfrm>
          <a:off x="1143000" y="32423100"/>
          <a:ext cx="142875" cy="657225"/>
          <a:chOff x="-63" y="-2308"/>
          <a:chExt cx="13" cy="20385"/>
        </a:xfrm>
        <a:solidFill>
          <a:srgbClr val="FFFFFF"/>
        </a:solidFill>
      </xdr:grpSpPr>
      <xdr:sp>
        <xdr:nvSpPr>
          <xdr:cNvPr id="142" name="Line 241"/>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3" name="Line 242"/>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4" name="Line 243"/>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192</xdr:row>
      <xdr:rowOff>85725</xdr:rowOff>
    </xdr:from>
    <xdr:to>
      <xdr:col>3</xdr:col>
      <xdr:colOff>19050</xdr:colOff>
      <xdr:row>196</xdr:row>
      <xdr:rowOff>66675</xdr:rowOff>
    </xdr:to>
    <xdr:grpSp>
      <xdr:nvGrpSpPr>
        <xdr:cNvPr id="145" name="Group 244"/>
        <xdr:cNvGrpSpPr>
          <a:grpSpLocks/>
        </xdr:cNvGrpSpPr>
      </xdr:nvGrpSpPr>
      <xdr:grpSpPr>
        <a:xfrm>
          <a:off x="1819275" y="32423100"/>
          <a:ext cx="209550" cy="628650"/>
          <a:chOff x="-3200" y="-2308"/>
          <a:chExt cx="4800" cy="19231"/>
        </a:xfrm>
        <a:solidFill>
          <a:srgbClr val="FFFFFF"/>
        </a:solidFill>
      </xdr:grpSpPr>
      <xdr:sp>
        <xdr:nvSpPr>
          <xdr:cNvPr id="146" name="Line 245"/>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7" name="Line 246"/>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8" name="Line 247"/>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1076325</xdr:colOff>
      <xdr:row>192</xdr:row>
      <xdr:rowOff>76200</xdr:rowOff>
    </xdr:from>
    <xdr:to>
      <xdr:col>7</xdr:col>
      <xdr:colOff>295275</xdr:colOff>
      <xdr:row>196</xdr:row>
      <xdr:rowOff>76200</xdr:rowOff>
    </xdr:to>
    <xdr:grpSp>
      <xdr:nvGrpSpPr>
        <xdr:cNvPr id="149" name="Group 248"/>
        <xdr:cNvGrpSpPr>
          <a:grpSpLocks/>
        </xdr:cNvGrpSpPr>
      </xdr:nvGrpSpPr>
      <xdr:grpSpPr>
        <a:xfrm>
          <a:off x="6362700" y="32413575"/>
          <a:ext cx="381000" cy="647700"/>
          <a:chOff x="-952" y="-2308"/>
          <a:chExt cx="2619" cy="20000"/>
        </a:xfrm>
        <a:solidFill>
          <a:srgbClr val="FFFFFF"/>
        </a:solidFill>
      </xdr:grpSpPr>
      <xdr:sp>
        <xdr:nvSpPr>
          <xdr:cNvPr id="150" name="Line 249"/>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1" name="Line 250"/>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2" name="Line 251"/>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192</xdr:row>
      <xdr:rowOff>95250</xdr:rowOff>
    </xdr:from>
    <xdr:to>
      <xdr:col>6</xdr:col>
      <xdr:colOff>47625</xdr:colOff>
      <xdr:row>196</xdr:row>
      <xdr:rowOff>114300</xdr:rowOff>
    </xdr:to>
    <xdr:grpSp>
      <xdr:nvGrpSpPr>
        <xdr:cNvPr id="153" name="Group 252"/>
        <xdr:cNvGrpSpPr>
          <a:grpSpLocks/>
        </xdr:cNvGrpSpPr>
      </xdr:nvGrpSpPr>
      <xdr:grpSpPr>
        <a:xfrm>
          <a:off x="5286375" y="32432625"/>
          <a:ext cx="47625" cy="666750"/>
          <a:chOff x="0" y="-1923"/>
          <a:chExt cx="1633" cy="20385"/>
        </a:xfrm>
        <a:solidFill>
          <a:srgbClr val="FFFFFF"/>
        </a:solidFill>
      </xdr:grpSpPr>
      <xdr:sp>
        <xdr:nvSpPr>
          <xdr:cNvPr id="154" name="Line 253"/>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5" name="Line 254"/>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6" name="Line 255"/>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192</xdr:row>
      <xdr:rowOff>66675</xdr:rowOff>
    </xdr:from>
    <xdr:to>
      <xdr:col>9</xdr:col>
      <xdr:colOff>47625</xdr:colOff>
      <xdr:row>196</xdr:row>
      <xdr:rowOff>66675</xdr:rowOff>
    </xdr:to>
    <xdr:grpSp>
      <xdr:nvGrpSpPr>
        <xdr:cNvPr id="157" name="Group 256"/>
        <xdr:cNvGrpSpPr>
          <a:grpSpLocks/>
        </xdr:cNvGrpSpPr>
      </xdr:nvGrpSpPr>
      <xdr:grpSpPr>
        <a:xfrm>
          <a:off x="8172450" y="32404050"/>
          <a:ext cx="295275" cy="647700"/>
          <a:chOff x="-2553" y="-3077"/>
          <a:chExt cx="4255" cy="20000"/>
        </a:xfrm>
        <a:solidFill>
          <a:srgbClr val="FFFFFF"/>
        </a:solidFill>
      </xdr:grpSpPr>
      <xdr:sp>
        <xdr:nvSpPr>
          <xdr:cNvPr id="158" name="Line 257"/>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9" name="Line 258"/>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0" name="Line 259"/>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192</xdr:row>
      <xdr:rowOff>47625</xdr:rowOff>
    </xdr:from>
    <xdr:to>
      <xdr:col>10</xdr:col>
      <xdr:colOff>228600</xdr:colOff>
      <xdr:row>196</xdr:row>
      <xdr:rowOff>66675</xdr:rowOff>
    </xdr:to>
    <xdr:grpSp>
      <xdr:nvGrpSpPr>
        <xdr:cNvPr id="161" name="Group 260"/>
        <xdr:cNvGrpSpPr>
          <a:grpSpLocks/>
        </xdr:cNvGrpSpPr>
      </xdr:nvGrpSpPr>
      <xdr:grpSpPr>
        <a:xfrm>
          <a:off x="9686925" y="32385000"/>
          <a:ext cx="95250" cy="666750"/>
          <a:chOff x="-65" y="-3462"/>
          <a:chExt cx="10" cy="20385"/>
        </a:xfrm>
        <a:solidFill>
          <a:srgbClr val="FFFFFF"/>
        </a:solidFill>
      </xdr:grpSpPr>
      <xdr:sp>
        <xdr:nvSpPr>
          <xdr:cNvPr id="162" name="Line 261"/>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3" name="Line 262"/>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4" name="Line 263"/>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192</xdr:row>
      <xdr:rowOff>66675</xdr:rowOff>
    </xdr:from>
    <xdr:to>
      <xdr:col>8</xdr:col>
      <xdr:colOff>219075</xdr:colOff>
      <xdr:row>196</xdr:row>
      <xdr:rowOff>76200</xdr:rowOff>
    </xdr:to>
    <xdr:grpSp>
      <xdr:nvGrpSpPr>
        <xdr:cNvPr id="165" name="Group 264"/>
        <xdr:cNvGrpSpPr>
          <a:grpSpLocks/>
        </xdr:cNvGrpSpPr>
      </xdr:nvGrpSpPr>
      <xdr:grpSpPr>
        <a:xfrm>
          <a:off x="7534275" y="32404050"/>
          <a:ext cx="47625" cy="657225"/>
          <a:chOff x="-60" y="-3077"/>
          <a:chExt cx="4" cy="20385"/>
        </a:xfrm>
        <a:solidFill>
          <a:srgbClr val="FFFFFF"/>
        </a:solidFill>
      </xdr:grpSpPr>
      <xdr:sp>
        <xdr:nvSpPr>
          <xdr:cNvPr id="166" name="Line 265"/>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7" name="Line 266"/>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8" name="Line 267"/>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192</xdr:row>
      <xdr:rowOff>66675</xdr:rowOff>
    </xdr:from>
    <xdr:to>
      <xdr:col>1</xdr:col>
      <xdr:colOff>66675</xdr:colOff>
      <xdr:row>196</xdr:row>
      <xdr:rowOff>66675</xdr:rowOff>
    </xdr:to>
    <xdr:grpSp>
      <xdr:nvGrpSpPr>
        <xdr:cNvPr id="169" name="Group 268"/>
        <xdr:cNvGrpSpPr>
          <a:grpSpLocks/>
        </xdr:cNvGrpSpPr>
      </xdr:nvGrpSpPr>
      <xdr:grpSpPr>
        <a:xfrm>
          <a:off x="266700" y="32404050"/>
          <a:ext cx="123825" cy="647700"/>
          <a:chOff x="-1639" y="-3077"/>
          <a:chExt cx="3607" cy="20000"/>
        </a:xfrm>
        <a:solidFill>
          <a:srgbClr val="FFFFFF"/>
        </a:solidFill>
      </xdr:grpSpPr>
      <xdr:sp>
        <xdr:nvSpPr>
          <xdr:cNvPr id="170" name="Line 269"/>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1" name="Line 270"/>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2" name="Line 271"/>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192</xdr:row>
      <xdr:rowOff>66675</xdr:rowOff>
    </xdr:from>
    <xdr:to>
      <xdr:col>1</xdr:col>
      <xdr:colOff>66675</xdr:colOff>
      <xdr:row>196</xdr:row>
      <xdr:rowOff>66675</xdr:rowOff>
    </xdr:to>
    <xdr:grpSp>
      <xdr:nvGrpSpPr>
        <xdr:cNvPr id="173" name="Group 272"/>
        <xdr:cNvGrpSpPr>
          <a:grpSpLocks/>
        </xdr:cNvGrpSpPr>
      </xdr:nvGrpSpPr>
      <xdr:grpSpPr>
        <a:xfrm>
          <a:off x="266700" y="32404050"/>
          <a:ext cx="123825" cy="647700"/>
          <a:chOff x="-1639" y="-3077"/>
          <a:chExt cx="3607" cy="20000"/>
        </a:xfrm>
        <a:solidFill>
          <a:srgbClr val="FFFFFF"/>
        </a:solidFill>
      </xdr:grpSpPr>
      <xdr:sp>
        <xdr:nvSpPr>
          <xdr:cNvPr id="174" name="Line 273"/>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5" name="Line 274"/>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6" name="Line 275"/>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208</xdr:row>
      <xdr:rowOff>85725</xdr:rowOff>
    </xdr:from>
    <xdr:to>
      <xdr:col>2</xdr:col>
      <xdr:colOff>295275</xdr:colOff>
      <xdr:row>212</xdr:row>
      <xdr:rowOff>95250</xdr:rowOff>
    </xdr:to>
    <xdr:grpSp>
      <xdr:nvGrpSpPr>
        <xdr:cNvPr id="177" name="Group 276"/>
        <xdr:cNvGrpSpPr>
          <a:grpSpLocks/>
        </xdr:cNvGrpSpPr>
      </xdr:nvGrpSpPr>
      <xdr:grpSpPr>
        <a:xfrm>
          <a:off x="1143000" y="35032950"/>
          <a:ext cx="142875" cy="657225"/>
          <a:chOff x="-63" y="-2308"/>
          <a:chExt cx="13" cy="20385"/>
        </a:xfrm>
        <a:solidFill>
          <a:srgbClr val="FFFFFF"/>
        </a:solidFill>
      </xdr:grpSpPr>
      <xdr:sp>
        <xdr:nvSpPr>
          <xdr:cNvPr id="178" name="Line 277"/>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9" name="Line 278"/>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0" name="Line 279"/>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208</xdr:row>
      <xdr:rowOff>85725</xdr:rowOff>
    </xdr:from>
    <xdr:to>
      <xdr:col>3</xdr:col>
      <xdr:colOff>19050</xdr:colOff>
      <xdr:row>212</xdr:row>
      <xdr:rowOff>66675</xdr:rowOff>
    </xdr:to>
    <xdr:grpSp>
      <xdr:nvGrpSpPr>
        <xdr:cNvPr id="181" name="Group 280"/>
        <xdr:cNvGrpSpPr>
          <a:grpSpLocks/>
        </xdr:cNvGrpSpPr>
      </xdr:nvGrpSpPr>
      <xdr:grpSpPr>
        <a:xfrm>
          <a:off x="1819275" y="35032950"/>
          <a:ext cx="209550" cy="628650"/>
          <a:chOff x="-3200" y="-2308"/>
          <a:chExt cx="4800" cy="19231"/>
        </a:xfrm>
        <a:solidFill>
          <a:srgbClr val="FFFFFF"/>
        </a:solidFill>
      </xdr:grpSpPr>
      <xdr:sp>
        <xdr:nvSpPr>
          <xdr:cNvPr id="182" name="Line 281"/>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3" name="Line 282"/>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4" name="Line 283"/>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1095375</xdr:colOff>
      <xdr:row>208</xdr:row>
      <xdr:rowOff>95250</xdr:rowOff>
    </xdr:from>
    <xdr:to>
      <xdr:col>7</xdr:col>
      <xdr:colOff>314325</xdr:colOff>
      <xdr:row>212</xdr:row>
      <xdr:rowOff>95250</xdr:rowOff>
    </xdr:to>
    <xdr:grpSp>
      <xdr:nvGrpSpPr>
        <xdr:cNvPr id="185" name="Group 284"/>
        <xdr:cNvGrpSpPr>
          <a:grpSpLocks/>
        </xdr:cNvGrpSpPr>
      </xdr:nvGrpSpPr>
      <xdr:grpSpPr>
        <a:xfrm>
          <a:off x="6381750" y="35042475"/>
          <a:ext cx="381000" cy="647700"/>
          <a:chOff x="-952" y="-2308"/>
          <a:chExt cx="2619" cy="20000"/>
        </a:xfrm>
        <a:solidFill>
          <a:srgbClr val="FFFFFF"/>
        </a:solidFill>
      </xdr:grpSpPr>
      <xdr:sp>
        <xdr:nvSpPr>
          <xdr:cNvPr id="186" name="Line 285"/>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7" name="Line 286"/>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8" name="Line 287"/>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208</xdr:row>
      <xdr:rowOff>95250</xdr:rowOff>
    </xdr:from>
    <xdr:to>
      <xdr:col>6</xdr:col>
      <xdr:colOff>47625</xdr:colOff>
      <xdr:row>212</xdr:row>
      <xdr:rowOff>114300</xdr:rowOff>
    </xdr:to>
    <xdr:grpSp>
      <xdr:nvGrpSpPr>
        <xdr:cNvPr id="189" name="Group 288"/>
        <xdr:cNvGrpSpPr>
          <a:grpSpLocks/>
        </xdr:cNvGrpSpPr>
      </xdr:nvGrpSpPr>
      <xdr:grpSpPr>
        <a:xfrm>
          <a:off x="5286375" y="35042475"/>
          <a:ext cx="47625" cy="666750"/>
          <a:chOff x="0" y="-1923"/>
          <a:chExt cx="1633" cy="20385"/>
        </a:xfrm>
        <a:solidFill>
          <a:srgbClr val="FFFFFF"/>
        </a:solidFill>
      </xdr:grpSpPr>
      <xdr:sp>
        <xdr:nvSpPr>
          <xdr:cNvPr id="190" name="Line 289"/>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1" name="Line 290"/>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2" name="Line 291"/>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208</xdr:row>
      <xdr:rowOff>66675</xdr:rowOff>
    </xdr:from>
    <xdr:to>
      <xdr:col>9</xdr:col>
      <xdr:colOff>47625</xdr:colOff>
      <xdr:row>212</xdr:row>
      <xdr:rowOff>66675</xdr:rowOff>
    </xdr:to>
    <xdr:grpSp>
      <xdr:nvGrpSpPr>
        <xdr:cNvPr id="193" name="Group 292"/>
        <xdr:cNvGrpSpPr>
          <a:grpSpLocks/>
        </xdr:cNvGrpSpPr>
      </xdr:nvGrpSpPr>
      <xdr:grpSpPr>
        <a:xfrm>
          <a:off x="8172450" y="35013900"/>
          <a:ext cx="295275" cy="647700"/>
          <a:chOff x="-2553" y="-3077"/>
          <a:chExt cx="4255" cy="20000"/>
        </a:xfrm>
        <a:solidFill>
          <a:srgbClr val="FFFFFF"/>
        </a:solidFill>
      </xdr:grpSpPr>
      <xdr:sp>
        <xdr:nvSpPr>
          <xdr:cNvPr id="194" name="Line 293"/>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5" name="Line 294"/>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6" name="Line 295"/>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208</xdr:row>
      <xdr:rowOff>47625</xdr:rowOff>
    </xdr:from>
    <xdr:to>
      <xdr:col>10</xdr:col>
      <xdr:colOff>228600</xdr:colOff>
      <xdr:row>212</xdr:row>
      <xdr:rowOff>66675</xdr:rowOff>
    </xdr:to>
    <xdr:grpSp>
      <xdr:nvGrpSpPr>
        <xdr:cNvPr id="197" name="Group 296"/>
        <xdr:cNvGrpSpPr>
          <a:grpSpLocks/>
        </xdr:cNvGrpSpPr>
      </xdr:nvGrpSpPr>
      <xdr:grpSpPr>
        <a:xfrm>
          <a:off x="9686925" y="34994850"/>
          <a:ext cx="95250" cy="666750"/>
          <a:chOff x="-65" y="-3462"/>
          <a:chExt cx="10" cy="20385"/>
        </a:xfrm>
        <a:solidFill>
          <a:srgbClr val="FFFFFF"/>
        </a:solidFill>
      </xdr:grpSpPr>
      <xdr:sp>
        <xdr:nvSpPr>
          <xdr:cNvPr id="198" name="Line 297"/>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9" name="Line 298"/>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0" name="Line 299"/>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208</xdr:row>
      <xdr:rowOff>66675</xdr:rowOff>
    </xdr:from>
    <xdr:to>
      <xdr:col>8</xdr:col>
      <xdr:colOff>219075</xdr:colOff>
      <xdr:row>212</xdr:row>
      <xdr:rowOff>76200</xdr:rowOff>
    </xdr:to>
    <xdr:grpSp>
      <xdr:nvGrpSpPr>
        <xdr:cNvPr id="201" name="Group 300"/>
        <xdr:cNvGrpSpPr>
          <a:grpSpLocks/>
        </xdr:cNvGrpSpPr>
      </xdr:nvGrpSpPr>
      <xdr:grpSpPr>
        <a:xfrm>
          <a:off x="7534275" y="35013900"/>
          <a:ext cx="47625" cy="657225"/>
          <a:chOff x="-60" y="-3077"/>
          <a:chExt cx="4" cy="20385"/>
        </a:xfrm>
        <a:solidFill>
          <a:srgbClr val="FFFFFF"/>
        </a:solidFill>
      </xdr:grpSpPr>
      <xdr:sp>
        <xdr:nvSpPr>
          <xdr:cNvPr id="202" name="Line 301"/>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3" name="Line 302"/>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4" name="Line 303"/>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208</xdr:row>
      <xdr:rowOff>66675</xdr:rowOff>
    </xdr:from>
    <xdr:to>
      <xdr:col>1</xdr:col>
      <xdr:colOff>66675</xdr:colOff>
      <xdr:row>212</xdr:row>
      <xdr:rowOff>66675</xdr:rowOff>
    </xdr:to>
    <xdr:grpSp>
      <xdr:nvGrpSpPr>
        <xdr:cNvPr id="205" name="Group 304"/>
        <xdr:cNvGrpSpPr>
          <a:grpSpLocks/>
        </xdr:cNvGrpSpPr>
      </xdr:nvGrpSpPr>
      <xdr:grpSpPr>
        <a:xfrm>
          <a:off x="266700" y="35013900"/>
          <a:ext cx="123825" cy="647700"/>
          <a:chOff x="-1639" y="-3077"/>
          <a:chExt cx="3607" cy="20000"/>
        </a:xfrm>
        <a:solidFill>
          <a:srgbClr val="FFFFFF"/>
        </a:solidFill>
      </xdr:grpSpPr>
      <xdr:sp>
        <xdr:nvSpPr>
          <xdr:cNvPr id="206" name="Line 305"/>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7" name="Line 306"/>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8" name="Line 307"/>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208</xdr:row>
      <xdr:rowOff>66675</xdr:rowOff>
    </xdr:from>
    <xdr:to>
      <xdr:col>1</xdr:col>
      <xdr:colOff>66675</xdr:colOff>
      <xdr:row>212</xdr:row>
      <xdr:rowOff>66675</xdr:rowOff>
    </xdr:to>
    <xdr:grpSp>
      <xdr:nvGrpSpPr>
        <xdr:cNvPr id="209" name="Group 308"/>
        <xdr:cNvGrpSpPr>
          <a:grpSpLocks/>
        </xdr:cNvGrpSpPr>
      </xdr:nvGrpSpPr>
      <xdr:grpSpPr>
        <a:xfrm>
          <a:off x="266700" y="35013900"/>
          <a:ext cx="123825" cy="647700"/>
          <a:chOff x="-1639" y="-3077"/>
          <a:chExt cx="3607" cy="20000"/>
        </a:xfrm>
        <a:solidFill>
          <a:srgbClr val="FFFFFF"/>
        </a:solidFill>
      </xdr:grpSpPr>
      <xdr:sp>
        <xdr:nvSpPr>
          <xdr:cNvPr id="210" name="Line 309"/>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1" name="Line 310"/>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2" name="Line 311"/>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224</xdr:row>
      <xdr:rowOff>85725</xdr:rowOff>
    </xdr:from>
    <xdr:to>
      <xdr:col>2</xdr:col>
      <xdr:colOff>295275</xdr:colOff>
      <xdr:row>228</xdr:row>
      <xdr:rowOff>95250</xdr:rowOff>
    </xdr:to>
    <xdr:grpSp>
      <xdr:nvGrpSpPr>
        <xdr:cNvPr id="213" name="Group 312"/>
        <xdr:cNvGrpSpPr>
          <a:grpSpLocks/>
        </xdr:cNvGrpSpPr>
      </xdr:nvGrpSpPr>
      <xdr:grpSpPr>
        <a:xfrm>
          <a:off x="1143000" y="37642800"/>
          <a:ext cx="142875" cy="657225"/>
          <a:chOff x="-63" y="-2308"/>
          <a:chExt cx="13" cy="20385"/>
        </a:xfrm>
        <a:solidFill>
          <a:srgbClr val="FFFFFF"/>
        </a:solidFill>
      </xdr:grpSpPr>
      <xdr:sp>
        <xdr:nvSpPr>
          <xdr:cNvPr id="214" name="Line 313"/>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5" name="Line 314"/>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6" name="Line 315"/>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224</xdr:row>
      <xdr:rowOff>85725</xdr:rowOff>
    </xdr:from>
    <xdr:to>
      <xdr:col>3</xdr:col>
      <xdr:colOff>19050</xdr:colOff>
      <xdr:row>228</xdr:row>
      <xdr:rowOff>66675</xdr:rowOff>
    </xdr:to>
    <xdr:grpSp>
      <xdr:nvGrpSpPr>
        <xdr:cNvPr id="217" name="Group 316"/>
        <xdr:cNvGrpSpPr>
          <a:grpSpLocks/>
        </xdr:cNvGrpSpPr>
      </xdr:nvGrpSpPr>
      <xdr:grpSpPr>
        <a:xfrm>
          <a:off x="1819275" y="37642800"/>
          <a:ext cx="209550" cy="628650"/>
          <a:chOff x="-3200" y="-2308"/>
          <a:chExt cx="4800" cy="19231"/>
        </a:xfrm>
        <a:solidFill>
          <a:srgbClr val="FFFFFF"/>
        </a:solidFill>
      </xdr:grpSpPr>
      <xdr:sp>
        <xdr:nvSpPr>
          <xdr:cNvPr id="218" name="Line 317"/>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9" name="Line 318"/>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0" name="Line 319"/>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1104900</xdr:colOff>
      <xdr:row>224</xdr:row>
      <xdr:rowOff>114300</xdr:rowOff>
    </xdr:from>
    <xdr:to>
      <xdr:col>7</xdr:col>
      <xdr:colOff>323850</xdr:colOff>
      <xdr:row>228</xdr:row>
      <xdr:rowOff>114300</xdr:rowOff>
    </xdr:to>
    <xdr:grpSp>
      <xdr:nvGrpSpPr>
        <xdr:cNvPr id="221" name="Group 320"/>
        <xdr:cNvGrpSpPr>
          <a:grpSpLocks/>
        </xdr:cNvGrpSpPr>
      </xdr:nvGrpSpPr>
      <xdr:grpSpPr>
        <a:xfrm>
          <a:off x="6391275" y="37671375"/>
          <a:ext cx="381000" cy="647700"/>
          <a:chOff x="-952" y="-2308"/>
          <a:chExt cx="2619" cy="20000"/>
        </a:xfrm>
        <a:solidFill>
          <a:srgbClr val="FFFFFF"/>
        </a:solidFill>
      </xdr:grpSpPr>
      <xdr:sp>
        <xdr:nvSpPr>
          <xdr:cNvPr id="222" name="Line 321"/>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3" name="Line 322"/>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4" name="Line 323"/>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224</xdr:row>
      <xdr:rowOff>95250</xdr:rowOff>
    </xdr:from>
    <xdr:to>
      <xdr:col>6</xdr:col>
      <xdr:colOff>47625</xdr:colOff>
      <xdr:row>228</xdr:row>
      <xdr:rowOff>114300</xdr:rowOff>
    </xdr:to>
    <xdr:grpSp>
      <xdr:nvGrpSpPr>
        <xdr:cNvPr id="225" name="Group 324"/>
        <xdr:cNvGrpSpPr>
          <a:grpSpLocks/>
        </xdr:cNvGrpSpPr>
      </xdr:nvGrpSpPr>
      <xdr:grpSpPr>
        <a:xfrm>
          <a:off x="5286375" y="37652325"/>
          <a:ext cx="47625" cy="666750"/>
          <a:chOff x="0" y="-1923"/>
          <a:chExt cx="1633" cy="20385"/>
        </a:xfrm>
        <a:solidFill>
          <a:srgbClr val="FFFFFF"/>
        </a:solidFill>
      </xdr:grpSpPr>
      <xdr:sp>
        <xdr:nvSpPr>
          <xdr:cNvPr id="226" name="Line 325"/>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7" name="Line 326"/>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8" name="Line 327"/>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224</xdr:row>
      <xdr:rowOff>66675</xdr:rowOff>
    </xdr:from>
    <xdr:to>
      <xdr:col>9</xdr:col>
      <xdr:colOff>47625</xdr:colOff>
      <xdr:row>228</xdr:row>
      <xdr:rowOff>66675</xdr:rowOff>
    </xdr:to>
    <xdr:grpSp>
      <xdr:nvGrpSpPr>
        <xdr:cNvPr id="229" name="Group 328"/>
        <xdr:cNvGrpSpPr>
          <a:grpSpLocks/>
        </xdr:cNvGrpSpPr>
      </xdr:nvGrpSpPr>
      <xdr:grpSpPr>
        <a:xfrm>
          <a:off x="8172450" y="37623750"/>
          <a:ext cx="295275" cy="647700"/>
          <a:chOff x="-2553" y="-3077"/>
          <a:chExt cx="4255" cy="20000"/>
        </a:xfrm>
        <a:solidFill>
          <a:srgbClr val="FFFFFF"/>
        </a:solidFill>
      </xdr:grpSpPr>
      <xdr:sp>
        <xdr:nvSpPr>
          <xdr:cNvPr id="230" name="Line 329"/>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1" name="Line 330"/>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2" name="Line 331"/>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224</xdr:row>
      <xdr:rowOff>47625</xdr:rowOff>
    </xdr:from>
    <xdr:to>
      <xdr:col>10</xdr:col>
      <xdr:colOff>228600</xdr:colOff>
      <xdr:row>228</xdr:row>
      <xdr:rowOff>66675</xdr:rowOff>
    </xdr:to>
    <xdr:grpSp>
      <xdr:nvGrpSpPr>
        <xdr:cNvPr id="233" name="Group 332"/>
        <xdr:cNvGrpSpPr>
          <a:grpSpLocks/>
        </xdr:cNvGrpSpPr>
      </xdr:nvGrpSpPr>
      <xdr:grpSpPr>
        <a:xfrm>
          <a:off x="9686925" y="37604700"/>
          <a:ext cx="95250" cy="666750"/>
          <a:chOff x="-65" y="-3462"/>
          <a:chExt cx="10" cy="20385"/>
        </a:xfrm>
        <a:solidFill>
          <a:srgbClr val="FFFFFF"/>
        </a:solidFill>
      </xdr:grpSpPr>
      <xdr:sp>
        <xdr:nvSpPr>
          <xdr:cNvPr id="234" name="Line 333"/>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5" name="Line 334"/>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6" name="Line 335"/>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224</xdr:row>
      <xdr:rowOff>66675</xdr:rowOff>
    </xdr:from>
    <xdr:to>
      <xdr:col>8</xdr:col>
      <xdr:colOff>219075</xdr:colOff>
      <xdr:row>228</xdr:row>
      <xdr:rowOff>76200</xdr:rowOff>
    </xdr:to>
    <xdr:grpSp>
      <xdr:nvGrpSpPr>
        <xdr:cNvPr id="237" name="Group 336"/>
        <xdr:cNvGrpSpPr>
          <a:grpSpLocks/>
        </xdr:cNvGrpSpPr>
      </xdr:nvGrpSpPr>
      <xdr:grpSpPr>
        <a:xfrm>
          <a:off x="7534275" y="37623750"/>
          <a:ext cx="47625" cy="657225"/>
          <a:chOff x="-60" y="-3077"/>
          <a:chExt cx="4" cy="20385"/>
        </a:xfrm>
        <a:solidFill>
          <a:srgbClr val="FFFFFF"/>
        </a:solidFill>
      </xdr:grpSpPr>
      <xdr:sp>
        <xdr:nvSpPr>
          <xdr:cNvPr id="238" name="Line 337"/>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9" name="Line 338"/>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0" name="Line 339"/>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224</xdr:row>
      <xdr:rowOff>66675</xdr:rowOff>
    </xdr:from>
    <xdr:to>
      <xdr:col>1</xdr:col>
      <xdr:colOff>66675</xdr:colOff>
      <xdr:row>228</xdr:row>
      <xdr:rowOff>66675</xdr:rowOff>
    </xdr:to>
    <xdr:grpSp>
      <xdr:nvGrpSpPr>
        <xdr:cNvPr id="241" name="Group 340"/>
        <xdr:cNvGrpSpPr>
          <a:grpSpLocks/>
        </xdr:cNvGrpSpPr>
      </xdr:nvGrpSpPr>
      <xdr:grpSpPr>
        <a:xfrm>
          <a:off x="266700" y="37623750"/>
          <a:ext cx="123825" cy="647700"/>
          <a:chOff x="-1639" y="-3077"/>
          <a:chExt cx="3607" cy="20000"/>
        </a:xfrm>
        <a:solidFill>
          <a:srgbClr val="FFFFFF"/>
        </a:solidFill>
      </xdr:grpSpPr>
      <xdr:sp>
        <xdr:nvSpPr>
          <xdr:cNvPr id="242" name="Line 341"/>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3" name="Line 342"/>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4" name="Line 343"/>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224</xdr:row>
      <xdr:rowOff>66675</xdr:rowOff>
    </xdr:from>
    <xdr:to>
      <xdr:col>1</xdr:col>
      <xdr:colOff>66675</xdr:colOff>
      <xdr:row>228</xdr:row>
      <xdr:rowOff>66675</xdr:rowOff>
    </xdr:to>
    <xdr:grpSp>
      <xdr:nvGrpSpPr>
        <xdr:cNvPr id="245" name="Group 344"/>
        <xdr:cNvGrpSpPr>
          <a:grpSpLocks/>
        </xdr:cNvGrpSpPr>
      </xdr:nvGrpSpPr>
      <xdr:grpSpPr>
        <a:xfrm>
          <a:off x="266700" y="37623750"/>
          <a:ext cx="123825" cy="647700"/>
          <a:chOff x="-1639" y="-3077"/>
          <a:chExt cx="3607" cy="20000"/>
        </a:xfrm>
        <a:solidFill>
          <a:srgbClr val="FFFFFF"/>
        </a:solidFill>
      </xdr:grpSpPr>
      <xdr:sp>
        <xdr:nvSpPr>
          <xdr:cNvPr id="246" name="Line 345"/>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7" name="Line 346"/>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8" name="Line 347"/>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240</xdr:row>
      <xdr:rowOff>85725</xdr:rowOff>
    </xdr:from>
    <xdr:to>
      <xdr:col>2</xdr:col>
      <xdr:colOff>295275</xdr:colOff>
      <xdr:row>244</xdr:row>
      <xdr:rowOff>95250</xdr:rowOff>
    </xdr:to>
    <xdr:grpSp>
      <xdr:nvGrpSpPr>
        <xdr:cNvPr id="249" name="Group 348"/>
        <xdr:cNvGrpSpPr>
          <a:grpSpLocks/>
        </xdr:cNvGrpSpPr>
      </xdr:nvGrpSpPr>
      <xdr:grpSpPr>
        <a:xfrm>
          <a:off x="1143000" y="40252650"/>
          <a:ext cx="142875" cy="657225"/>
          <a:chOff x="-63" y="-2308"/>
          <a:chExt cx="13" cy="20385"/>
        </a:xfrm>
        <a:solidFill>
          <a:srgbClr val="FFFFFF"/>
        </a:solidFill>
      </xdr:grpSpPr>
      <xdr:sp>
        <xdr:nvSpPr>
          <xdr:cNvPr id="250" name="Line 349"/>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1" name="Line 350"/>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2" name="Line 351"/>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240</xdr:row>
      <xdr:rowOff>85725</xdr:rowOff>
    </xdr:from>
    <xdr:to>
      <xdr:col>3</xdr:col>
      <xdr:colOff>19050</xdr:colOff>
      <xdr:row>244</xdr:row>
      <xdr:rowOff>66675</xdr:rowOff>
    </xdr:to>
    <xdr:grpSp>
      <xdr:nvGrpSpPr>
        <xdr:cNvPr id="253" name="Group 352"/>
        <xdr:cNvGrpSpPr>
          <a:grpSpLocks/>
        </xdr:cNvGrpSpPr>
      </xdr:nvGrpSpPr>
      <xdr:grpSpPr>
        <a:xfrm>
          <a:off x="1819275" y="40252650"/>
          <a:ext cx="209550" cy="628650"/>
          <a:chOff x="-3200" y="-2308"/>
          <a:chExt cx="4800" cy="19231"/>
        </a:xfrm>
        <a:solidFill>
          <a:srgbClr val="FFFFFF"/>
        </a:solidFill>
      </xdr:grpSpPr>
      <xdr:sp>
        <xdr:nvSpPr>
          <xdr:cNvPr id="254" name="Line 353"/>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5" name="Line 354"/>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6" name="Line 355"/>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1085850</xdr:colOff>
      <xdr:row>240</xdr:row>
      <xdr:rowOff>133350</xdr:rowOff>
    </xdr:from>
    <xdr:to>
      <xdr:col>7</xdr:col>
      <xdr:colOff>304800</xdr:colOff>
      <xdr:row>244</xdr:row>
      <xdr:rowOff>133350</xdr:rowOff>
    </xdr:to>
    <xdr:grpSp>
      <xdr:nvGrpSpPr>
        <xdr:cNvPr id="257" name="Group 356"/>
        <xdr:cNvGrpSpPr>
          <a:grpSpLocks/>
        </xdr:cNvGrpSpPr>
      </xdr:nvGrpSpPr>
      <xdr:grpSpPr>
        <a:xfrm>
          <a:off x="6372225" y="40300275"/>
          <a:ext cx="381000" cy="647700"/>
          <a:chOff x="-952" y="-2308"/>
          <a:chExt cx="2619" cy="20000"/>
        </a:xfrm>
        <a:solidFill>
          <a:srgbClr val="FFFFFF"/>
        </a:solidFill>
      </xdr:grpSpPr>
      <xdr:sp>
        <xdr:nvSpPr>
          <xdr:cNvPr id="258" name="Line 357"/>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9" name="Line 358"/>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0" name="Line 359"/>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240</xdr:row>
      <xdr:rowOff>95250</xdr:rowOff>
    </xdr:from>
    <xdr:to>
      <xdr:col>6</xdr:col>
      <xdr:colOff>47625</xdr:colOff>
      <xdr:row>244</xdr:row>
      <xdr:rowOff>114300</xdr:rowOff>
    </xdr:to>
    <xdr:grpSp>
      <xdr:nvGrpSpPr>
        <xdr:cNvPr id="261" name="Group 360"/>
        <xdr:cNvGrpSpPr>
          <a:grpSpLocks/>
        </xdr:cNvGrpSpPr>
      </xdr:nvGrpSpPr>
      <xdr:grpSpPr>
        <a:xfrm>
          <a:off x="5286375" y="40262175"/>
          <a:ext cx="47625" cy="666750"/>
          <a:chOff x="0" y="-1923"/>
          <a:chExt cx="1633" cy="20385"/>
        </a:xfrm>
        <a:solidFill>
          <a:srgbClr val="FFFFFF"/>
        </a:solidFill>
      </xdr:grpSpPr>
      <xdr:sp>
        <xdr:nvSpPr>
          <xdr:cNvPr id="262" name="Line 361"/>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3" name="Line 362"/>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4" name="Line 363"/>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240</xdr:row>
      <xdr:rowOff>66675</xdr:rowOff>
    </xdr:from>
    <xdr:to>
      <xdr:col>9</xdr:col>
      <xdr:colOff>47625</xdr:colOff>
      <xdr:row>244</xdr:row>
      <xdr:rowOff>66675</xdr:rowOff>
    </xdr:to>
    <xdr:grpSp>
      <xdr:nvGrpSpPr>
        <xdr:cNvPr id="265" name="Group 364"/>
        <xdr:cNvGrpSpPr>
          <a:grpSpLocks/>
        </xdr:cNvGrpSpPr>
      </xdr:nvGrpSpPr>
      <xdr:grpSpPr>
        <a:xfrm>
          <a:off x="8172450" y="40233600"/>
          <a:ext cx="295275" cy="647700"/>
          <a:chOff x="-2553" y="-3077"/>
          <a:chExt cx="4255" cy="20000"/>
        </a:xfrm>
        <a:solidFill>
          <a:srgbClr val="FFFFFF"/>
        </a:solidFill>
      </xdr:grpSpPr>
      <xdr:sp>
        <xdr:nvSpPr>
          <xdr:cNvPr id="266" name="Line 365"/>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7" name="Line 366"/>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8" name="Line 367"/>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240</xdr:row>
      <xdr:rowOff>47625</xdr:rowOff>
    </xdr:from>
    <xdr:to>
      <xdr:col>10</xdr:col>
      <xdr:colOff>228600</xdr:colOff>
      <xdr:row>244</xdr:row>
      <xdr:rowOff>66675</xdr:rowOff>
    </xdr:to>
    <xdr:grpSp>
      <xdr:nvGrpSpPr>
        <xdr:cNvPr id="269" name="Group 368"/>
        <xdr:cNvGrpSpPr>
          <a:grpSpLocks/>
        </xdr:cNvGrpSpPr>
      </xdr:nvGrpSpPr>
      <xdr:grpSpPr>
        <a:xfrm>
          <a:off x="9686925" y="40214550"/>
          <a:ext cx="95250" cy="666750"/>
          <a:chOff x="-65" y="-3462"/>
          <a:chExt cx="10" cy="20385"/>
        </a:xfrm>
        <a:solidFill>
          <a:srgbClr val="FFFFFF"/>
        </a:solidFill>
      </xdr:grpSpPr>
      <xdr:sp>
        <xdr:nvSpPr>
          <xdr:cNvPr id="270" name="Line 369"/>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1" name="Line 370"/>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2" name="Line 371"/>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240</xdr:row>
      <xdr:rowOff>66675</xdr:rowOff>
    </xdr:from>
    <xdr:to>
      <xdr:col>8</xdr:col>
      <xdr:colOff>219075</xdr:colOff>
      <xdr:row>244</xdr:row>
      <xdr:rowOff>76200</xdr:rowOff>
    </xdr:to>
    <xdr:grpSp>
      <xdr:nvGrpSpPr>
        <xdr:cNvPr id="273" name="Group 372"/>
        <xdr:cNvGrpSpPr>
          <a:grpSpLocks/>
        </xdr:cNvGrpSpPr>
      </xdr:nvGrpSpPr>
      <xdr:grpSpPr>
        <a:xfrm>
          <a:off x="7534275" y="40233600"/>
          <a:ext cx="47625" cy="657225"/>
          <a:chOff x="-60" y="-3077"/>
          <a:chExt cx="4" cy="20385"/>
        </a:xfrm>
        <a:solidFill>
          <a:srgbClr val="FFFFFF"/>
        </a:solidFill>
      </xdr:grpSpPr>
      <xdr:sp>
        <xdr:nvSpPr>
          <xdr:cNvPr id="274" name="Line 373"/>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5" name="Line 374"/>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6" name="Line 375"/>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240</xdr:row>
      <xdr:rowOff>66675</xdr:rowOff>
    </xdr:from>
    <xdr:to>
      <xdr:col>1</xdr:col>
      <xdr:colOff>66675</xdr:colOff>
      <xdr:row>244</xdr:row>
      <xdr:rowOff>66675</xdr:rowOff>
    </xdr:to>
    <xdr:grpSp>
      <xdr:nvGrpSpPr>
        <xdr:cNvPr id="277" name="Group 376"/>
        <xdr:cNvGrpSpPr>
          <a:grpSpLocks/>
        </xdr:cNvGrpSpPr>
      </xdr:nvGrpSpPr>
      <xdr:grpSpPr>
        <a:xfrm>
          <a:off x="266700" y="40233600"/>
          <a:ext cx="123825" cy="647700"/>
          <a:chOff x="-1639" y="-3077"/>
          <a:chExt cx="3607" cy="20000"/>
        </a:xfrm>
        <a:solidFill>
          <a:srgbClr val="FFFFFF"/>
        </a:solidFill>
      </xdr:grpSpPr>
      <xdr:sp>
        <xdr:nvSpPr>
          <xdr:cNvPr id="278" name="Line 377"/>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9" name="Line 378"/>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0" name="Line 379"/>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240</xdr:row>
      <xdr:rowOff>66675</xdr:rowOff>
    </xdr:from>
    <xdr:to>
      <xdr:col>1</xdr:col>
      <xdr:colOff>66675</xdr:colOff>
      <xdr:row>244</xdr:row>
      <xdr:rowOff>66675</xdr:rowOff>
    </xdr:to>
    <xdr:grpSp>
      <xdr:nvGrpSpPr>
        <xdr:cNvPr id="281" name="Group 380"/>
        <xdr:cNvGrpSpPr>
          <a:grpSpLocks/>
        </xdr:cNvGrpSpPr>
      </xdr:nvGrpSpPr>
      <xdr:grpSpPr>
        <a:xfrm>
          <a:off x="266700" y="40233600"/>
          <a:ext cx="123825" cy="647700"/>
          <a:chOff x="-1639" y="-3077"/>
          <a:chExt cx="3607" cy="20000"/>
        </a:xfrm>
        <a:solidFill>
          <a:srgbClr val="FFFFFF"/>
        </a:solidFill>
      </xdr:grpSpPr>
      <xdr:sp>
        <xdr:nvSpPr>
          <xdr:cNvPr id="282" name="Line 381"/>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3" name="Line 382"/>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4" name="Line 383"/>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256</xdr:row>
      <xdr:rowOff>85725</xdr:rowOff>
    </xdr:from>
    <xdr:to>
      <xdr:col>2</xdr:col>
      <xdr:colOff>295275</xdr:colOff>
      <xdr:row>260</xdr:row>
      <xdr:rowOff>95250</xdr:rowOff>
    </xdr:to>
    <xdr:grpSp>
      <xdr:nvGrpSpPr>
        <xdr:cNvPr id="285" name="Group 384"/>
        <xdr:cNvGrpSpPr>
          <a:grpSpLocks/>
        </xdr:cNvGrpSpPr>
      </xdr:nvGrpSpPr>
      <xdr:grpSpPr>
        <a:xfrm>
          <a:off x="1143000" y="42862500"/>
          <a:ext cx="142875" cy="657225"/>
          <a:chOff x="-63" y="-2308"/>
          <a:chExt cx="13" cy="20385"/>
        </a:xfrm>
        <a:solidFill>
          <a:srgbClr val="FFFFFF"/>
        </a:solidFill>
      </xdr:grpSpPr>
      <xdr:sp>
        <xdr:nvSpPr>
          <xdr:cNvPr id="286" name="Line 385"/>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7" name="Line 386"/>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8" name="Line 387"/>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256</xdr:row>
      <xdr:rowOff>85725</xdr:rowOff>
    </xdr:from>
    <xdr:to>
      <xdr:col>3</xdr:col>
      <xdr:colOff>19050</xdr:colOff>
      <xdr:row>260</xdr:row>
      <xdr:rowOff>66675</xdr:rowOff>
    </xdr:to>
    <xdr:grpSp>
      <xdr:nvGrpSpPr>
        <xdr:cNvPr id="289" name="Group 388"/>
        <xdr:cNvGrpSpPr>
          <a:grpSpLocks/>
        </xdr:cNvGrpSpPr>
      </xdr:nvGrpSpPr>
      <xdr:grpSpPr>
        <a:xfrm>
          <a:off x="1819275" y="42862500"/>
          <a:ext cx="209550" cy="628650"/>
          <a:chOff x="-3200" y="-2308"/>
          <a:chExt cx="4800" cy="19231"/>
        </a:xfrm>
        <a:solidFill>
          <a:srgbClr val="FFFFFF"/>
        </a:solidFill>
      </xdr:grpSpPr>
      <xdr:sp>
        <xdr:nvSpPr>
          <xdr:cNvPr id="290" name="Line 389"/>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1" name="Line 390"/>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2" name="Line 391"/>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1028700</xdr:colOff>
      <xdr:row>256</xdr:row>
      <xdr:rowOff>66675</xdr:rowOff>
    </xdr:from>
    <xdr:to>
      <xdr:col>7</xdr:col>
      <xdr:colOff>247650</xdr:colOff>
      <xdr:row>260</xdr:row>
      <xdr:rowOff>66675</xdr:rowOff>
    </xdr:to>
    <xdr:grpSp>
      <xdr:nvGrpSpPr>
        <xdr:cNvPr id="293" name="Group 392"/>
        <xdr:cNvGrpSpPr>
          <a:grpSpLocks/>
        </xdr:cNvGrpSpPr>
      </xdr:nvGrpSpPr>
      <xdr:grpSpPr>
        <a:xfrm>
          <a:off x="6315075" y="42843450"/>
          <a:ext cx="381000" cy="647700"/>
          <a:chOff x="-952" y="-2308"/>
          <a:chExt cx="2619" cy="20000"/>
        </a:xfrm>
        <a:solidFill>
          <a:srgbClr val="FFFFFF"/>
        </a:solidFill>
      </xdr:grpSpPr>
      <xdr:sp>
        <xdr:nvSpPr>
          <xdr:cNvPr id="294" name="Line 393"/>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5" name="Line 394"/>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6" name="Line 395"/>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256</xdr:row>
      <xdr:rowOff>95250</xdr:rowOff>
    </xdr:from>
    <xdr:to>
      <xdr:col>6</xdr:col>
      <xdr:colOff>47625</xdr:colOff>
      <xdr:row>260</xdr:row>
      <xdr:rowOff>114300</xdr:rowOff>
    </xdr:to>
    <xdr:grpSp>
      <xdr:nvGrpSpPr>
        <xdr:cNvPr id="297" name="Group 396"/>
        <xdr:cNvGrpSpPr>
          <a:grpSpLocks/>
        </xdr:cNvGrpSpPr>
      </xdr:nvGrpSpPr>
      <xdr:grpSpPr>
        <a:xfrm>
          <a:off x="5286375" y="42872025"/>
          <a:ext cx="47625" cy="666750"/>
          <a:chOff x="0" y="-1923"/>
          <a:chExt cx="1633" cy="20385"/>
        </a:xfrm>
        <a:solidFill>
          <a:srgbClr val="FFFFFF"/>
        </a:solidFill>
      </xdr:grpSpPr>
      <xdr:sp>
        <xdr:nvSpPr>
          <xdr:cNvPr id="298" name="Line 397"/>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9" name="Line 398"/>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0" name="Line 399"/>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256</xdr:row>
      <xdr:rowOff>66675</xdr:rowOff>
    </xdr:from>
    <xdr:to>
      <xdr:col>9</xdr:col>
      <xdr:colOff>47625</xdr:colOff>
      <xdr:row>260</xdr:row>
      <xdr:rowOff>66675</xdr:rowOff>
    </xdr:to>
    <xdr:grpSp>
      <xdr:nvGrpSpPr>
        <xdr:cNvPr id="301" name="Group 400"/>
        <xdr:cNvGrpSpPr>
          <a:grpSpLocks/>
        </xdr:cNvGrpSpPr>
      </xdr:nvGrpSpPr>
      <xdr:grpSpPr>
        <a:xfrm>
          <a:off x="8172450" y="42843450"/>
          <a:ext cx="295275" cy="647700"/>
          <a:chOff x="-2553" y="-3077"/>
          <a:chExt cx="4255" cy="20000"/>
        </a:xfrm>
        <a:solidFill>
          <a:srgbClr val="FFFFFF"/>
        </a:solidFill>
      </xdr:grpSpPr>
      <xdr:sp>
        <xdr:nvSpPr>
          <xdr:cNvPr id="302" name="Line 401"/>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3" name="Line 402"/>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4" name="Line 403"/>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256</xdr:row>
      <xdr:rowOff>47625</xdr:rowOff>
    </xdr:from>
    <xdr:to>
      <xdr:col>10</xdr:col>
      <xdr:colOff>228600</xdr:colOff>
      <xdr:row>260</xdr:row>
      <xdr:rowOff>66675</xdr:rowOff>
    </xdr:to>
    <xdr:grpSp>
      <xdr:nvGrpSpPr>
        <xdr:cNvPr id="305" name="Group 404"/>
        <xdr:cNvGrpSpPr>
          <a:grpSpLocks/>
        </xdr:cNvGrpSpPr>
      </xdr:nvGrpSpPr>
      <xdr:grpSpPr>
        <a:xfrm>
          <a:off x="9686925" y="42824400"/>
          <a:ext cx="95250" cy="666750"/>
          <a:chOff x="-65" y="-3462"/>
          <a:chExt cx="10" cy="20385"/>
        </a:xfrm>
        <a:solidFill>
          <a:srgbClr val="FFFFFF"/>
        </a:solidFill>
      </xdr:grpSpPr>
      <xdr:sp>
        <xdr:nvSpPr>
          <xdr:cNvPr id="306" name="Line 405"/>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7" name="Line 406"/>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8" name="Line 407"/>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256</xdr:row>
      <xdr:rowOff>66675</xdr:rowOff>
    </xdr:from>
    <xdr:to>
      <xdr:col>8</xdr:col>
      <xdr:colOff>219075</xdr:colOff>
      <xdr:row>260</xdr:row>
      <xdr:rowOff>76200</xdr:rowOff>
    </xdr:to>
    <xdr:grpSp>
      <xdr:nvGrpSpPr>
        <xdr:cNvPr id="309" name="Group 408"/>
        <xdr:cNvGrpSpPr>
          <a:grpSpLocks/>
        </xdr:cNvGrpSpPr>
      </xdr:nvGrpSpPr>
      <xdr:grpSpPr>
        <a:xfrm>
          <a:off x="7534275" y="42843450"/>
          <a:ext cx="47625" cy="657225"/>
          <a:chOff x="-60" y="-3077"/>
          <a:chExt cx="4" cy="20385"/>
        </a:xfrm>
        <a:solidFill>
          <a:srgbClr val="FFFFFF"/>
        </a:solidFill>
      </xdr:grpSpPr>
      <xdr:sp>
        <xdr:nvSpPr>
          <xdr:cNvPr id="310" name="Line 409"/>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1" name="Line 410"/>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2" name="Line 411"/>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256</xdr:row>
      <xdr:rowOff>66675</xdr:rowOff>
    </xdr:from>
    <xdr:to>
      <xdr:col>1</xdr:col>
      <xdr:colOff>66675</xdr:colOff>
      <xdr:row>260</xdr:row>
      <xdr:rowOff>66675</xdr:rowOff>
    </xdr:to>
    <xdr:grpSp>
      <xdr:nvGrpSpPr>
        <xdr:cNvPr id="313" name="Group 412"/>
        <xdr:cNvGrpSpPr>
          <a:grpSpLocks/>
        </xdr:cNvGrpSpPr>
      </xdr:nvGrpSpPr>
      <xdr:grpSpPr>
        <a:xfrm>
          <a:off x="266700" y="42843450"/>
          <a:ext cx="123825" cy="647700"/>
          <a:chOff x="-1639" y="-3077"/>
          <a:chExt cx="3607" cy="20000"/>
        </a:xfrm>
        <a:solidFill>
          <a:srgbClr val="FFFFFF"/>
        </a:solidFill>
      </xdr:grpSpPr>
      <xdr:sp>
        <xdr:nvSpPr>
          <xdr:cNvPr id="314" name="Line 413"/>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5" name="Line 414"/>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6" name="Line 415"/>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256</xdr:row>
      <xdr:rowOff>66675</xdr:rowOff>
    </xdr:from>
    <xdr:to>
      <xdr:col>1</xdr:col>
      <xdr:colOff>66675</xdr:colOff>
      <xdr:row>260</xdr:row>
      <xdr:rowOff>66675</xdr:rowOff>
    </xdr:to>
    <xdr:grpSp>
      <xdr:nvGrpSpPr>
        <xdr:cNvPr id="317" name="Group 416"/>
        <xdr:cNvGrpSpPr>
          <a:grpSpLocks/>
        </xdr:cNvGrpSpPr>
      </xdr:nvGrpSpPr>
      <xdr:grpSpPr>
        <a:xfrm>
          <a:off x="266700" y="42843450"/>
          <a:ext cx="123825" cy="647700"/>
          <a:chOff x="-1639" y="-3077"/>
          <a:chExt cx="3607" cy="20000"/>
        </a:xfrm>
        <a:solidFill>
          <a:srgbClr val="FFFFFF"/>
        </a:solidFill>
      </xdr:grpSpPr>
      <xdr:sp>
        <xdr:nvSpPr>
          <xdr:cNvPr id="318" name="Line 417"/>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9" name="Line 418"/>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0" name="Line 419"/>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272</xdr:row>
      <xdr:rowOff>85725</xdr:rowOff>
    </xdr:from>
    <xdr:to>
      <xdr:col>2</xdr:col>
      <xdr:colOff>295275</xdr:colOff>
      <xdr:row>276</xdr:row>
      <xdr:rowOff>95250</xdr:rowOff>
    </xdr:to>
    <xdr:grpSp>
      <xdr:nvGrpSpPr>
        <xdr:cNvPr id="321" name="Group 420"/>
        <xdr:cNvGrpSpPr>
          <a:grpSpLocks/>
        </xdr:cNvGrpSpPr>
      </xdr:nvGrpSpPr>
      <xdr:grpSpPr>
        <a:xfrm>
          <a:off x="1143000" y="45472350"/>
          <a:ext cx="142875" cy="657225"/>
          <a:chOff x="-63" y="-2308"/>
          <a:chExt cx="13" cy="20385"/>
        </a:xfrm>
        <a:solidFill>
          <a:srgbClr val="FFFFFF"/>
        </a:solidFill>
      </xdr:grpSpPr>
      <xdr:sp>
        <xdr:nvSpPr>
          <xdr:cNvPr id="322" name="Line 421"/>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3" name="Line 422"/>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4" name="Line 423"/>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272</xdr:row>
      <xdr:rowOff>85725</xdr:rowOff>
    </xdr:from>
    <xdr:to>
      <xdr:col>3</xdr:col>
      <xdr:colOff>19050</xdr:colOff>
      <xdr:row>276</xdr:row>
      <xdr:rowOff>66675</xdr:rowOff>
    </xdr:to>
    <xdr:grpSp>
      <xdr:nvGrpSpPr>
        <xdr:cNvPr id="325" name="Group 424"/>
        <xdr:cNvGrpSpPr>
          <a:grpSpLocks/>
        </xdr:cNvGrpSpPr>
      </xdr:nvGrpSpPr>
      <xdr:grpSpPr>
        <a:xfrm>
          <a:off x="1819275" y="45472350"/>
          <a:ext cx="209550" cy="628650"/>
          <a:chOff x="-3200" y="-2308"/>
          <a:chExt cx="4800" cy="19231"/>
        </a:xfrm>
        <a:solidFill>
          <a:srgbClr val="FFFFFF"/>
        </a:solidFill>
      </xdr:grpSpPr>
      <xdr:sp>
        <xdr:nvSpPr>
          <xdr:cNvPr id="326" name="Line 425"/>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7" name="Line 426"/>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8" name="Line 427"/>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1076325</xdr:colOff>
      <xdr:row>272</xdr:row>
      <xdr:rowOff>66675</xdr:rowOff>
    </xdr:from>
    <xdr:to>
      <xdr:col>7</xdr:col>
      <xdr:colOff>295275</xdr:colOff>
      <xdr:row>276</xdr:row>
      <xdr:rowOff>66675</xdr:rowOff>
    </xdr:to>
    <xdr:grpSp>
      <xdr:nvGrpSpPr>
        <xdr:cNvPr id="329" name="Group 428"/>
        <xdr:cNvGrpSpPr>
          <a:grpSpLocks/>
        </xdr:cNvGrpSpPr>
      </xdr:nvGrpSpPr>
      <xdr:grpSpPr>
        <a:xfrm>
          <a:off x="6362700" y="45453300"/>
          <a:ext cx="381000" cy="647700"/>
          <a:chOff x="-952" y="-2308"/>
          <a:chExt cx="2619" cy="20000"/>
        </a:xfrm>
        <a:solidFill>
          <a:srgbClr val="FFFFFF"/>
        </a:solidFill>
      </xdr:grpSpPr>
      <xdr:sp>
        <xdr:nvSpPr>
          <xdr:cNvPr id="330" name="Line 429"/>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1" name="Line 430"/>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2" name="Line 431"/>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272</xdr:row>
      <xdr:rowOff>95250</xdr:rowOff>
    </xdr:from>
    <xdr:to>
      <xdr:col>6</xdr:col>
      <xdr:colOff>47625</xdr:colOff>
      <xdr:row>276</xdr:row>
      <xdr:rowOff>114300</xdr:rowOff>
    </xdr:to>
    <xdr:grpSp>
      <xdr:nvGrpSpPr>
        <xdr:cNvPr id="333" name="Group 432"/>
        <xdr:cNvGrpSpPr>
          <a:grpSpLocks/>
        </xdr:cNvGrpSpPr>
      </xdr:nvGrpSpPr>
      <xdr:grpSpPr>
        <a:xfrm>
          <a:off x="5286375" y="45481875"/>
          <a:ext cx="47625" cy="666750"/>
          <a:chOff x="0" y="-1923"/>
          <a:chExt cx="1633" cy="20385"/>
        </a:xfrm>
        <a:solidFill>
          <a:srgbClr val="FFFFFF"/>
        </a:solidFill>
      </xdr:grpSpPr>
      <xdr:sp>
        <xdr:nvSpPr>
          <xdr:cNvPr id="334" name="Line 433"/>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5" name="Line 434"/>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6" name="Line 435"/>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272</xdr:row>
      <xdr:rowOff>66675</xdr:rowOff>
    </xdr:from>
    <xdr:to>
      <xdr:col>9</xdr:col>
      <xdr:colOff>47625</xdr:colOff>
      <xdr:row>276</xdr:row>
      <xdr:rowOff>66675</xdr:rowOff>
    </xdr:to>
    <xdr:grpSp>
      <xdr:nvGrpSpPr>
        <xdr:cNvPr id="337" name="Group 436"/>
        <xdr:cNvGrpSpPr>
          <a:grpSpLocks/>
        </xdr:cNvGrpSpPr>
      </xdr:nvGrpSpPr>
      <xdr:grpSpPr>
        <a:xfrm>
          <a:off x="8172450" y="45453300"/>
          <a:ext cx="295275" cy="647700"/>
          <a:chOff x="-2553" y="-3077"/>
          <a:chExt cx="4255" cy="20000"/>
        </a:xfrm>
        <a:solidFill>
          <a:srgbClr val="FFFFFF"/>
        </a:solidFill>
      </xdr:grpSpPr>
      <xdr:sp>
        <xdr:nvSpPr>
          <xdr:cNvPr id="338" name="Line 437"/>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9" name="Line 438"/>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0" name="Line 439"/>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272</xdr:row>
      <xdr:rowOff>47625</xdr:rowOff>
    </xdr:from>
    <xdr:to>
      <xdr:col>10</xdr:col>
      <xdr:colOff>228600</xdr:colOff>
      <xdr:row>276</xdr:row>
      <xdr:rowOff>66675</xdr:rowOff>
    </xdr:to>
    <xdr:grpSp>
      <xdr:nvGrpSpPr>
        <xdr:cNvPr id="341" name="Group 440"/>
        <xdr:cNvGrpSpPr>
          <a:grpSpLocks/>
        </xdr:cNvGrpSpPr>
      </xdr:nvGrpSpPr>
      <xdr:grpSpPr>
        <a:xfrm>
          <a:off x="9686925" y="45434250"/>
          <a:ext cx="95250" cy="666750"/>
          <a:chOff x="-65" y="-3462"/>
          <a:chExt cx="10" cy="20385"/>
        </a:xfrm>
        <a:solidFill>
          <a:srgbClr val="FFFFFF"/>
        </a:solidFill>
      </xdr:grpSpPr>
      <xdr:sp>
        <xdr:nvSpPr>
          <xdr:cNvPr id="342" name="Line 441"/>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3" name="Line 442"/>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4" name="Line 443"/>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272</xdr:row>
      <xdr:rowOff>66675</xdr:rowOff>
    </xdr:from>
    <xdr:to>
      <xdr:col>8</xdr:col>
      <xdr:colOff>219075</xdr:colOff>
      <xdr:row>276</xdr:row>
      <xdr:rowOff>76200</xdr:rowOff>
    </xdr:to>
    <xdr:grpSp>
      <xdr:nvGrpSpPr>
        <xdr:cNvPr id="345" name="Group 444"/>
        <xdr:cNvGrpSpPr>
          <a:grpSpLocks/>
        </xdr:cNvGrpSpPr>
      </xdr:nvGrpSpPr>
      <xdr:grpSpPr>
        <a:xfrm>
          <a:off x="7534275" y="45453300"/>
          <a:ext cx="47625" cy="657225"/>
          <a:chOff x="-60" y="-3077"/>
          <a:chExt cx="4" cy="20385"/>
        </a:xfrm>
        <a:solidFill>
          <a:srgbClr val="FFFFFF"/>
        </a:solidFill>
      </xdr:grpSpPr>
      <xdr:sp>
        <xdr:nvSpPr>
          <xdr:cNvPr id="346" name="Line 445"/>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7" name="Line 446"/>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8" name="Line 447"/>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272</xdr:row>
      <xdr:rowOff>66675</xdr:rowOff>
    </xdr:from>
    <xdr:to>
      <xdr:col>1</xdr:col>
      <xdr:colOff>66675</xdr:colOff>
      <xdr:row>276</xdr:row>
      <xdr:rowOff>66675</xdr:rowOff>
    </xdr:to>
    <xdr:grpSp>
      <xdr:nvGrpSpPr>
        <xdr:cNvPr id="349" name="Group 448"/>
        <xdr:cNvGrpSpPr>
          <a:grpSpLocks/>
        </xdr:cNvGrpSpPr>
      </xdr:nvGrpSpPr>
      <xdr:grpSpPr>
        <a:xfrm>
          <a:off x="266700" y="45453300"/>
          <a:ext cx="123825" cy="647700"/>
          <a:chOff x="-1639" y="-3077"/>
          <a:chExt cx="3607" cy="20000"/>
        </a:xfrm>
        <a:solidFill>
          <a:srgbClr val="FFFFFF"/>
        </a:solidFill>
      </xdr:grpSpPr>
      <xdr:sp>
        <xdr:nvSpPr>
          <xdr:cNvPr id="350" name="Line 449"/>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1" name="Line 450"/>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2" name="Line 451"/>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272</xdr:row>
      <xdr:rowOff>66675</xdr:rowOff>
    </xdr:from>
    <xdr:to>
      <xdr:col>1</xdr:col>
      <xdr:colOff>66675</xdr:colOff>
      <xdr:row>276</xdr:row>
      <xdr:rowOff>66675</xdr:rowOff>
    </xdr:to>
    <xdr:grpSp>
      <xdr:nvGrpSpPr>
        <xdr:cNvPr id="353" name="Group 452"/>
        <xdr:cNvGrpSpPr>
          <a:grpSpLocks/>
        </xdr:cNvGrpSpPr>
      </xdr:nvGrpSpPr>
      <xdr:grpSpPr>
        <a:xfrm>
          <a:off x="266700" y="45453300"/>
          <a:ext cx="123825" cy="647700"/>
          <a:chOff x="-1639" y="-3077"/>
          <a:chExt cx="3607" cy="20000"/>
        </a:xfrm>
        <a:solidFill>
          <a:srgbClr val="FFFFFF"/>
        </a:solidFill>
      </xdr:grpSpPr>
      <xdr:sp>
        <xdr:nvSpPr>
          <xdr:cNvPr id="354" name="Line 453"/>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5" name="Line 454"/>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6" name="Line 455"/>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0</xdr:colOff>
      <xdr:row>21</xdr:row>
      <xdr:rowOff>28575</xdr:rowOff>
    </xdr:from>
    <xdr:to>
      <xdr:col>5</xdr:col>
      <xdr:colOff>428625</xdr:colOff>
      <xdr:row>46</xdr:row>
      <xdr:rowOff>123825</xdr:rowOff>
    </xdr:to>
    <xdr:grpSp>
      <xdr:nvGrpSpPr>
        <xdr:cNvPr id="357" name="Group 639"/>
        <xdr:cNvGrpSpPr>
          <a:grpSpLocks/>
        </xdr:cNvGrpSpPr>
      </xdr:nvGrpSpPr>
      <xdr:grpSpPr>
        <a:xfrm>
          <a:off x="990600" y="4000500"/>
          <a:ext cx="3609975" cy="4143375"/>
          <a:chOff x="91" y="216"/>
          <a:chExt cx="269" cy="333"/>
        </a:xfrm>
        <a:solidFill>
          <a:srgbClr val="FFFFFF"/>
        </a:solidFill>
      </xdr:grpSpPr>
      <xdr:sp>
        <xdr:nvSpPr>
          <xdr:cNvPr id="358" name="Oval 2"/>
          <xdr:cNvSpPr>
            <a:spLocks/>
          </xdr:cNvSpPr>
        </xdr:nvSpPr>
        <xdr:spPr>
          <a:xfrm>
            <a:off x="114" y="408"/>
            <a:ext cx="219" cy="81"/>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359" name="Group 3"/>
          <xdr:cNvGrpSpPr>
            <a:grpSpLocks/>
          </xdr:cNvGrpSpPr>
        </xdr:nvGrpSpPr>
        <xdr:grpSpPr>
          <a:xfrm>
            <a:off x="114" y="351"/>
            <a:ext cx="221" cy="198"/>
            <a:chOff x="1498" y="7631"/>
            <a:chExt cx="14398" cy="12184"/>
          </a:xfrm>
          <a:solidFill>
            <a:srgbClr val="FFFFFF"/>
          </a:solidFill>
        </xdr:grpSpPr>
        <xdr:grpSp>
          <xdr:nvGrpSpPr>
            <xdr:cNvPr id="360" name="Group 4"/>
            <xdr:cNvGrpSpPr>
              <a:grpSpLocks/>
            </xdr:cNvGrpSpPr>
          </xdr:nvGrpSpPr>
          <xdr:grpSpPr>
            <a:xfrm>
              <a:off x="1498" y="7631"/>
              <a:ext cx="14333" cy="5970"/>
              <a:chOff x="1498" y="7631"/>
              <a:chExt cx="14333" cy="5969"/>
            </a:xfrm>
            <a:solidFill>
              <a:srgbClr val="FFFFFF"/>
            </a:solidFill>
          </xdr:grpSpPr>
          <xdr:sp>
            <xdr:nvSpPr>
              <xdr:cNvPr id="361" name="Arc 5"/>
              <xdr:cNvSpPr>
                <a:spLocks/>
              </xdr:cNvSpPr>
            </xdr:nvSpPr>
            <xdr:spPr>
              <a:xfrm flipH="1">
                <a:off x="1498" y="7631"/>
                <a:ext cx="7428" cy="5969"/>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2" name="Arc 6"/>
              <xdr:cNvSpPr>
                <a:spLocks/>
              </xdr:cNvSpPr>
            </xdr:nvSpPr>
            <xdr:spPr>
              <a:xfrm>
                <a:off x="8862" y="7631"/>
                <a:ext cx="6969" cy="5847"/>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363" name="Group 7"/>
            <xdr:cNvGrpSpPr>
              <a:grpSpLocks/>
            </xdr:cNvGrpSpPr>
          </xdr:nvGrpSpPr>
          <xdr:grpSpPr>
            <a:xfrm>
              <a:off x="1498" y="13784"/>
              <a:ext cx="14398" cy="6031"/>
              <a:chOff x="1498" y="13785"/>
              <a:chExt cx="14398" cy="6030"/>
            </a:xfrm>
            <a:solidFill>
              <a:srgbClr val="FFFFFF"/>
            </a:solidFill>
          </xdr:grpSpPr>
          <xdr:sp>
            <xdr:nvSpPr>
              <xdr:cNvPr id="364" name="Arc 8"/>
              <xdr:cNvSpPr>
                <a:spLocks/>
              </xdr:cNvSpPr>
            </xdr:nvSpPr>
            <xdr:spPr>
              <a:xfrm flipH="1" flipV="1">
                <a:off x="1498" y="13785"/>
                <a:ext cx="7426" cy="603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5" name="Arc 9"/>
              <xdr:cNvSpPr>
                <a:spLocks/>
              </xdr:cNvSpPr>
            </xdr:nvSpPr>
            <xdr:spPr>
              <a:xfrm flipV="1">
                <a:off x="8924" y="13785"/>
                <a:ext cx="6972" cy="603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366" name="Arc 10"/>
            <xdr:cNvSpPr>
              <a:spLocks/>
            </xdr:cNvSpPr>
          </xdr:nvSpPr>
          <xdr:spPr>
            <a:xfrm flipH="1">
              <a:off x="6059" y="7631"/>
              <a:ext cx="2865" cy="837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367" name="Group 11"/>
          <xdr:cNvGrpSpPr>
            <a:grpSpLocks/>
          </xdr:cNvGrpSpPr>
        </xdr:nvGrpSpPr>
        <xdr:grpSpPr>
          <a:xfrm>
            <a:off x="226" y="352"/>
            <a:ext cx="87" cy="125"/>
            <a:chOff x="8795" y="7692"/>
            <a:chExt cx="5668" cy="7693"/>
          </a:xfrm>
          <a:solidFill>
            <a:srgbClr val="FFFFFF"/>
          </a:solidFill>
        </xdr:grpSpPr>
        <xdr:sp>
          <xdr:nvSpPr>
            <xdr:cNvPr id="368" name="Arc 12"/>
            <xdr:cNvSpPr>
              <a:spLocks/>
            </xdr:cNvSpPr>
          </xdr:nvSpPr>
          <xdr:spPr>
            <a:xfrm>
              <a:off x="8925" y="7692"/>
              <a:ext cx="5538" cy="7693"/>
            </a:xfrm>
            <a:prstGeom prst="arc">
              <a:avLst/>
            </a:prstGeom>
            <a:no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9" name="Line 13"/>
            <xdr:cNvSpPr>
              <a:spLocks/>
            </xdr:cNvSpPr>
          </xdr:nvSpPr>
          <xdr:spPr>
            <a:xfrm flipV="1">
              <a:off x="8795" y="10892"/>
              <a:ext cx="4495" cy="2585"/>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370" name="Line 15"/>
          <xdr:cNvSpPr>
            <a:spLocks/>
          </xdr:cNvSpPr>
        </xdr:nvSpPr>
        <xdr:spPr>
          <a:xfrm flipV="1">
            <a:off x="91" y="447"/>
            <a:ext cx="269"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1" name="Line 16"/>
          <xdr:cNvSpPr>
            <a:spLocks/>
          </xdr:cNvSpPr>
        </xdr:nvSpPr>
        <xdr:spPr>
          <a:xfrm flipH="1">
            <a:off x="173" y="411"/>
            <a:ext cx="88" cy="87"/>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2" name="Line 17"/>
          <xdr:cNvSpPr>
            <a:spLocks/>
          </xdr:cNvSpPr>
        </xdr:nvSpPr>
        <xdr:spPr>
          <a:xfrm flipV="1">
            <a:off x="227" y="321"/>
            <a:ext cx="0" cy="125"/>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3" name="Line 31"/>
          <xdr:cNvSpPr>
            <a:spLocks/>
          </xdr:cNvSpPr>
        </xdr:nvSpPr>
        <xdr:spPr>
          <a:xfrm>
            <a:off x="259" y="379"/>
            <a:ext cx="35" cy="25"/>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4" name="Line 32"/>
          <xdr:cNvSpPr>
            <a:spLocks/>
          </xdr:cNvSpPr>
        </xdr:nvSpPr>
        <xdr:spPr>
          <a:xfrm>
            <a:off x="275" y="228"/>
            <a:ext cx="71" cy="58"/>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5" name="Line 33"/>
          <xdr:cNvSpPr>
            <a:spLocks/>
          </xdr:cNvSpPr>
        </xdr:nvSpPr>
        <xdr:spPr>
          <a:xfrm flipV="1">
            <a:off x="263" y="244"/>
            <a:ext cx="83" cy="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6" name="Line 34"/>
          <xdr:cNvSpPr>
            <a:spLocks/>
          </xdr:cNvSpPr>
        </xdr:nvSpPr>
        <xdr:spPr>
          <a:xfrm flipV="1">
            <a:off x="314" y="216"/>
            <a:ext cx="19" cy="44"/>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7" name="Line 35"/>
          <xdr:cNvSpPr>
            <a:spLocks/>
          </xdr:cNvSpPr>
        </xdr:nvSpPr>
        <xdr:spPr>
          <a:xfrm>
            <a:off x="242" y="402"/>
            <a:ext cx="28" cy="3"/>
          </a:xfrm>
          <a:prstGeom prst="line">
            <a:avLst/>
          </a:prstGeom>
          <a:solidFill>
            <a:srgbClr val="FFFFFF"/>
          </a:solidFill>
          <a:ln w="1" cmpd="sng">
            <a:solidFill>
              <a:srgbClr val="FF808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378" name="Line 36"/>
          <xdr:cNvSpPr>
            <a:spLocks/>
          </xdr:cNvSpPr>
        </xdr:nvSpPr>
        <xdr:spPr>
          <a:xfrm flipH="1">
            <a:off x="288" y="366"/>
            <a:ext cx="21" cy="31"/>
          </a:xfrm>
          <a:prstGeom prst="line">
            <a:avLst/>
          </a:prstGeom>
          <a:solidFill>
            <a:srgbClr val="FFFFFF"/>
          </a:solidFill>
          <a:ln w="9525" cmpd="sng">
            <a:solidFill>
              <a:srgbClr val="FF808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379" name="Arc 37"/>
          <xdr:cNvSpPr>
            <a:spLocks/>
          </xdr:cNvSpPr>
        </xdr:nvSpPr>
        <xdr:spPr>
          <a:xfrm flipV="1">
            <a:off x="271" y="397"/>
            <a:ext cx="17" cy="8"/>
          </a:xfrm>
          <a:prstGeom prst="arc">
            <a:avLst/>
          </a:prstGeom>
          <a:noFill/>
          <a:ln w="9525" cmpd="sng">
            <a:solidFill>
              <a:srgbClr val="FF808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380" name="Group 38"/>
          <xdr:cNvGrpSpPr>
            <a:grpSpLocks/>
          </xdr:cNvGrpSpPr>
        </xdr:nvGrpSpPr>
        <xdr:grpSpPr>
          <a:xfrm>
            <a:off x="227" y="260"/>
            <a:ext cx="87" cy="225"/>
            <a:chOff x="8860" y="2031"/>
            <a:chExt cx="5668" cy="13846"/>
          </a:xfrm>
          <a:solidFill>
            <a:srgbClr val="FFFFFF"/>
          </a:solidFill>
        </xdr:grpSpPr>
        <xdr:grpSp>
          <xdr:nvGrpSpPr>
            <xdr:cNvPr id="381" name="Group 39"/>
            <xdr:cNvGrpSpPr>
              <a:grpSpLocks/>
            </xdr:cNvGrpSpPr>
          </xdr:nvGrpSpPr>
          <xdr:grpSpPr>
            <a:xfrm>
              <a:off x="8860" y="2031"/>
              <a:ext cx="5668" cy="13846"/>
              <a:chOff x="8860" y="2031"/>
              <a:chExt cx="5668" cy="13846"/>
            </a:xfrm>
            <a:solidFill>
              <a:srgbClr val="FFFFFF"/>
            </a:solidFill>
          </xdr:grpSpPr>
          <xdr:sp>
            <xdr:nvSpPr>
              <xdr:cNvPr id="382" name="Arc 40"/>
              <xdr:cNvSpPr>
                <a:spLocks/>
              </xdr:cNvSpPr>
            </xdr:nvSpPr>
            <xdr:spPr>
              <a:xfrm>
                <a:off x="8990" y="7694"/>
                <a:ext cx="3258" cy="8183"/>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3" name="Line 41"/>
              <xdr:cNvSpPr>
                <a:spLocks/>
              </xdr:cNvSpPr>
            </xdr:nvSpPr>
            <xdr:spPr>
              <a:xfrm flipV="1">
                <a:off x="8860" y="2031"/>
                <a:ext cx="5668" cy="11447"/>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384" name="Line 42"/>
            <xdr:cNvSpPr>
              <a:spLocks/>
            </xdr:cNvSpPr>
          </xdr:nvSpPr>
          <xdr:spPr>
            <a:xfrm>
              <a:off x="8925" y="13416"/>
              <a:ext cx="3323" cy="2399"/>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385" name="Group 458"/>
          <xdr:cNvGrpSpPr>
            <a:grpSpLocks/>
          </xdr:cNvGrpSpPr>
        </xdr:nvGrpSpPr>
        <xdr:grpSpPr>
          <a:xfrm>
            <a:off x="290" y="246"/>
            <a:ext cx="53" cy="18"/>
            <a:chOff x="12964" y="1170"/>
            <a:chExt cx="3453" cy="1107"/>
          </a:xfrm>
          <a:solidFill>
            <a:srgbClr val="FFFFFF"/>
          </a:solidFill>
        </xdr:grpSpPr>
        <xdr:sp>
          <xdr:nvSpPr>
            <xdr:cNvPr id="386" name="Line 459"/>
            <xdr:cNvSpPr>
              <a:spLocks/>
            </xdr:cNvSpPr>
          </xdr:nvSpPr>
          <xdr:spPr>
            <a:xfrm flipH="1">
              <a:off x="12964" y="1170"/>
              <a:ext cx="0" cy="110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7" name="Arc 460"/>
            <xdr:cNvSpPr>
              <a:spLocks/>
            </xdr:cNvSpPr>
          </xdr:nvSpPr>
          <xdr:spPr>
            <a:xfrm>
              <a:off x="15375" y="1539"/>
              <a:ext cx="521" cy="30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8" name="Line 461"/>
            <xdr:cNvSpPr>
              <a:spLocks/>
            </xdr:cNvSpPr>
          </xdr:nvSpPr>
          <xdr:spPr>
            <a:xfrm>
              <a:off x="13225" y="1170"/>
              <a:ext cx="456" cy="36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9" name="Line 462"/>
            <xdr:cNvSpPr>
              <a:spLocks/>
            </xdr:cNvSpPr>
          </xdr:nvSpPr>
          <xdr:spPr>
            <a:xfrm flipH="1" flipV="1">
              <a:off x="15896" y="1847"/>
              <a:ext cx="260" cy="6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0" name="Rectangle 463"/>
            <xdr:cNvSpPr>
              <a:spLocks/>
            </xdr:cNvSpPr>
          </xdr:nvSpPr>
          <xdr:spPr>
            <a:xfrm>
              <a:off x="13029" y="1908"/>
              <a:ext cx="1759" cy="12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1" name="Line 464"/>
            <xdr:cNvSpPr>
              <a:spLocks/>
            </xdr:cNvSpPr>
          </xdr:nvSpPr>
          <xdr:spPr>
            <a:xfrm>
              <a:off x="12964" y="2277"/>
              <a:ext cx="325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2" name="Rectangle 465"/>
            <xdr:cNvSpPr>
              <a:spLocks/>
            </xdr:cNvSpPr>
          </xdr:nvSpPr>
          <xdr:spPr>
            <a:xfrm>
              <a:off x="15570" y="1600"/>
              <a:ext cx="130" cy="247"/>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3" name="Line 466"/>
            <xdr:cNvSpPr>
              <a:spLocks/>
            </xdr:cNvSpPr>
          </xdr:nvSpPr>
          <xdr:spPr>
            <a:xfrm>
              <a:off x="12964" y="1170"/>
              <a:ext cx="26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4" name="Line 467"/>
            <xdr:cNvSpPr>
              <a:spLocks/>
            </xdr:cNvSpPr>
          </xdr:nvSpPr>
          <xdr:spPr>
            <a:xfrm>
              <a:off x="13681" y="1539"/>
              <a:ext cx="18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5" name="Arc 468"/>
            <xdr:cNvSpPr>
              <a:spLocks/>
            </xdr:cNvSpPr>
          </xdr:nvSpPr>
          <xdr:spPr>
            <a:xfrm>
              <a:off x="16091" y="1908"/>
              <a:ext cx="326" cy="18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6" name="Arc 469"/>
            <xdr:cNvSpPr>
              <a:spLocks/>
            </xdr:cNvSpPr>
          </xdr:nvSpPr>
          <xdr:spPr>
            <a:xfrm flipV="1">
              <a:off x="16156" y="2093"/>
              <a:ext cx="261" cy="184"/>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7" name="Line 470"/>
            <xdr:cNvSpPr>
              <a:spLocks/>
            </xdr:cNvSpPr>
          </xdr:nvSpPr>
          <xdr:spPr>
            <a:xfrm>
              <a:off x="13746" y="1539"/>
              <a:ext cx="0" cy="24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8" name="Line 471"/>
            <xdr:cNvSpPr>
              <a:spLocks/>
            </xdr:cNvSpPr>
          </xdr:nvSpPr>
          <xdr:spPr>
            <a:xfrm>
              <a:off x="15309" y="1539"/>
              <a:ext cx="0" cy="24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9" name="Line 472"/>
            <xdr:cNvSpPr>
              <a:spLocks/>
            </xdr:cNvSpPr>
          </xdr:nvSpPr>
          <xdr:spPr>
            <a:xfrm>
              <a:off x="13746" y="1785"/>
              <a:ext cx="156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8</xdr:col>
      <xdr:colOff>0</xdr:colOff>
      <xdr:row>15</xdr:row>
      <xdr:rowOff>47625</xdr:rowOff>
    </xdr:from>
    <xdr:to>
      <xdr:col>11</xdr:col>
      <xdr:colOff>276225</xdr:colOff>
      <xdr:row>38</xdr:row>
      <xdr:rowOff>123825</xdr:rowOff>
    </xdr:to>
    <xdr:grpSp>
      <xdr:nvGrpSpPr>
        <xdr:cNvPr id="400" name="Group 488"/>
        <xdr:cNvGrpSpPr>
          <a:grpSpLocks/>
        </xdr:cNvGrpSpPr>
      </xdr:nvGrpSpPr>
      <xdr:grpSpPr>
        <a:xfrm>
          <a:off x="7362825" y="3048000"/>
          <a:ext cx="3600450" cy="3800475"/>
          <a:chOff x="0" y="-602"/>
          <a:chExt cx="16074" cy="20401"/>
        </a:xfrm>
        <a:solidFill>
          <a:srgbClr val="FFFFFF"/>
        </a:solidFill>
      </xdr:grpSpPr>
      <xdr:sp>
        <xdr:nvSpPr>
          <xdr:cNvPr id="401" name="Oval 44"/>
          <xdr:cNvSpPr>
            <a:spLocks/>
          </xdr:cNvSpPr>
        </xdr:nvSpPr>
        <xdr:spPr>
          <a:xfrm>
            <a:off x="0" y="10369"/>
            <a:ext cx="14479" cy="5554"/>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402" name="Group 45"/>
          <xdr:cNvGrpSpPr>
            <a:grpSpLocks/>
          </xdr:cNvGrpSpPr>
        </xdr:nvGrpSpPr>
        <xdr:grpSpPr>
          <a:xfrm>
            <a:off x="0" y="4549"/>
            <a:ext cx="16074" cy="11975"/>
            <a:chOff x="0" y="4548"/>
            <a:chExt cx="16074" cy="11974"/>
          </a:xfrm>
          <a:solidFill>
            <a:srgbClr val="FFFFFF"/>
          </a:solidFill>
        </xdr:grpSpPr>
        <xdr:sp>
          <xdr:nvSpPr>
            <xdr:cNvPr id="403" name="Line 46"/>
            <xdr:cNvSpPr>
              <a:spLocks/>
            </xdr:cNvSpPr>
          </xdr:nvSpPr>
          <xdr:spPr>
            <a:xfrm flipV="1">
              <a:off x="0" y="13044"/>
              <a:ext cx="16074"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4" name="Line 47"/>
            <xdr:cNvSpPr>
              <a:spLocks/>
            </xdr:cNvSpPr>
          </xdr:nvSpPr>
          <xdr:spPr>
            <a:xfrm flipH="1">
              <a:off x="4051" y="10436"/>
              <a:ext cx="6136" cy="6086"/>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5" name="Line 48"/>
            <xdr:cNvSpPr>
              <a:spLocks/>
            </xdr:cNvSpPr>
          </xdr:nvSpPr>
          <xdr:spPr>
            <a:xfrm flipV="1">
              <a:off x="7607" y="4548"/>
              <a:ext cx="0" cy="8496"/>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406" name="Group 49"/>
          <xdr:cNvGrpSpPr>
            <a:grpSpLocks/>
          </xdr:cNvGrpSpPr>
        </xdr:nvGrpSpPr>
        <xdr:grpSpPr>
          <a:xfrm>
            <a:off x="0" y="6620"/>
            <a:ext cx="14479" cy="13179"/>
            <a:chOff x="0" y="6622"/>
            <a:chExt cx="14479" cy="13177"/>
          </a:xfrm>
          <a:solidFill>
            <a:srgbClr val="FFFFFF"/>
          </a:solidFill>
        </xdr:grpSpPr>
        <xdr:grpSp>
          <xdr:nvGrpSpPr>
            <xdr:cNvPr id="407" name="Group 50"/>
            <xdr:cNvGrpSpPr>
              <a:grpSpLocks/>
            </xdr:cNvGrpSpPr>
          </xdr:nvGrpSpPr>
          <xdr:grpSpPr>
            <a:xfrm>
              <a:off x="0" y="6622"/>
              <a:ext cx="14479" cy="6355"/>
              <a:chOff x="0" y="6622"/>
              <a:chExt cx="14479" cy="6355"/>
            </a:xfrm>
            <a:solidFill>
              <a:srgbClr val="FFFFFF"/>
            </a:solidFill>
          </xdr:grpSpPr>
          <xdr:sp>
            <xdr:nvSpPr>
              <xdr:cNvPr id="408" name="Arc 51"/>
              <xdr:cNvSpPr>
                <a:spLocks/>
              </xdr:cNvSpPr>
            </xdr:nvSpPr>
            <xdr:spPr>
              <a:xfrm flipH="1">
                <a:off x="0" y="6622"/>
                <a:ext cx="7609" cy="6355"/>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9" name="Arc 52"/>
              <xdr:cNvSpPr>
                <a:spLocks/>
              </xdr:cNvSpPr>
            </xdr:nvSpPr>
            <xdr:spPr>
              <a:xfrm>
                <a:off x="7547" y="6622"/>
                <a:ext cx="6932" cy="6288"/>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410" name="Group 53"/>
            <xdr:cNvGrpSpPr>
              <a:grpSpLocks/>
            </xdr:cNvGrpSpPr>
          </xdr:nvGrpSpPr>
          <xdr:grpSpPr>
            <a:xfrm>
              <a:off x="0" y="13178"/>
              <a:ext cx="14479" cy="6621"/>
              <a:chOff x="0" y="13177"/>
              <a:chExt cx="14479" cy="6622"/>
            </a:xfrm>
            <a:solidFill>
              <a:srgbClr val="FFFFFF"/>
            </a:solidFill>
          </xdr:grpSpPr>
          <xdr:sp>
            <xdr:nvSpPr>
              <xdr:cNvPr id="411" name="Arc 54"/>
              <xdr:cNvSpPr>
                <a:spLocks/>
              </xdr:cNvSpPr>
            </xdr:nvSpPr>
            <xdr:spPr>
              <a:xfrm flipH="1" flipV="1">
                <a:off x="0" y="13177"/>
                <a:ext cx="7670" cy="6622"/>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2" name="Arc 55"/>
              <xdr:cNvSpPr>
                <a:spLocks/>
              </xdr:cNvSpPr>
            </xdr:nvSpPr>
            <xdr:spPr>
              <a:xfrm flipV="1">
                <a:off x="7609" y="13243"/>
                <a:ext cx="6870" cy="655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13" name="Arc 56"/>
            <xdr:cNvSpPr>
              <a:spLocks/>
            </xdr:cNvSpPr>
          </xdr:nvSpPr>
          <xdr:spPr>
            <a:xfrm flipH="1">
              <a:off x="4908" y="6622"/>
              <a:ext cx="2762" cy="9095"/>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14" name="Line 70"/>
          <xdr:cNvSpPr>
            <a:spLocks/>
          </xdr:cNvSpPr>
        </xdr:nvSpPr>
        <xdr:spPr>
          <a:xfrm flipH="1">
            <a:off x="12268" y="5217"/>
            <a:ext cx="1720" cy="4748"/>
          </a:xfrm>
          <a:prstGeom prst="line">
            <a:avLst/>
          </a:prstGeom>
          <a:solidFill>
            <a:srgbClr val="FFFFFF"/>
          </a:solidFill>
          <a:ln w="9525" cmpd="sng">
            <a:solidFill>
              <a:srgbClr val="00FFFF"/>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415" name="Line 71"/>
          <xdr:cNvSpPr>
            <a:spLocks/>
          </xdr:cNvSpPr>
        </xdr:nvSpPr>
        <xdr:spPr>
          <a:xfrm>
            <a:off x="8342" y="2611"/>
            <a:ext cx="1350" cy="5350"/>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416" name="Line 72"/>
          <xdr:cNvSpPr>
            <a:spLocks/>
          </xdr:cNvSpPr>
        </xdr:nvSpPr>
        <xdr:spPr>
          <a:xfrm>
            <a:off x="9757" y="8227"/>
            <a:ext cx="2516" cy="1938"/>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7" name="Arc 73"/>
          <xdr:cNvSpPr>
            <a:spLocks/>
          </xdr:cNvSpPr>
        </xdr:nvSpPr>
        <xdr:spPr>
          <a:xfrm flipV="1">
            <a:off x="5767" y="13980"/>
            <a:ext cx="4541" cy="801"/>
          </a:xfrm>
          <a:prstGeom prst="arc">
            <a:avLst/>
          </a:prstGeom>
          <a:no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8" name="Arc 74"/>
          <xdr:cNvSpPr>
            <a:spLocks/>
          </xdr:cNvSpPr>
        </xdr:nvSpPr>
        <xdr:spPr>
          <a:xfrm>
            <a:off x="8712" y="10634"/>
            <a:ext cx="1595" cy="3346"/>
          </a:xfrm>
          <a:prstGeom prst="arc">
            <a:avLst/>
          </a:prstGeom>
          <a:no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419" name="Group 75"/>
          <xdr:cNvGrpSpPr>
            <a:grpSpLocks/>
          </xdr:cNvGrpSpPr>
        </xdr:nvGrpSpPr>
        <xdr:grpSpPr>
          <a:xfrm>
            <a:off x="7547" y="6620"/>
            <a:ext cx="5706" cy="8497"/>
            <a:chOff x="7546" y="6622"/>
            <a:chExt cx="5706" cy="8495"/>
          </a:xfrm>
          <a:solidFill>
            <a:srgbClr val="FFFFFF"/>
          </a:solidFill>
        </xdr:grpSpPr>
        <xdr:grpSp>
          <xdr:nvGrpSpPr>
            <xdr:cNvPr id="420" name="Group 76"/>
            <xdr:cNvGrpSpPr>
              <a:grpSpLocks/>
            </xdr:cNvGrpSpPr>
          </xdr:nvGrpSpPr>
          <xdr:grpSpPr>
            <a:xfrm>
              <a:off x="7546" y="6622"/>
              <a:ext cx="5706" cy="8495"/>
              <a:chOff x="7546" y="6622"/>
              <a:chExt cx="5706" cy="8495"/>
            </a:xfrm>
            <a:solidFill>
              <a:srgbClr val="FFFFFF"/>
            </a:solidFill>
          </xdr:grpSpPr>
          <xdr:grpSp>
            <xdr:nvGrpSpPr>
              <xdr:cNvPr id="421" name="Group 77"/>
              <xdr:cNvGrpSpPr>
                <a:grpSpLocks/>
              </xdr:cNvGrpSpPr>
            </xdr:nvGrpSpPr>
            <xdr:grpSpPr>
              <a:xfrm>
                <a:off x="7546" y="6622"/>
                <a:ext cx="5706" cy="8495"/>
                <a:chOff x="7546" y="6622"/>
                <a:chExt cx="5706" cy="8495"/>
              </a:xfrm>
              <a:solidFill>
                <a:srgbClr val="FFFFFF"/>
              </a:solidFill>
            </xdr:grpSpPr>
            <xdr:sp>
              <xdr:nvSpPr>
                <xdr:cNvPr id="422" name="Arc 78"/>
                <xdr:cNvSpPr>
                  <a:spLocks/>
                </xdr:cNvSpPr>
              </xdr:nvSpPr>
              <xdr:spPr>
                <a:xfrm>
                  <a:off x="7669" y="6622"/>
                  <a:ext cx="5583" cy="8495"/>
                </a:xfrm>
                <a:prstGeom prst="arc">
                  <a:avLst/>
                </a:prstGeom>
                <a:no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3" name="Line 79"/>
                <xdr:cNvSpPr>
                  <a:spLocks/>
                </xdr:cNvSpPr>
              </xdr:nvSpPr>
              <xdr:spPr>
                <a:xfrm flipV="1">
                  <a:off x="7546" y="10167"/>
                  <a:ext cx="4725" cy="2876"/>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24" name="Line 80"/>
              <xdr:cNvSpPr>
                <a:spLocks/>
              </xdr:cNvSpPr>
            </xdr:nvSpPr>
            <xdr:spPr>
              <a:xfrm>
                <a:off x="7546" y="13042"/>
                <a:ext cx="5706" cy="2075"/>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25" name="Line 81"/>
            <xdr:cNvSpPr>
              <a:spLocks/>
            </xdr:cNvSpPr>
          </xdr:nvSpPr>
          <xdr:spPr>
            <a:xfrm flipH="1">
              <a:off x="10245" y="14047"/>
              <a:ext cx="61" cy="333"/>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6" name="Line 82"/>
            <xdr:cNvSpPr>
              <a:spLocks/>
            </xdr:cNvSpPr>
          </xdr:nvSpPr>
          <xdr:spPr>
            <a:xfrm flipH="1">
              <a:off x="9816" y="14047"/>
              <a:ext cx="429" cy="68"/>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7" name="Line 83"/>
            <xdr:cNvSpPr>
              <a:spLocks/>
            </xdr:cNvSpPr>
          </xdr:nvSpPr>
          <xdr:spPr>
            <a:xfrm>
              <a:off x="8711" y="10636"/>
              <a:ext cx="429" cy="0"/>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8" name="Line 84"/>
            <xdr:cNvSpPr>
              <a:spLocks/>
            </xdr:cNvSpPr>
          </xdr:nvSpPr>
          <xdr:spPr>
            <a:xfrm>
              <a:off x="8711" y="10636"/>
              <a:ext cx="123" cy="336"/>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429" name="Group 85"/>
          <xdr:cNvGrpSpPr>
            <a:grpSpLocks/>
          </xdr:cNvGrpSpPr>
        </xdr:nvGrpSpPr>
        <xdr:grpSpPr>
          <a:xfrm>
            <a:off x="6562" y="469"/>
            <a:ext cx="6687" cy="15117"/>
            <a:chOff x="6564" y="468"/>
            <a:chExt cx="6688" cy="15117"/>
          </a:xfrm>
          <a:solidFill>
            <a:srgbClr val="FFFFFF"/>
          </a:solidFill>
        </xdr:grpSpPr>
        <xdr:grpSp>
          <xdr:nvGrpSpPr>
            <xdr:cNvPr id="430" name="Group 86"/>
            <xdr:cNvGrpSpPr>
              <a:grpSpLocks/>
            </xdr:cNvGrpSpPr>
          </xdr:nvGrpSpPr>
          <xdr:grpSpPr>
            <a:xfrm>
              <a:off x="6564" y="468"/>
              <a:ext cx="6688" cy="15117"/>
              <a:chOff x="6564" y="468"/>
              <a:chExt cx="6688" cy="15117"/>
            </a:xfrm>
            <a:solidFill>
              <a:srgbClr val="FFFFFF"/>
            </a:solidFill>
          </xdr:grpSpPr>
          <xdr:grpSp>
            <xdr:nvGrpSpPr>
              <xdr:cNvPr id="431" name="Group 87"/>
              <xdr:cNvGrpSpPr>
                <a:grpSpLocks/>
              </xdr:cNvGrpSpPr>
            </xdr:nvGrpSpPr>
            <xdr:grpSpPr>
              <a:xfrm>
                <a:off x="7545" y="468"/>
                <a:ext cx="5707" cy="15117"/>
                <a:chOff x="7546" y="468"/>
                <a:chExt cx="5706" cy="15117"/>
              </a:xfrm>
              <a:solidFill>
                <a:srgbClr val="FFFFFF"/>
              </a:solidFill>
            </xdr:grpSpPr>
            <xdr:grpSp>
              <xdr:nvGrpSpPr>
                <xdr:cNvPr id="432" name="Group 88"/>
                <xdr:cNvGrpSpPr>
                  <a:grpSpLocks/>
                </xdr:cNvGrpSpPr>
              </xdr:nvGrpSpPr>
              <xdr:grpSpPr>
                <a:xfrm>
                  <a:off x="7546" y="468"/>
                  <a:ext cx="5706" cy="15117"/>
                  <a:chOff x="7546" y="468"/>
                  <a:chExt cx="5706" cy="15117"/>
                </a:xfrm>
                <a:solidFill>
                  <a:srgbClr val="FFFFFF"/>
                </a:solidFill>
              </xdr:grpSpPr>
              <xdr:sp>
                <xdr:nvSpPr>
                  <xdr:cNvPr id="433" name="Arc 89"/>
                  <xdr:cNvSpPr>
                    <a:spLocks/>
                  </xdr:cNvSpPr>
                </xdr:nvSpPr>
                <xdr:spPr>
                  <a:xfrm>
                    <a:off x="7669" y="6621"/>
                    <a:ext cx="3619" cy="8964"/>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4" name="Line 90"/>
                  <xdr:cNvSpPr>
                    <a:spLocks/>
                  </xdr:cNvSpPr>
                </xdr:nvSpPr>
                <xdr:spPr>
                  <a:xfrm flipV="1">
                    <a:off x="7546" y="468"/>
                    <a:ext cx="5706" cy="12509"/>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35" name="Line 91"/>
                <xdr:cNvSpPr>
                  <a:spLocks/>
                </xdr:cNvSpPr>
              </xdr:nvSpPr>
              <xdr:spPr>
                <a:xfrm>
                  <a:off x="7546" y="12977"/>
                  <a:ext cx="3742" cy="2608"/>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36" name="Arc 92"/>
              <xdr:cNvSpPr>
                <a:spLocks/>
              </xdr:cNvSpPr>
            </xdr:nvSpPr>
            <xdr:spPr>
              <a:xfrm flipV="1">
                <a:off x="6564" y="13779"/>
                <a:ext cx="1965" cy="200"/>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7" name="Arc 93"/>
              <xdr:cNvSpPr>
                <a:spLocks/>
              </xdr:cNvSpPr>
            </xdr:nvSpPr>
            <xdr:spPr>
              <a:xfrm>
                <a:off x="7913" y="11840"/>
                <a:ext cx="798" cy="1875"/>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38" name="Line 94"/>
            <xdr:cNvSpPr>
              <a:spLocks/>
            </xdr:cNvSpPr>
          </xdr:nvSpPr>
          <xdr:spPr>
            <a:xfrm flipH="1">
              <a:off x="8345" y="13779"/>
              <a:ext cx="184" cy="268"/>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9" name="Line 95"/>
            <xdr:cNvSpPr>
              <a:spLocks/>
            </xdr:cNvSpPr>
          </xdr:nvSpPr>
          <xdr:spPr>
            <a:xfrm flipH="1">
              <a:off x="8221" y="13779"/>
              <a:ext cx="308" cy="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0" name="Line 96"/>
            <xdr:cNvSpPr>
              <a:spLocks/>
            </xdr:cNvSpPr>
          </xdr:nvSpPr>
          <xdr:spPr>
            <a:xfrm>
              <a:off x="7913" y="11840"/>
              <a:ext cx="798" cy="68"/>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1" name="Line 97"/>
            <xdr:cNvSpPr>
              <a:spLocks/>
            </xdr:cNvSpPr>
          </xdr:nvSpPr>
          <xdr:spPr>
            <a:xfrm>
              <a:off x="8097" y="11840"/>
              <a:ext cx="124" cy="401"/>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442" name="Group 473"/>
          <xdr:cNvGrpSpPr>
            <a:grpSpLocks/>
          </xdr:cNvGrpSpPr>
        </xdr:nvGrpSpPr>
        <xdr:grpSpPr>
          <a:xfrm>
            <a:off x="11778" y="-602"/>
            <a:ext cx="3191" cy="1204"/>
            <a:chOff x="11779" y="-602"/>
            <a:chExt cx="3190" cy="1204"/>
          </a:xfrm>
          <a:solidFill>
            <a:srgbClr val="FFFFFF"/>
          </a:solidFill>
        </xdr:grpSpPr>
        <xdr:sp>
          <xdr:nvSpPr>
            <xdr:cNvPr id="443" name="Line 474"/>
            <xdr:cNvSpPr>
              <a:spLocks/>
            </xdr:cNvSpPr>
          </xdr:nvSpPr>
          <xdr:spPr>
            <a:xfrm flipH="1">
              <a:off x="11779" y="-602"/>
              <a:ext cx="0" cy="120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4" name="Arc 475"/>
            <xdr:cNvSpPr>
              <a:spLocks/>
            </xdr:cNvSpPr>
          </xdr:nvSpPr>
          <xdr:spPr>
            <a:xfrm>
              <a:off x="14049" y="-201"/>
              <a:ext cx="430" cy="33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5" name="Line 476"/>
            <xdr:cNvSpPr>
              <a:spLocks/>
            </xdr:cNvSpPr>
          </xdr:nvSpPr>
          <xdr:spPr>
            <a:xfrm>
              <a:off x="12025" y="-602"/>
              <a:ext cx="368" cy="40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6" name="Line 477"/>
            <xdr:cNvSpPr>
              <a:spLocks/>
            </xdr:cNvSpPr>
          </xdr:nvSpPr>
          <xdr:spPr>
            <a:xfrm flipH="1" flipV="1">
              <a:off x="14479" y="134"/>
              <a:ext cx="245" cy="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7" name="Rectangle 478"/>
            <xdr:cNvSpPr>
              <a:spLocks/>
            </xdr:cNvSpPr>
          </xdr:nvSpPr>
          <xdr:spPr>
            <a:xfrm>
              <a:off x="11840" y="201"/>
              <a:ext cx="1657" cy="13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8" name="Line 479"/>
            <xdr:cNvSpPr>
              <a:spLocks/>
            </xdr:cNvSpPr>
          </xdr:nvSpPr>
          <xdr:spPr>
            <a:xfrm>
              <a:off x="11779" y="602"/>
              <a:ext cx="300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9" name="Rectangle 480"/>
            <xdr:cNvSpPr>
              <a:spLocks/>
            </xdr:cNvSpPr>
          </xdr:nvSpPr>
          <xdr:spPr>
            <a:xfrm>
              <a:off x="14172" y="-134"/>
              <a:ext cx="122" cy="26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0" name="Line 481"/>
            <xdr:cNvSpPr>
              <a:spLocks/>
            </xdr:cNvSpPr>
          </xdr:nvSpPr>
          <xdr:spPr>
            <a:xfrm>
              <a:off x="11779" y="-602"/>
              <a:ext cx="2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1" name="Line 482"/>
            <xdr:cNvSpPr>
              <a:spLocks/>
            </xdr:cNvSpPr>
          </xdr:nvSpPr>
          <xdr:spPr>
            <a:xfrm>
              <a:off x="12393" y="-201"/>
              <a:ext cx="17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2" name="Arc 483"/>
            <xdr:cNvSpPr>
              <a:spLocks/>
            </xdr:cNvSpPr>
          </xdr:nvSpPr>
          <xdr:spPr>
            <a:xfrm>
              <a:off x="14663" y="201"/>
              <a:ext cx="306" cy="20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3" name="Arc 484"/>
            <xdr:cNvSpPr>
              <a:spLocks/>
            </xdr:cNvSpPr>
          </xdr:nvSpPr>
          <xdr:spPr>
            <a:xfrm flipV="1">
              <a:off x="14724" y="401"/>
              <a:ext cx="245" cy="201"/>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4" name="Line 485"/>
            <xdr:cNvSpPr>
              <a:spLocks/>
            </xdr:cNvSpPr>
          </xdr:nvSpPr>
          <xdr:spPr>
            <a:xfrm>
              <a:off x="12454" y="-201"/>
              <a:ext cx="0" cy="26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5" name="Line 486"/>
            <xdr:cNvSpPr>
              <a:spLocks/>
            </xdr:cNvSpPr>
          </xdr:nvSpPr>
          <xdr:spPr>
            <a:xfrm>
              <a:off x="13926" y="-201"/>
              <a:ext cx="0" cy="26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6" name="Line 487"/>
            <xdr:cNvSpPr>
              <a:spLocks/>
            </xdr:cNvSpPr>
          </xdr:nvSpPr>
          <xdr:spPr>
            <a:xfrm>
              <a:off x="12454" y="67"/>
              <a:ext cx="147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8</xdr:col>
      <xdr:colOff>809625</xdr:colOff>
      <xdr:row>144</xdr:row>
      <xdr:rowOff>66675</xdr:rowOff>
    </xdr:from>
    <xdr:to>
      <xdr:col>9</xdr:col>
      <xdr:colOff>47625</xdr:colOff>
      <xdr:row>148</xdr:row>
      <xdr:rowOff>66675</xdr:rowOff>
    </xdr:to>
    <xdr:grpSp>
      <xdr:nvGrpSpPr>
        <xdr:cNvPr id="457" name="Group 490"/>
        <xdr:cNvGrpSpPr>
          <a:grpSpLocks/>
        </xdr:cNvGrpSpPr>
      </xdr:nvGrpSpPr>
      <xdr:grpSpPr>
        <a:xfrm>
          <a:off x="8172450" y="24574500"/>
          <a:ext cx="295275" cy="647700"/>
          <a:chOff x="-2553" y="-3077"/>
          <a:chExt cx="4255" cy="20000"/>
        </a:xfrm>
        <a:solidFill>
          <a:srgbClr val="FFFFFF"/>
        </a:solidFill>
      </xdr:grpSpPr>
      <xdr:sp>
        <xdr:nvSpPr>
          <xdr:cNvPr id="458" name="Line 491"/>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9" name="Line 492"/>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0" name="Line 493"/>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160</xdr:row>
      <xdr:rowOff>66675</xdr:rowOff>
    </xdr:from>
    <xdr:to>
      <xdr:col>9</xdr:col>
      <xdr:colOff>47625</xdr:colOff>
      <xdr:row>164</xdr:row>
      <xdr:rowOff>66675</xdr:rowOff>
    </xdr:to>
    <xdr:grpSp>
      <xdr:nvGrpSpPr>
        <xdr:cNvPr id="461" name="Group 494"/>
        <xdr:cNvGrpSpPr>
          <a:grpSpLocks/>
        </xdr:cNvGrpSpPr>
      </xdr:nvGrpSpPr>
      <xdr:grpSpPr>
        <a:xfrm>
          <a:off x="8172450" y="27184350"/>
          <a:ext cx="295275" cy="647700"/>
          <a:chOff x="-2553" y="-3077"/>
          <a:chExt cx="4255" cy="20000"/>
        </a:xfrm>
        <a:solidFill>
          <a:srgbClr val="FFFFFF"/>
        </a:solidFill>
      </xdr:grpSpPr>
      <xdr:sp>
        <xdr:nvSpPr>
          <xdr:cNvPr id="462" name="Line 495"/>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3" name="Line 496"/>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4" name="Line 497"/>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160</xdr:row>
      <xdr:rowOff>66675</xdr:rowOff>
    </xdr:from>
    <xdr:to>
      <xdr:col>9</xdr:col>
      <xdr:colOff>47625</xdr:colOff>
      <xdr:row>164</xdr:row>
      <xdr:rowOff>66675</xdr:rowOff>
    </xdr:to>
    <xdr:grpSp>
      <xdr:nvGrpSpPr>
        <xdr:cNvPr id="465" name="Group 498"/>
        <xdr:cNvGrpSpPr>
          <a:grpSpLocks/>
        </xdr:cNvGrpSpPr>
      </xdr:nvGrpSpPr>
      <xdr:grpSpPr>
        <a:xfrm>
          <a:off x="8172450" y="27184350"/>
          <a:ext cx="295275" cy="647700"/>
          <a:chOff x="-2553" y="-3077"/>
          <a:chExt cx="4255" cy="20000"/>
        </a:xfrm>
        <a:solidFill>
          <a:srgbClr val="FFFFFF"/>
        </a:solidFill>
      </xdr:grpSpPr>
      <xdr:sp>
        <xdr:nvSpPr>
          <xdr:cNvPr id="466" name="Line 499"/>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7" name="Line 500"/>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8" name="Line 501"/>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176</xdr:row>
      <xdr:rowOff>66675</xdr:rowOff>
    </xdr:from>
    <xdr:to>
      <xdr:col>9</xdr:col>
      <xdr:colOff>47625</xdr:colOff>
      <xdr:row>180</xdr:row>
      <xdr:rowOff>66675</xdr:rowOff>
    </xdr:to>
    <xdr:grpSp>
      <xdr:nvGrpSpPr>
        <xdr:cNvPr id="469" name="Group 502"/>
        <xdr:cNvGrpSpPr>
          <a:grpSpLocks/>
        </xdr:cNvGrpSpPr>
      </xdr:nvGrpSpPr>
      <xdr:grpSpPr>
        <a:xfrm>
          <a:off x="8172450" y="29794200"/>
          <a:ext cx="295275" cy="647700"/>
          <a:chOff x="-2553" y="-3077"/>
          <a:chExt cx="4255" cy="20000"/>
        </a:xfrm>
        <a:solidFill>
          <a:srgbClr val="FFFFFF"/>
        </a:solidFill>
      </xdr:grpSpPr>
      <xdr:sp>
        <xdr:nvSpPr>
          <xdr:cNvPr id="470" name="Line 503"/>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1" name="Line 504"/>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2" name="Line 505"/>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176</xdr:row>
      <xdr:rowOff>66675</xdr:rowOff>
    </xdr:from>
    <xdr:to>
      <xdr:col>9</xdr:col>
      <xdr:colOff>47625</xdr:colOff>
      <xdr:row>180</xdr:row>
      <xdr:rowOff>66675</xdr:rowOff>
    </xdr:to>
    <xdr:grpSp>
      <xdr:nvGrpSpPr>
        <xdr:cNvPr id="473" name="Group 506"/>
        <xdr:cNvGrpSpPr>
          <a:grpSpLocks/>
        </xdr:cNvGrpSpPr>
      </xdr:nvGrpSpPr>
      <xdr:grpSpPr>
        <a:xfrm>
          <a:off x="8172450" y="29794200"/>
          <a:ext cx="295275" cy="647700"/>
          <a:chOff x="-2553" y="-3077"/>
          <a:chExt cx="4255" cy="20000"/>
        </a:xfrm>
        <a:solidFill>
          <a:srgbClr val="FFFFFF"/>
        </a:solidFill>
      </xdr:grpSpPr>
      <xdr:sp>
        <xdr:nvSpPr>
          <xdr:cNvPr id="474" name="Line 507"/>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5" name="Line 508"/>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6" name="Line 509"/>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192</xdr:row>
      <xdr:rowOff>66675</xdr:rowOff>
    </xdr:from>
    <xdr:to>
      <xdr:col>9</xdr:col>
      <xdr:colOff>47625</xdr:colOff>
      <xdr:row>196</xdr:row>
      <xdr:rowOff>66675</xdr:rowOff>
    </xdr:to>
    <xdr:grpSp>
      <xdr:nvGrpSpPr>
        <xdr:cNvPr id="477" name="Group 510"/>
        <xdr:cNvGrpSpPr>
          <a:grpSpLocks/>
        </xdr:cNvGrpSpPr>
      </xdr:nvGrpSpPr>
      <xdr:grpSpPr>
        <a:xfrm>
          <a:off x="8172450" y="32404050"/>
          <a:ext cx="295275" cy="647700"/>
          <a:chOff x="-2553" y="-3077"/>
          <a:chExt cx="4255" cy="20000"/>
        </a:xfrm>
        <a:solidFill>
          <a:srgbClr val="FFFFFF"/>
        </a:solidFill>
      </xdr:grpSpPr>
      <xdr:sp>
        <xdr:nvSpPr>
          <xdr:cNvPr id="478" name="Line 511"/>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9" name="Line 512"/>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0" name="Line 513"/>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192</xdr:row>
      <xdr:rowOff>66675</xdr:rowOff>
    </xdr:from>
    <xdr:to>
      <xdr:col>9</xdr:col>
      <xdr:colOff>47625</xdr:colOff>
      <xdr:row>196</xdr:row>
      <xdr:rowOff>66675</xdr:rowOff>
    </xdr:to>
    <xdr:grpSp>
      <xdr:nvGrpSpPr>
        <xdr:cNvPr id="481" name="Group 514"/>
        <xdr:cNvGrpSpPr>
          <a:grpSpLocks/>
        </xdr:cNvGrpSpPr>
      </xdr:nvGrpSpPr>
      <xdr:grpSpPr>
        <a:xfrm>
          <a:off x="8172450" y="32404050"/>
          <a:ext cx="295275" cy="647700"/>
          <a:chOff x="-2553" y="-3077"/>
          <a:chExt cx="4255" cy="20000"/>
        </a:xfrm>
        <a:solidFill>
          <a:srgbClr val="FFFFFF"/>
        </a:solidFill>
      </xdr:grpSpPr>
      <xdr:sp>
        <xdr:nvSpPr>
          <xdr:cNvPr id="482" name="Line 515"/>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3" name="Line 516"/>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4" name="Line 517"/>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208</xdr:row>
      <xdr:rowOff>66675</xdr:rowOff>
    </xdr:from>
    <xdr:to>
      <xdr:col>9</xdr:col>
      <xdr:colOff>47625</xdr:colOff>
      <xdr:row>212</xdr:row>
      <xdr:rowOff>66675</xdr:rowOff>
    </xdr:to>
    <xdr:grpSp>
      <xdr:nvGrpSpPr>
        <xdr:cNvPr id="485" name="Group 518"/>
        <xdr:cNvGrpSpPr>
          <a:grpSpLocks/>
        </xdr:cNvGrpSpPr>
      </xdr:nvGrpSpPr>
      <xdr:grpSpPr>
        <a:xfrm>
          <a:off x="8172450" y="35013900"/>
          <a:ext cx="295275" cy="647700"/>
          <a:chOff x="-2553" y="-3077"/>
          <a:chExt cx="4255" cy="20000"/>
        </a:xfrm>
        <a:solidFill>
          <a:srgbClr val="FFFFFF"/>
        </a:solidFill>
      </xdr:grpSpPr>
      <xdr:sp>
        <xdr:nvSpPr>
          <xdr:cNvPr id="486" name="Line 519"/>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7" name="Line 520"/>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8" name="Line 521"/>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208</xdr:row>
      <xdr:rowOff>66675</xdr:rowOff>
    </xdr:from>
    <xdr:to>
      <xdr:col>9</xdr:col>
      <xdr:colOff>47625</xdr:colOff>
      <xdr:row>212</xdr:row>
      <xdr:rowOff>66675</xdr:rowOff>
    </xdr:to>
    <xdr:grpSp>
      <xdr:nvGrpSpPr>
        <xdr:cNvPr id="489" name="Group 522"/>
        <xdr:cNvGrpSpPr>
          <a:grpSpLocks/>
        </xdr:cNvGrpSpPr>
      </xdr:nvGrpSpPr>
      <xdr:grpSpPr>
        <a:xfrm>
          <a:off x="8172450" y="35013900"/>
          <a:ext cx="295275" cy="647700"/>
          <a:chOff x="-2553" y="-3077"/>
          <a:chExt cx="4255" cy="20000"/>
        </a:xfrm>
        <a:solidFill>
          <a:srgbClr val="FFFFFF"/>
        </a:solidFill>
      </xdr:grpSpPr>
      <xdr:sp>
        <xdr:nvSpPr>
          <xdr:cNvPr id="490" name="Line 523"/>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91" name="Line 524"/>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92" name="Line 525"/>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224</xdr:row>
      <xdr:rowOff>66675</xdr:rowOff>
    </xdr:from>
    <xdr:to>
      <xdr:col>9</xdr:col>
      <xdr:colOff>47625</xdr:colOff>
      <xdr:row>228</xdr:row>
      <xdr:rowOff>66675</xdr:rowOff>
    </xdr:to>
    <xdr:grpSp>
      <xdr:nvGrpSpPr>
        <xdr:cNvPr id="493" name="Group 526"/>
        <xdr:cNvGrpSpPr>
          <a:grpSpLocks/>
        </xdr:cNvGrpSpPr>
      </xdr:nvGrpSpPr>
      <xdr:grpSpPr>
        <a:xfrm>
          <a:off x="8172450" y="37623750"/>
          <a:ext cx="295275" cy="647700"/>
          <a:chOff x="-2553" y="-3077"/>
          <a:chExt cx="4255" cy="20000"/>
        </a:xfrm>
        <a:solidFill>
          <a:srgbClr val="FFFFFF"/>
        </a:solidFill>
      </xdr:grpSpPr>
      <xdr:sp>
        <xdr:nvSpPr>
          <xdr:cNvPr id="494" name="Line 527"/>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95" name="Line 528"/>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96" name="Line 529"/>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224</xdr:row>
      <xdr:rowOff>66675</xdr:rowOff>
    </xdr:from>
    <xdr:to>
      <xdr:col>9</xdr:col>
      <xdr:colOff>47625</xdr:colOff>
      <xdr:row>228</xdr:row>
      <xdr:rowOff>66675</xdr:rowOff>
    </xdr:to>
    <xdr:grpSp>
      <xdr:nvGrpSpPr>
        <xdr:cNvPr id="497" name="Group 530"/>
        <xdr:cNvGrpSpPr>
          <a:grpSpLocks/>
        </xdr:cNvGrpSpPr>
      </xdr:nvGrpSpPr>
      <xdr:grpSpPr>
        <a:xfrm>
          <a:off x="8172450" y="37623750"/>
          <a:ext cx="295275" cy="647700"/>
          <a:chOff x="-2553" y="-3077"/>
          <a:chExt cx="4255" cy="20000"/>
        </a:xfrm>
        <a:solidFill>
          <a:srgbClr val="FFFFFF"/>
        </a:solidFill>
      </xdr:grpSpPr>
      <xdr:sp>
        <xdr:nvSpPr>
          <xdr:cNvPr id="498" name="Line 531"/>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99" name="Line 532"/>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00" name="Line 533"/>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240</xdr:row>
      <xdr:rowOff>66675</xdr:rowOff>
    </xdr:from>
    <xdr:to>
      <xdr:col>9</xdr:col>
      <xdr:colOff>47625</xdr:colOff>
      <xdr:row>244</xdr:row>
      <xdr:rowOff>66675</xdr:rowOff>
    </xdr:to>
    <xdr:grpSp>
      <xdr:nvGrpSpPr>
        <xdr:cNvPr id="501" name="Group 534"/>
        <xdr:cNvGrpSpPr>
          <a:grpSpLocks/>
        </xdr:cNvGrpSpPr>
      </xdr:nvGrpSpPr>
      <xdr:grpSpPr>
        <a:xfrm>
          <a:off x="8172450" y="40233600"/>
          <a:ext cx="295275" cy="647700"/>
          <a:chOff x="-2553" y="-3077"/>
          <a:chExt cx="4255" cy="20000"/>
        </a:xfrm>
        <a:solidFill>
          <a:srgbClr val="FFFFFF"/>
        </a:solidFill>
      </xdr:grpSpPr>
      <xdr:sp>
        <xdr:nvSpPr>
          <xdr:cNvPr id="502" name="Line 535"/>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03" name="Line 536"/>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04" name="Line 537"/>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240</xdr:row>
      <xdr:rowOff>66675</xdr:rowOff>
    </xdr:from>
    <xdr:to>
      <xdr:col>9</xdr:col>
      <xdr:colOff>47625</xdr:colOff>
      <xdr:row>244</xdr:row>
      <xdr:rowOff>66675</xdr:rowOff>
    </xdr:to>
    <xdr:grpSp>
      <xdr:nvGrpSpPr>
        <xdr:cNvPr id="505" name="Group 538"/>
        <xdr:cNvGrpSpPr>
          <a:grpSpLocks/>
        </xdr:cNvGrpSpPr>
      </xdr:nvGrpSpPr>
      <xdr:grpSpPr>
        <a:xfrm>
          <a:off x="8172450" y="40233600"/>
          <a:ext cx="295275" cy="647700"/>
          <a:chOff x="-2553" y="-3077"/>
          <a:chExt cx="4255" cy="20000"/>
        </a:xfrm>
        <a:solidFill>
          <a:srgbClr val="FFFFFF"/>
        </a:solidFill>
      </xdr:grpSpPr>
      <xdr:sp>
        <xdr:nvSpPr>
          <xdr:cNvPr id="506" name="Line 539"/>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07" name="Line 540"/>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08" name="Line 541"/>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256</xdr:row>
      <xdr:rowOff>66675</xdr:rowOff>
    </xdr:from>
    <xdr:to>
      <xdr:col>9</xdr:col>
      <xdr:colOff>47625</xdr:colOff>
      <xdr:row>260</xdr:row>
      <xdr:rowOff>66675</xdr:rowOff>
    </xdr:to>
    <xdr:grpSp>
      <xdr:nvGrpSpPr>
        <xdr:cNvPr id="509" name="Group 542"/>
        <xdr:cNvGrpSpPr>
          <a:grpSpLocks/>
        </xdr:cNvGrpSpPr>
      </xdr:nvGrpSpPr>
      <xdr:grpSpPr>
        <a:xfrm>
          <a:off x="8172450" y="42843450"/>
          <a:ext cx="295275" cy="647700"/>
          <a:chOff x="-2553" y="-3077"/>
          <a:chExt cx="4255" cy="20000"/>
        </a:xfrm>
        <a:solidFill>
          <a:srgbClr val="FFFFFF"/>
        </a:solidFill>
      </xdr:grpSpPr>
      <xdr:sp>
        <xdr:nvSpPr>
          <xdr:cNvPr id="510" name="Line 543"/>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11" name="Line 544"/>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12" name="Line 545"/>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256</xdr:row>
      <xdr:rowOff>66675</xdr:rowOff>
    </xdr:from>
    <xdr:to>
      <xdr:col>9</xdr:col>
      <xdr:colOff>47625</xdr:colOff>
      <xdr:row>260</xdr:row>
      <xdr:rowOff>66675</xdr:rowOff>
    </xdr:to>
    <xdr:grpSp>
      <xdr:nvGrpSpPr>
        <xdr:cNvPr id="513" name="Group 546"/>
        <xdr:cNvGrpSpPr>
          <a:grpSpLocks/>
        </xdr:cNvGrpSpPr>
      </xdr:nvGrpSpPr>
      <xdr:grpSpPr>
        <a:xfrm>
          <a:off x="8172450" y="42843450"/>
          <a:ext cx="295275" cy="647700"/>
          <a:chOff x="-2553" y="-3077"/>
          <a:chExt cx="4255" cy="20000"/>
        </a:xfrm>
        <a:solidFill>
          <a:srgbClr val="FFFFFF"/>
        </a:solidFill>
      </xdr:grpSpPr>
      <xdr:sp>
        <xdr:nvSpPr>
          <xdr:cNvPr id="514" name="Line 547"/>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15" name="Line 548"/>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16" name="Line 549"/>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272</xdr:row>
      <xdr:rowOff>66675</xdr:rowOff>
    </xdr:from>
    <xdr:to>
      <xdr:col>9</xdr:col>
      <xdr:colOff>47625</xdr:colOff>
      <xdr:row>276</xdr:row>
      <xdr:rowOff>66675</xdr:rowOff>
    </xdr:to>
    <xdr:grpSp>
      <xdr:nvGrpSpPr>
        <xdr:cNvPr id="517" name="Group 550"/>
        <xdr:cNvGrpSpPr>
          <a:grpSpLocks/>
        </xdr:cNvGrpSpPr>
      </xdr:nvGrpSpPr>
      <xdr:grpSpPr>
        <a:xfrm>
          <a:off x="8172450" y="45453300"/>
          <a:ext cx="295275" cy="647700"/>
          <a:chOff x="-2553" y="-3077"/>
          <a:chExt cx="4255" cy="20000"/>
        </a:xfrm>
        <a:solidFill>
          <a:srgbClr val="FFFFFF"/>
        </a:solidFill>
      </xdr:grpSpPr>
      <xdr:sp>
        <xdr:nvSpPr>
          <xdr:cNvPr id="518" name="Line 551"/>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19" name="Line 552"/>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0" name="Line 553"/>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272</xdr:row>
      <xdr:rowOff>66675</xdr:rowOff>
    </xdr:from>
    <xdr:to>
      <xdr:col>9</xdr:col>
      <xdr:colOff>47625</xdr:colOff>
      <xdr:row>276</xdr:row>
      <xdr:rowOff>66675</xdr:rowOff>
    </xdr:to>
    <xdr:grpSp>
      <xdr:nvGrpSpPr>
        <xdr:cNvPr id="521" name="Group 554"/>
        <xdr:cNvGrpSpPr>
          <a:grpSpLocks/>
        </xdr:cNvGrpSpPr>
      </xdr:nvGrpSpPr>
      <xdr:grpSpPr>
        <a:xfrm>
          <a:off x="8172450" y="45453300"/>
          <a:ext cx="295275" cy="647700"/>
          <a:chOff x="-2553" y="-3077"/>
          <a:chExt cx="4255" cy="20000"/>
        </a:xfrm>
        <a:solidFill>
          <a:srgbClr val="FFFFFF"/>
        </a:solidFill>
      </xdr:grpSpPr>
      <xdr:sp>
        <xdr:nvSpPr>
          <xdr:cNvPr id="522" name="Line 555"/>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3" name="Line 556"/>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4" name="Line 557"/>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83</xdr:row>
      <xdr:rowOff>85725</xdr:rowOff>
    </xdr:from>
    <xdr:to>
      <xdr:col>2</xdr:col>
      <xdr:colOff>295275</xdr:colOff>
      <xdr:row>87</xdr:row>
      <xdr:rowOff>95250</xdr:rowOff>
    </xdr:to>
    <xdr:grpSp>
      <xdr:nvGrpSpPr>
        <xdr:cNvPr id="525" name="Group 558"/>
        <xdr:cNvGrpSpPr>
          <a:grpSpLocks/>
        </xdr:cNvGrpSpPr>
      </xdr:nvGrpSpPr>
      <xdr:grpSpPr>
        <a:xfrm>
          <a:off x="1143000" y="14620875"/>
          <a:ext cx="142875" cy="657225"/>
          <a:chOff x="-63" y="-2308"/>
          <a:chExt cx="13" cy="20385"/>
        </a:xfrm>
        <a:solidFill>
          <a:srgbClr val="FFFFFF"/>
        </a:solidFill>
      </xdr:grpSpPr>
      <xdr:sp>
        <xdr:nvSpPr>
          <xdr:cNvPr id="526" name="Line 559"/>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7" name="Line 560"/>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8" name="Line 561"/>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83</xdr:row>
      <xdr:rowOff>85725</xdr:rowOff>
    </xdr:from>
    <xdr:to>
      <xdr:col>3</xdr:col>
      <xdr:colOff>19050</xdr:colOff>
      <xdr:row>87</xdr:row>
      <xdr:rowOff>66675</xdr:rowOff>
    </xdr:to>
    <xdr:grpSp>
      <xdr:nvGrpSpPr>
        <xdr:cNvPr id="529" name="Group 562"/>
        <xdr:cNvGrpSpPr>
          <a:grpSpLocks/>
        </xdr:cNvGrpSpPr>
      </xdr:nvGrpSpPr>
      <xdr:grpSpPr>
        <a:xfrm>
          <a:off x="1819275" y="14620875"/>
          <a:ext cx="209550" cy="628650"/>
          <a:chOff x="-3200" y="-2308"/>
          <a:chExt cx="4800" cy="19231"/>
        </a:xfrm>
        <a:solidFill>
          <a:srgbClr val="FFFFFF"/>
        </a:solidFill>
      </xdr:grpSpPr>
      <xdr:sp>
        <xdr:nvSpPr>
          <xdr:cNvPr id="530" name="Line 563"/>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1" name="Line 564"/>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2" name="Line 565"/>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1085850</xdr:colOff>
      <xdr:row>83</xdr:row>
      <xdr:rowOff>114300</xdr:rowOff>
    </xdr:from>
    <xdr:to>
      <xdr:col>7</xdr:col>
      <xdr:colOff>304800</xdr:colOff>
      <xdr:row>87</xdr:row>
      <xdr:rowOff>114300</xdr:rowOff>
    </xdr:to>
    <xdr:grpSp>
      <xdr:nvGrpSpPr>
        <xdr:cNvPr id="533" name="Group 566"/>
        <xdr:cNvGrpSpPr>
          <a:grpSpLocks/>
        </xdr:cNvGrpSpPr>
      </xdr:nvGrpSpPr>
      <xdr:grpSpPr>
        <a:xfrm>
          <a:off x="6372225" y="14649450"/>
          <a:ext cx="381000" cy="647700"/>
          <a:chOff x="-952" y="-2308"/>
          <a:chExt cx="2619" cy="20000"/>
        </a:xfrm>
        <a:solidFill>
          <a:srgbClr val="FFFFFF"/>
        </a:solidFill>
      </xdr:grpSpPr>
      <xdr:sp>
        <xdr:nvSpPr>
          <xdr:cNvPr id="534" name="Line 567"/>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5" name="Line 568"/>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6" name="Line 569"/>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83</xdr:row>
      <xdr:rowOff>95250</xdr:rowOff>
    </xdr:from>
    <xdr:to>
      <xdr:col>6</xdr:col>
      <xdr:colOff>47625</xdr:colOff>
      <xdr:row>87</xdr:row>
      <xdr:rowOff>114300</xdr:rowOff>
    </xdr:to>
    <xdr:grpSp>
      <xdr:nvGrpSpPr>
        <xdr:cNvPr id="537" name="Group 570"/>
        <xdr:cNvGrpSpPr>
          <a:grpSpLocks/>
        </xdr:cNvGrpSpPr>
      </xdr:nvGrpSpPr>
      <xdr:grpSpPr>
        <a:xfrm>
          <a:off x="5286375" y="14630400"/>
          <a:ext cx="47625" cy="666750"/>
          <a:chOff x="0" y="-1923"/>
          <a:chExt cx="1633" cy="20385"/>
        </a:xfrm>
        <a:solidFill>
          <a:srgbClr val="FFFFFF"/>
        </a:solidFill>
      </xdr:grpSpPr>
      <xdr:sp>
        <xdr:nvSpPr>
          <xdr:cNvPr id="538" name="Line 571"/>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9" name="Line 572"/>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0" name="Line 573"/>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83</xdr:row>
      <xdr:rowOff>66675</xdr:rowOff>
    </xdr:from>
    <xdr:to>
      <xdr:col>9</xdr:col>
      <xdr:colOff>47625</xdr:colOff>
      <xdr:row>87</xdr:row>
      <xdr:rowOff>66675</xdr:rowOff>
    </xdr:to>
    <xdr:grpSp>
      <xdr:nvGrpSpPr>
        <xdr:cNvPr id="541" name="Group 574"/>
        <xdr:cNvGrpSpPr>
          <a:grpSpLocks/>
        </xdr:cNvGrpSpPr>
      </xdr:nvGrpSpPr>
      <xdr:grpSpPr>
        <a:xfrm>
          <a:off x="8172450" y="14601825"/>
          <a:ext cx="295275" cy="647700"/>
          <a:chOff x="-2553" y="-3077"/>
          <a:chExt cx="4255" cy="20000"/>
        </a:xfrm>
        <a:solidFill>
          <a:srgbClr val="FFFFFF"/>
        </a:solidFill>
      </xdr:grpSpPr>
      <xdr:sp>
        <xdr:nvSpPr>
          <xdr:cNvPr id="542" name="Line 575"/>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3" name="Line 576"/>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4" name="Line 577"/>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83</xdr:row>
      <xdr:rowOff>47625</xdr:rowOff>
    </xdr:from>
    <xdr:to>
      <xdr:col>10</xdr:col>
      <xdr:colOff>228600</xdr:colOff>
      <xdr:row>87</xdr:row>
      <xdr:rowOff>66675</xdr:rowOff>
    </xdr:to>
    <xdr:grpSp>
      <xdr:nvGrpSpPr>
        <xdr:cNvPr id="545" name="Group 578"/>
        <xdr:cNvGrpSpPr>
          <a:grpSpLocks/>
        </xdr:cNvGrpSpPr>
      </xdr:nvGrpSpPr>
      <xdr:grpSpPr>
        <a:xfrm>
          <a:off x="9686925" y="14582775"/>
          <a:ext cx="95250" cy="666750"/>
          <a:chOff x="-65" y="-3462"/>
          <a:chExt cx="10" cy="20385"/>
        </a:xfrm>
        <a:solidFill>
          <a:srgbClr val="FFFFFF"/>
        </a:solidFill>
      </xdr:grpSpPr>
      <xdr:sp>
        <xdr:nvSpPr>
          <xdr:cNvPr id="546" name="Line 579"/>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7" name="Line 580"/>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8" name="Line 581"/>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83</xdr:row>
      <xdr:rowOff>66675</xdr:rowOff>
    </xdr:from>
    <xdr:to>
      <xdr:col>8</xdr:col>
      <xdr:colOff>219075</xdr:colOff>
      <xdr:row>87</xdr:row>
      <xdr:rowOff>76200</xdr:rowOff>
    </xdr:to>
    <xdr:grpSp>
      <xdr:nvGrpSpPr>
        <xdr:cNvPr id="549" name="Group 582"/>
        <xdr:cNvGrpSpPr>
          <a:grpSpLocks/>
        </xdr:cNvGrpSpPr>
      </xdr:nvGrpSpPr>
      <xdr:grpSpPr>
        <a:xfrm>
          <a:off x="7534275" y="14601825"/>
          <a:ext cx="47625" cy="657225"/>
          <a:chOff x="-60" y="-3077"/>
          <a:chExt cx="4" cy="20385"/>
        </a:xfrm>
        <a:solidFill>
          <a:srgbClr val="FFFFFF"/>
        </a:solidFill>
      </xdr:grpSpPr>
      <xdr:sp>
        <xdr:nvSpPr>
          <xdr:cNvPr id="550" name="Line 583"/>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1" name="Line 584"/>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2" name="Line 585"/>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83</xdr:row>
      <xdr:rowOff>66675</xdr:rowOff>
    </xdr:from>
    <xdr:to>
      <xdr:col>1</xdr:col>
      <xdr:colOff>66675</xdr:colOff>
      <xdr:row>87</xdr:row>
      <xdr:rowOff>66675</xdr:rowOff>
    </xdr:to>
    <xdr:grpSp>
      <xdr:nvGrpSpPr>
        <xdr:cNvPr id="553" name="Group 586"/>
        <xdr:cNvGrpSpPr>
          <a:grpSpLocks/>
        </xdr:cNvGrpSpPr>
      </xdr:nvGrpSpPr>
      <xdr:grpSpPr>
        <a:xfrm>
          <a:off x="266700" y="14601825"/>
          <a:ext cx="123825" cy="647700"/>
          <a:chOff x="-1639" y="-3077"/>
          <a:chExt cx="3607" cy="20000"/>
        </a:xfrm>
        <a:solidFill>
          <a:srgbClr val="FFFFFF"/>
        </a:solidFill>
      </xdr:grpSpPr>
      <xdr:sp>
        <xdr:nvSpPr>
          <xdr:cNvPr id="554" name="Line 587"/>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5" name="Line 588"/>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6" name="Line 589"/>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83</xdr:row>
      <xdr:rowOff>66675</xdr:rowOff>
    </xdr:from>
    <xdr:to>
      <xdr:col>1</xdr:col>
      <xdr:colOff>66675</xdr:colOff>
      <xdr:row>87</xdr:row>
      <xdr:rowOff>66675</xdr:rowOff>
    </xdr:to>
    <xdr:grpSp>
      <xdr:nvGrpSpPr>
        <xdr:cNvPr id="557" name="Group 590"/>
        <xdr:cNvGrpSpPr>
          <a:grpSpLocks/>
        </xdr:cNvGrpSpPr>
      </xdr:nvGrpSpPr>
      <xdr:grpSpPr>
        <a:xfrm>
          <a:off x="266700" y="14601825"/>
          <a:ext cx="123825" cy="647700"/>
          <a:chOff x="-1639" y="-3077"/>
          <a:chExt cx="3607" cy="20000"/>
        </a:xfrm>
        <a:solidFill>
          <a:srgbClr val="FFFFFF"/>
        </a:solidFill>
      </xdr:grpSpPr>
      <xdr:sp>
        <xdr:nvSpPr>
          <xdr:cNvPr id="558" name="Line 591"/>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9" name="Line 592"/>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0" name="Line 593"/>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83</xdr:row>
      <xdr:rowOff>66675</xdr:rowOff>
    </xdr:from>
    <xdr:to>
      <xdr:col>9</xdr:col>
      <xdr:colOff>47625</xdr:colOff>
      <xdr:row>87</xdr:row>
      <xdr:rowOff>66675</xdr:rowOff>
    </xdr:to>
    <xdr:grpSp>
      <xdr:nvGrpSpPr>
        <xdr:cNvPr id="561" name="Group 594"/>
        <xdr:cNvGrpSpPr>
          <a:grpSpLocks/>
        </xdr:cNvGrpSpPr>
      </xdr:nvGrpSpPr>
      <xdr:grpSpPr>
        <a:xfrm>
          <a:off x="8172450" y="14601825"/>
          <a:ext cx="295275" cy="647700"/>
          <a:chOff x="-2553" y="-3077"/>
          <a:chExt cx="4255" cy="20000"/>
        </a:xfrm>
        <a:solidFill>
          <a:srgbClr val="FFFFFF"/>
        </a:solidFill>
      </xdr:grpSpPr>
      <xdr:sp>
        <xdr:nvSpPr>
          <xdr:cNvPr id="562" name="Line 595"/>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3" name="Line 596"/>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4" name="Line 597"/>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361950</xdr:colOff>
      <xdr:row>105</xdr:row>
      <xdr:rowOff>85725</xdr:rowOff>
    </xdr:from>
    <xdr:to>
      <xdr:col>11</xdr:col>
      <xdr:colOff>819150</xdr:colOff>
      <xdr:row>105</xdr:row>
      <xdr:rowOff>85725</xdr:rowOff>
    </xdr:to>
    <xdr:sp>
      <xdr:nvSpPr>
        <xdr:cNvPr id="565" name="Line 598"/>
        <xdr:cNvSpPr>
          <a:spLocks/>
        </xdr:cNvSpPr>
      </xdr:nvSpPr>
      <xdr:spPr>
        <a:xfrm>
          <a:off x="685800" y="18202275"/>
          <a:ext cx="108204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152400</xdr:colOff>
      <xdr:row>115</xdr:row>
      <xdr:rowOff>85725</xdr:rowOff>
    </xdr:from>
    <xdr:to>
      <xdr:col>2</xdr:col>
      <xdr:colOff>295275</xdr:colOff>
      <xdr:row>119</xdr:row>
      <xdr:rowOff>95250</xdr:rowOff>
    </xdr:to>
    <xdr:grpSp>
      <xdr:nvGrpSpPr>
        <xdr:cNvPr id="566" name="Group 599"/>
        <xdr:cNvGrpSpPr>
          <a:grpSpLocks/>
        </xdr:cNvGrpSpPr>
      </xdr:nvGrpSpPr>
      <xdr:grpSpPr>
        <a:xfrm>
          <a:off x="1143000" y="19859625"/>
          <a:ext cx="142875" cy="657225"/>
          <a:chOff x="-63" y="-2308"/>
          <a:chExt cx="13" cy="20385"/>
        </a:xfrm>
        <a:solidFill>
          <a:srgbClr val="FFFFFF"/>
        </a:solidFill>
      </xdr:grpSpPr>
      <xdr:sp>
        <xdr:nvSpPr>
          <xdr:cNvPr id="567" name="Line 600"/>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8" name="Line 601"/>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9" name="Line 602"/>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115</xdr:row>
      <xdr:rowOff>85725</xdr:rowOff>
    </xdr:from>
    <xdr:to>
      <xdr:col>3</xdr:col>
      <xdr:colOff>19050</xdr:colOff>
      <xdr:row>119</xdr:row>
      <xdr:rowOff>66675</xdr:rowOff>
    </xdr:to>
    <xdr:grpSp>
      <xdr:nvGrpSpPr>
        <xdr:cNvPr id="570" name="Group 603"/>
        <xdr:cNvGrpSpPr>
          <a:grpSpLocks/>
        </xdr:cNvGrpSpPr>
      </xdr:nvGrpSpPr>
      <xdr:grpSpPr>
        <a:xfrm>
          <a:off x="1819275" y="19859625"/>
          <a:ext cx="209550" cy="628650"/>
          <a:chOff x="-3200" y="-2308"/>
          <a:chExt cx="4800" cy="19231"/>
        </a:xfrm>
        <a:solidFill>
          <a:srgbClr val="FFFFFF"/>
        </a:solidFill>
      </xdr:grpSpPr>
      <xdr:sp>
        <xdr:nvSpPr>
          <xdr:cNvPr id="571" name="Line 604"/>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72" name="Line 605"/>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73" name="Line 606"/>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1085850</xdr:colOff>
      <xdr:row>115</xdr:row>
      <xdr:rowOff>76200</xdr:rowOff>
    </xdr:from>
    <xdr:to>
      <xdr:col>7</xdr:col>
      <xdr:colOff>304800</xdr:colOff>
      <xdr:row>119</xdr:row>
      <xdr:rowOff>76200</xdr:rowOff>
    </xdr:to>
    <xdr:grpSp>
      <xdr:nvGrpSpPr>
        <xdr:cNvPr id="574" name="Group 607"/>
        <xdr:cNvGrpSpPr>
          <a:grpSpLocks/>
        </xdr:cNvGrpSpPr>
      </xdr:nvGrpSpPr>
      <xdr:grpSpPr>
        <a:xfrm>
          <a:off x="6372225" y="19850100"/>
          <a:ext cx="381000" cy="647700"/>
          <a:chOff x="-952" y="-2308"/>
          <a:chExt cx="2619" cy="20000"/>
        </a:xfrm>
        <a:solidFill>
          <a:srgbClr val="FFFFFF"/>
        </a:solidFill>
      </xdr:grpSpPr>
      <xdr:sp>
        <xdr:nvSpPr>
          <xdr:cNvPr id="575" name="Line 608"/>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76" name="Line 609"/>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77" name="Line 610"/>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115</xdr:row>
      <xdr:rowOff>95250</xdr:rowOff>
    </xdr:from>
    <xdr:to>
      <xdr:col>6</xdr:col>
      <xdr:colOff>47625</xdr:colOff>
      <xdr:row>119</xdr:row>
      <xdr:rowOff>114300</xdr:rowOff>
    </xdr:to>
    <xdr:grpSp>
      <xdr:nvGrpSpPr>
        <xdr:cNvPr id="578" name="Group 611"/>
        <xdr:cNvGrpSpPr>
          <a:grpSpLocks/>
        </xdr:cNvGrpSpPr>
      </xdr:nvGrpSpPr>
      <xdr:grpSpPr>
        <a:xfrm>
          <a:off x="5286375" y="19869150"/>
          <a:ext cx="47625" cy="666750"/>
          <a:chOff x="0" y="-1923"/>
          <a:chExt cx="1633" cy="20385"/>
        </a:xfrm>
        <a:solidFill>
          <a:srgbClr val="FFFFFF"/>
        </a:solidFill>
      </xdr:grpSpPr>
      <xdr:sp>
        <xdr:nvSpPr>
          <xdr:cNvPr id="579" name="Line 612"/>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0" name="Line 613"/>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1" name="Line 614"/>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115</xdr:row>
      <xdr:rowOff>66675</xdr:rowOff>
    </xdr:from>
    <xdr:to>
      <xdr:col>9</xdr:col>
      <xdr:colOff>47625</xdr:colOff>
      <xdr:row>119</xdr:row>
      <xdr:rowOff>66675</xdr:rowOff>
    </xdr:to>
    <xdr:grpSp>
      <xdr:nvGrpSpPr>
        <xdr:cNvPr id="582" name="Group 615"/>
        <xdr:cNvGrpSpPr>
          <a:grpSpLocks/>
        </xdr:cNvGrpSpPr>
      </xdr:nvGrpSpPr>
      <xdr:grpSpPr>
        <a:xfrm>
          <a:off x="8172450" y="19840575"/>
          <a:ext cx="295275" cy="647700"/>
          <a:chOff x="-2553" y="-3077"/>
          <a:chExt cx="4255" cy="20000"/>
        </a:xfrm>
        <a:solidFill>
          <a:srgbClr val="FFFFFF"/>
        </a:solidFill>
      </xdr:grpSpPr>
      <xdr:sp>
        <xdr:nvSpPr>
          <xdr:cNvPr id="583" name="Line 616"/>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4" name="Line 617"/>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5" name="Line 618"/>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115</xdr:row>
      <xdr:rowOff>47625</xdr:rowOff>
    </xdr:from>
    <xdr:to>
      <xdr:col>10</xdr:col>
      <xdr:colOff>228600</xdr:colOff>
      <xdr:row>119</xdr:row>
      <xdr:rowOff>66675</xdr:rowOff>
    </xdr:to>
    <xdr:grpSp>
      <xdr:nvGrpSpPr>
        <xdr:cNvPr id="586" name="Group 619"/>
        <xdr:cNvGrpSpPr>
          <a:grpSpLocks/>
        </xdr:cNvGrpSpPr>
      </xdr:nvGrpSpPr>
      <xdr:grpSpPr>
        <a:xfrm>
          <a:off x="9686925" y="19821525"/>
          <a:ext cx="95250" cy="666750"/>
          <a:chOff x="-65" y="-3462"/>
          <a:chExt cx="10" cy="20385"/>
        </a:xfrm>
        <a:solidFill>
          <a:srgbClr val="FFFFFF"/>
        </a:solidFill>
      </xdr:grpSpPr>
      <xdr:sp>
        <xdr:nvSpPr>
          <xdr:cNvPr id="587" name="Line 620"/>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8" name="Line 621"/>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9" name="Line 622"/>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115</xdr:row>
      <xdr:rowOff>66675</xdr:rowOff>
    </xdr:from>
    <xdr:to>
      <xdr:col>8</xdr:col>
      <xdr:colOff>219075</xdr:colOff>
      <xdr:row>119</xdr:row>
      <xdr:rowOff>76200</xdr:rowOff>
    </xdr:to>
    <xdr:grpSp>
      <xdr:nvGrpSpPr>
        <xdr:cNvPr id="590" name="Group 623"/>
        <xdr:cNvGrpSpPr>
          <a:grpSpLocks/>
        </xdr:cNvGrpSpPr>
      </xdr:nvGrpSpPr>
      <xdr:grpSpPr>
        <a:xfrm>
          <a:off x="7534275" y="19840575"/>
          <a:ext cx="47625" cy="657225"/>
          <a:chOff x="-60" y="-3077"/>
          <a:chExt cx="4" cy="20385"/>
        </a:xfrm>
        <a:solidFill>
          <a:srgbClr val="FFFFFF"/>
        </a:solidFill>
      </xdr:grpSpPr>
      <xdr:sp>
        <xdr:nvSpPr>
          <xdr:cNvPr id="591" name="Line 624"/>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92" name="Line 625"/>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93" name="Line 626"/>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115</xdr:row>
      <xdr:rowOff>66675</xdr:rowOff>
    </xdr:from>
    <xdr:to>
      <xdr:col>1</xdr:col>
      <xdr:colOff>66675</xdr:colOff>
      <xdr:row>119</xdr:row>
      <xdr:rowOff>66675</xdr:rowOff>
    </xdr:to>
    <xdr:grpSp>
      <xdr:nvGrpSpPr>
        <xdr:cNvPr id="594" name="Group 627"/>
        <xdr:cNvGrpSpPr>
          <a:grpSpLocks/>
        </xdr:cNvGrpSpPr>
      </xdr:nvGrpSpPr>
      <xdr:grpSpPr>
        <a:xfrm>
          <a:off x="266700" y="19840575"/>
          <a:ext cx="123825" cy="647700"/>
          <a:chOff x="-1639" y="-3077"/>
          <a:chExt cx="3607" cy="20000"/>
        </a:xfrm>
        <a:solidFill>
          <a:srgbClr val="FFFFFF"/>
        </a:solidFill>
      </xdr:grpSpPr>
      <xdr:sp>
        <xdr:nvSpPr>
          <xdr:cNvPr id="595" name="Line 628"/>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96" name="Line 629"/>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97" name="Line 630"/>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115</xdr:row>
      <xdr:rowOff>66675</xdr:rowOff>
    </xdr:from>
    <xdr:to>
      <xdr:col>1</xdr:col>
      <xdr:colOff>66675</xdr:colOff>
      <xdr:row>119</xdr:row>
      <xdr:rowOff>66675</xdr:rowOff>
    </xdr:to>
    <xdr:grpSp>
      <xdr:nvGrpSpPr>
        <xdr:cNvPr id="598" name="Group 631"/>
        <xdr:cNvGrpSpPr>
          <a:grpSpLocks/>
        </xdr:cNvGrpSpPr>
      </xdr:nvGrpSpPr>
      <xdr:grpSpPr>
        <a:xfrm>
          <a:off x="266700" y="19840575"/>
          <a:ext cx="123825" cy="647700"/>
          <a:chOff x="-1639" y="-3077"/>
          <a:chExt cx="3607" cy="20000"/>
        </a:xfrm>
        <a:solidFill>
          <a:srgbClr val="FFFFFF"/>
        </a:solidFill>
      </xdr:grpSpPr>
      <xdr:sp>
        <xdr:nvSpPr>
          <xdr:cNvPr id="599" name="Line 632"/>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0" name="Line 633"/>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1" name="Line 634"/>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809625</xdr:colOff>
      <xdr:row>115</xdr:row>
      <xdr:rowOff>66675</xdr:rowOff>
    </xdr:from>
    <xdr:to>
      <xdr:col>9</xdr:col>
      <xdr:colOff>47625</xdr:colOff>
      <xdr:row>119</xdr:row>
      <xdr:rowOff>66675</xdr:rowOff>
    </xdr:to>
    <xdr:grpSp>
      <xdr:nvGrpSpPr>
        <xdr:cNvPr id="602" name="Group 635"/>
        <xdr:cNvGrpSpPr>
          <a:grpSpLocks/>
        </xdr:cNvGrpSpPr>
      </xdr:nvGrpSpPr>
      <xdr:grpSpPr>
        <a:xfrm>
          <a:off x="8172450" y="19840575"/>
          <a:ext cx="295275" cy="647700"/>
          <a:chOff x="-2553" y="-3077"/>
          <a:chExt cx="4255" cy="20000"/>
        </a:xfrm>
        <a:solidFill>
          <a:srgbClr val="FFFFFF"/>
        </a:solidFill>
      </xdr:grpSpPr>
      <xdr:sp>
        <xdr:nvSpPr>
          <xdr:cNvPr id="603" name="Line 636"/>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4" name="Line 637"/>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5" name="Line 638"/>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21</xdr:row>
      <xdr:rowOff>47625</xdr:rowOff>
    </xdr:from>
    <xdr:to>
      <xdr:col>5</xdr:col>
      <xdr:colOff>390525</xdr:colOff>
      <xdr:row>39</xdr:row>
      <xdr:rowOff>66675</xdr:rowOff>
    </xdr:to>
    <xdr:grpSp>
      <xdr:nvGrpSpPr>
        <xdr:cNvPr id="1" name="Group 164"/>
        <xdr:cNvGrpSpPr>
          <a:grpSpLocks/>
        </xdr:cNvGrpSpPr>
      </xdr:nvGrpSpPr>
      <xdr:grpSpPr>
        <a:xfrm>
          <a:off x="1133475" y="4114800"/>
          <a:ext cx="3590925" cy="2933700"/>
          <a:chOff x="-194" y="-769"/>
          <a:chExt cx="17549" cy="20085"/>
        </a:xfrm>
        <a:solidFill>
          <a:srgbClr val="FFFFFF"/>
        </a:solidFill>
      </xdr:grpSpPr>
      <xdr:sp>
        <xdr:nvSpPr>
          <xdr:cNvPr id="2" name="Oval 57"/>
          <xdr:cNvSpPr>
            <a:spLocks/>
          </xdr:cNvSpPr>
        </xdr:nvSpPr>
        <xdr:spPr>
          <a:xfrm>
            <a:off x="1482" y="6582"/>
            <a:ext cx="14320" cy="6924"/>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3" name="Group 58"/>
          <xdr:cNvGrpSpPr>
            <a:grpSpLocks/>
          </xdr:cNvGrpSpPr>
        </xdr:nvGrpSpPr>
        <xdr:grpSpPr>
          <a:xfrm>
            <a:off x="1482" y="1711"/>
            <a:ext cx="14452" cy="16922"/>
            <a:chOff x="1484" y="1709"/>
            <a:chExt cx="14451" cy="16923"/>
          </a:xfrm>
          <a:solidFill>
            <a:srgbClr val="FFFFFF"/>
          </a:solidFill>
        </xdr:grpSpPr>
        <xdr:grpSp>
          <xdr:nvGrpSpPr>
            <xdr:cNvPr id="4" name="Group 59"/>
            <xdr:cNvGrpSpPr>
              <a:grpSpLocks/>
            </xdr:cNvGrpSpPr>
          </xdr:nvGrpSpPr>
          <xdr:grpSpPr>
            <a:xfrm>
              <a:off x="1484" y="1709"/>
              <a:ext cx="14386" cy="8292"/>
              <a:chOff x="1484" y="1709"/>
              <a:chExt cx="14387" cy="8291"/>
            </a:xfrm>
            <a:solidFill>
              <a:srgbClr val="FFFFFF"/>
            </a:solidFill>
          </xdr:grpSpPr>
          <xdr:sp>
            <xdr:nvSpPr>
              <xdr:cNvPr id="5" name="Arc 60"/>
              <xdr:cNvSpPr>
                <a:spLocks/>
              </xdr:cNvSpPr>
            </xdr:nvSpPr>
            <xdr:spPr>
              <a:xfrm flipH="1">
                <a:off x="1484" y="1709"/>
                <a:ext cx="7420" cy="8291"/>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 name="Arc 61"/>
              <xdr:cNvSpPr>
                <a:spLocks/>
              </xdr:cNvSpPr>
            </xdr:nvSpPr>
            <xdr:spPr>
              <a:xfrm>
                <a:off x="8839" y="1709"/>
                <a:ext cx="7032" cy="8121"/>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7" name="Group 62"/>
            <xdr:cNvGrpSpPr>
              <a:grpSpLocks/>
            </xdr:cNvGrpSpPr>
          </xdr:nvGrpSpPr>
          <xdr:grpSpPr>
            <a:xfrm>
              <a:off x="1484" y="10255"/>
              <a:ext cx="14451" cy="8377"/>
              <a:chOff x="1484" y="10256"/>
              <a:chExt cx="14451" cy="8376"/>
            </a:xfrm>
            <a:solidFill>
              <a:srgbClr val="FFFFFF"/>
            </a:solidFill>
          </xdr:grpSpPr>
          <xdr:sp>
            <xdr:nvSpPr>
              <xdr:cNvPr id="8" name="Arc 63"/>
              <xdr:cNvSpPr>
                <a:spLocks/>
              </xdr:cNvSpPr>
            </xdr:nvSpPr>
            <xdr:spPr>
              <a:xfrm flipH="1" flipV="1">
                <a:off x="1484" y="10256"/>
                <a:ext cx="7421" cy="837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 name="Arc 64"/>
              <xdr:cNvSpPr>
                <a:spLocks/>
              </xdr:cNvSpPr>
            </xdr:nvSpPr>
            <xdr:spPr>
              <a:xfrm flipV="1">
                <a:off x="8905" y="10256"/>
                <a:ext cx="7030" cy="837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0" name="Arc 65"/>
            <xdr:cNvSpPr>
              <a:spLocks/>
            </xdr:cNvSpPr>
          </xdr:nvSpPr>
          <xdr:spPr>
            <a:xfrm flipH="1">
              <a:off x="6065" y="1709"/>
              <a:ext cx="2840" cy="1162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1" name="Line 70"/>
          <xdr:cNvSpPr>
            <a:spLocks/>
          </xdr:cNvSpPr>
        </xdr:nvSpPr>
        <xdr:spPr>
          <a:xfrm flipV="1">
            <a:off x="-194" y="9916"/>
            <a:ext cx="17549"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 name="Line 71"/>
          <xdr:cNvSpPr>
            <a:spLocks/>
          </xdr:cNvSpPr>
        </xdr:nvSpPr>
        <xdr:spPr>
          <a:xfrm flipH="1">
            <a:off x="5097" y="6582"/>
            <a:ext cx="6063" cy="7778"/>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 name="Line 72"/>
          <xdr:cNvSpPr>
            <a:spLocks/>
          </xdr:cNvSpPr>
        </xdr:nvSpPr>
        <xdr:spPr>
          <a:xfrm flipV="1">
            <a:off x="8646" y="-769"/>
            <a:ext cx="0" cy="20085"/>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733425</xdr:colOff>
      <xdr:row>21</xdr:row>
      <xdr:rowOff>28575</xdr:rowOff>
    </xdr:from>
    <xdr:to>
      <xdr:col>11</xdr:col>
      <xdr:colOff>152400</xdr:colOff>
      <xdr:row>39</xdr:row>
      <xdr:rowOff>66675</xdr:rowOff>
    </xdr:to>
    <xdr:grpSp>
      <xdr:nvGrpSpPr>
        <xdr:cNvPr id="14" name="Group 163"/>
        <xdr:cNvGrpSpPr>
          <a:grpSpLocks/>
        </xdr:cNvGrpSpPr>
      </xdr:nvGrpSpPr>
      <xdr:grpSpPr>
        <a:xfrm>
          <a:off x="7400925" y="4095750"/>
          <a:ext cx="3514725" cy="2952750"/>
          <a:chOff x="-657" y="-940"/>
          <a:chExt cx="15702" cy="20256"/>
        </a:xfrm>
        <a:solidFill>
          <a:srgbClr val="FFFFFF"/>
        </a:solidFill>
      </xdr:grpSpPr>
      <xdr:sp>
        <xdr:nvSpPr>
          <xdr:cNvPr id="15" name="Oval 99"/>
          <xdr:cNvSpPr>
            <a:spLocks/>
          </xdr:cNvSpPr>
        </xdr:nvSpPr>
        <xdr:spPr>
          <a:xfrm>
            <a:off x="301" y="6494"/>
            <a:ext cx="14089" cy="7095"/>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 name="Line 101"/>
          <xdr:cNvSpPr>
            <a:spLocks/>
          </xdr:cNvSpPr>
        </xdr:nvSpPr>
        <xdr:spPr>
          <a:xfrm flipV="1">
            <a:off x="-657" y="9917"/>
            <a:ext cx="15702"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 name="Line 102"/>
          <xdr:cNvSpPr>
            <a:spLocks/>
          </xdr:cNvSpPr>
        </xdr:nvSpPr>
        <xdr:spPr>
          <a:xfrm flipH="1">
            <a:off x="4360" y="6752"/>
            <a:ext cx="5853" cy="7606"/>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 name="Line 103"/>
          <xdr:cNvSpPr>
            <a:spLocks/>
          </xdr:cNvSpPr>
        </xdr:nvSpPr>
        <xdr:spPr>
          <a:xfrm flipV="1">
            <a:off x="7940" y="-940"/>
            <a:ext cx="0" cy="20256"/>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19" name="Group 104"/>
          <xdr:cNvGrpSpPr>
            <a:grpSpLocks/>
          </xdr:cNvGrpSpPr>
        </xdr:nvGrpSpPr>
        <xdr:grpSpPr>
          <a:xfrm>
            <a:off x="297" y="1708"/>
            <a:ext cx="14089" cy="16838"/>
            <a:chOff x="298" y="1710"/>
            <a:chExt cx="14090" cy="16837"/>
          </a:xfrm>
          <a:solidFill>
            <a:srgbClr val="FFFFFF"/>
          </a:solidFill>
        </xdr:grpSpPr>
        <xdr:grpSp>
          <xdr:nvGrpSpPr>
            <xdr:cNvPr id="20" name="Group 105"/>
            <xdr:cNvGrpSpPr>
              <a:grpSpLocks/>
            </xdr:cNvGrpSpPr>
          </xdr:nvGrpSpPr>
          <xdr:grpSpPr>
            <a:xfrm>
              <a:off x="298" y="1710"/>
              <a:ext cx="14090" cy="8120"/>
              <a:chOff x="298" y="1710"/>
              <a:chExt cx="14090" cy="8119"/>
            </a:xfrm>
            <a:solidFill>
              <a:srgbClr val="FFFFFF"/>
            </a:solidFill>
          </xdr:grpSpPr>
          <xdr:sp>
            <xdr:nvSpPr>
              <xdr:cNvPr id="21" name="Arc 106"/>
              <xdr:cNvSpPr>
                <a:spLocks/>
              </xdr:cNvSpPr>
            </xdr:nvSpPr>
            <xdr:spPr>
              <a:xfrm flipH="1">
                <a:off x="298" y="1710"/>
                <a:ext cx="7640" cy="8119"/>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 name="Arc 107"/>
              <xdr:cNvSpPr>
                <a:spLocks/>
              </xdr:cNvSpPr>
            </xdr:nvSpPr>
            <xdr:spPr>
              <a:xfrm>
                <a:off x="7878" y="1710"/>
                <a:ext cx="6510" cy="8034"/>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23" name="Group 108"/>
            <xdr:cNvGrpSpPr>
              <a:grpSpLocks/>
            </xdr:cNvGrpSpPr>
          </xdr:nvGrpSpPr>
          <xdr:grpSpPr>
            <a:xfrm>
              <a:off x="298" y="10086"/>
              <a:ext cx="14090" cy="8461"/>
              <a:chOff x="298" y="10086"/>
              <a:chExt cx="14090" cy="8461"/>
            </a:xfrm>
            <a:solidFill>
              <a:srgbClr val="FFFFFF"/>
            </a:solidFill>
          </xdr:grpSpPr>
          <xdr:sp>
            <xdr:nvSpPr>
              <xdr:cNvPr id="24" name="Arc 109"/>
              <xdr:cNvSpPr>
                <a:spLocks/>
              </xdr:cNvSpPr>
            </xdr:nvSpPr>
            <xdr:spPr>
              <a:xfrm flipH="1" flipV="1">
                <a:off x="298" y="10086"/>
                <a:ext cx="7704" cy="8461"/>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 name="Arc 110"/>
              <xdr:cNvSpPr>
                <a:spLocks/>
              </xdr:cNvSpPr>
            </xdr:nvSpPr>
            <xdr:spPr>
              <a:xfrm flipV="1">
                <a:off x="7938" y="10171"/>
                <a:ext cx="6450" cy="837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6" name="Arc 111"/>
            <xdr:cNvSpPr>
              <a:spLocks/>
            </xdr:cNvSpPr>
          </xdr:nvSpPr>
          <xdr:spPr>
            <a:xfrm flipH="1">
              <a:off x="5254" y="1710"/>
              <a:ext cx="2748" cy="11622"/>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7" name="Arc 144"/>
          <xdr:cNvSpPr>
            <a:spLocks/>
          </xdr:cNvSpPr>
        </xdr:nvSpPr>
        <xdr:spPr>
          <a:xfrm>
            <a:off x="7999" y="1622"/>
            <a:ext cx="3164" cy="11536"/>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Line 145"/>
          <xdr:cNvSpPr>
            <a:spLocks/>
          </xdr:cNvSpPr>
        </xdr:nvSpPr>
        <xdr:spPr>
          <a:xfrm flipV="1">
            <a:off x="7881" y="3845"/>
            <a:ext cx="2029" cy="5981"/>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 name="Line 146"/>
          <xdr:cNvSpPr>
            <a:spLocks/>
          </xdr:cNvSpPr>
        </xdr:nvSpPr>
        <xdr:spPr>
          <a:xfrm>
            <a:off x="7881" y="9831"/>
            <a:ext cx="3286" cy="3332"/>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30" name="Group 161"/>
          <xdr:cNvGrpSpPr>
            <a:grpSpLocks/>
          </xdr:cNvGrpSpPr>
        </xdr:nvGrpSpPr>
        <xdr:grpSpPr>
          <a:xfrm>
            <a:off x="6805" y="10854"/>
            <a:ext cx="2029" cy="258"/>
            <a:chOff x="6806" y="10855"/>
            <a:chExt cx="2030" cy="256"/>
          </a:xfrm>
          <a:solidFill>
            <a:srgbClr val="FFFFFF"/>
          </a:solidFill>
        </xdr:grpSpPr>
        <xdr:sp>
          <xdr:nvSpPr>
            <xdr:cNvPr id="31" name="Arc 147"/>
            <xdr:cNvSpPr>
              <a:spLocks/>
            </xdr:cNvSpPr>
          </xdr:nvSpPr>
          <xdr:spPr>
            <a:xfrm flipV="1">
              <a:off x="6806" y="10855"/>
              <a:ext cx="2030" cy="256"/>
            </a:xfrm>
            <a:prstGeom prst="arc">
              <a:avLst/>
            </a:prstGeom>
            <a:no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 name="Line 149"/>
            <xdr:cNvSpPr>
              <a:spLocks/>
            </xdr:cNvSpPr>
          </xdr:nvSpPr>
          <xdr:spPr>
            <a:xfrm flipH="1">
              <a:off x="8657" y="10855"/>
              <a:ext cx="179" cy="256"/>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Line 150"/>
            <xdr:cNvSpPr>
              <a:spLocks/>
            </xdr:cNvSpPr>
          </xdr:nvSpPr>
          <xdr:spPr>
            <a:xfrm flipH="1">
              <a:off x="8537" y="10855"/>
              <a:ext cx="299" cy="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34" name="Group 162"/>
          <xdr:cNvGrpSpPr>
            <a:grpSpLocks/>
          </xdr:cNvGrpSpPr>
        </xdr:nvGrpSpPr>
        <xdr:grpSpPr>
          <a:xfrm>
            <a:off x="8238" y="8545"/>
            <a:ext cx="836" cy="2395"/>
            <a:chOff x="8239" y="8547"/>
            <a:chExt cx="835" cy="2393"/>
          </a:xfrm>
          <a:solidFill>
            <a:srgbClr val="FFFFFF"/>
          </a:solidFill>
        </xdr:grpSpPr>
        <xdr:sp>
          <xdr:nvSpPr>
            <xdr:cNvPr id="35" name="Arc 148"/>
            <xdr:cNvSpPr>
              <a:spLocks/>
            </xdr:cNvSpPr>
          </xdr:nvSpPr>
          <xdr:spPr>
            <a:xfrm>
              <a:off x="8239" y="8547"/>
              <a:ext cx="835" cy="2393"/>
            </a:xfrm>
            <a:prstGeom prst="arc">
              <a:avLst/>
            </a:prstGeom>
            <a:no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Line 151"/>
            <xdr:cNvSpPr>
              <a:spLocks/>
            </xdr:cNvSpPr>
          </xdr:nvSpPr>
          <xdr:spPr>
            <a:xfrm>
              <a:off x="8239" y="8547"/>
              <a:ext cx="835" cy="86"/>
            </a:xfrm>
            <a:prstGeom prst="line">
              <a:avLst/>
            </a:prstGeom>
            <a:solidFill>
              <a:srgbClr val="FFFFFF"/>
            </a:solid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 name="Line 152"/>
            <xdr:cNvSpPr>
              <a:spLocks/>
            </xdr:cNvSpPr>
          </xdr:nvSpPr>
          <xdr:spPr>
            <a:xfrm>
              <a:off x="8358" y="8547"/>
              <a:ext cx="239" cy="513"/>
            </a:xfrm>
            <a:prstGeom prst="line">
              <a:avLst/>
            </a:prstGeom>
            <a:solidFill>
              <a:srgbClr val="FFFFFF"/>
            </a:solid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1</xdr:col>
      <xdr:colOff>66675</xdr:colOff>
      <xdr:row>64</xdr:row>
      <xdr:rowOff>114300</xdr:rowOff>
    </xdr:from>
    <xdr:to>
      <xdr:col>4</xdr:col>
      <xdr:colOff>800100</xdr:colOff>
      <xdr:row>84</xdr:row>
      <xdr:rowOff>95250</xdr:rowOff>
    </xdr:to>
    <xdr:grpSp>
      <xdr:nvGrpSpPr>
        <xdr:cNvPr id="38" name="Group 292"/>
        <xdr:cNvGrpSpPr>
          <a:grpSpLocks/>
        </xdr:cNvGrpSpPr>
      </xdr:nvGrpSpPr>
      <xdr:grpSpPr>
        <a:xfrm>
          <a:off x="361950" y="11430000"/>
          <a:ext cx="3657600" cy="3219450"/>
          <a:chOff x="-323" y="-308"/>
          <a:chExt cx="20258" cy="19923"/>
        </a:xfrm>
        <a:solidFill>
          <a:srgbClr val="FFFFFF"/>
        </a:solidFill>
      </xdr:grpSpPr>
      <xdr:sp>
        <xdr:nvSpPr>
          <xdr:cNvPr id="39" name="Line 167"/>
          <xdr:cNvSpPr>
            <a:spLocks/>
          </xdr:cNvSpPr>
        </xdr:nvSpPr>
        <xdr:spPr>
          <a:xfrm flipV="1">
            <a:off x="-323" y="10002"/>
            <a:ext cx="20258"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 name="Line 168"/>
          <xdr:cNvSpPr>
            <a:spLocks/>
          </xdr:cNvSpPr>
        </xdr:nvSpPr>
        <xdr:spPr>
          <a:xfrm flipH="1">
            <a:off x="5871" y="6844"/>
            <a:ext cx="6260" cy="7461"/>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 name="Line 169"/>
          <xdr:cNvSpPr>
            <a:spLocks/>
          </xdr:cNvSpPr>
        </xdr:nvSpPr>
        <xdr:spPr>
          <a:xfrm flipV="1">
            <a:off x="9548" y="-308"/>
            <a:ext cx="0" cy="1031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Oval 170"/>
          <xdr:cNvSpPr>
            <a:spLocks/>
          </xdr:cNvSpPr>
        </xdr:nvSpPr>
        <xdr:spPr>
          <a:xfrm>
            <a:off x="2128" y="6924"/>
            <a:ext cx="16323" cy="6769"/>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43" name="Group 171"/>
          <xdr:cNvGrpSpPr>
            <a:grpSpLocks/>
          </xdr:cNvGrpSpPr>
        </xdr:nvGrpSpPr>
        <xdr:grpSpPr>
          <a:xfrm>
            <a:off x="2128" y="2307"/>
            <a:ext cx="16389" cy="7845"/>
            <a:chOff x="2129" y="2307"/>
            <a:chExt cx="16387" cy="7847"/>
          </a:xfrm>
          <a:solidFill>
            <a:srgbClr val="FFFFFF"/>
          </a:solidFill>
        </xdr:grpSpPr>
        <xdr:sp>
          <xdr:nvSpPr>
            <xdr:cNvPr id="44" name="Arc 172"/>
            <xdr:cNvSpPr>
              <a:spLocks/>
            </xdr:cNvSpPr>
          </xdr:nvSpPr>
          <xdr:spPr>
            <a:xfrm flipH="1">
              <a:off x="2129" y="2307"/>
              <a:ext cx="8062" cy="7847"/>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 name="Arc 173"/>
            <xdr:cNvSpPr>
              <a:spLocks/>
            </xdr:cNvSpPr>
          </xdr:nvSpPr>
          <xdr:spPr>
            <a:xfrm>
              <a:off x="10191" y="2307"/>
              <a:ext cx="8325" cy="7692"/>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46" name="Group 174"/>
          <xdr:cNvGrpSpPr>
            <a:grpSpLocks/>
          </xdr:cNvGrpSpPr>
        </xdr:nvGrpSpPr>
        <xdr:grpSpPr>
          <a:xfrm>
            <a:off x="2128" y="10077"/>
            <a:ext cx="16389" cy="8383"/>
            <a:chOff x="2129" y="10077"/>
            <a:chExt cx="16387" cy="8385"/>
          </a:xfrm>
          <a:solidFill>
            <a:srgbClr val="FFFFFF"/>
          </a:solidFill>
        </xdr:grpSpPr>
        <xdr:sp>
          <xdr:nvSpPr>
            <xdr:cNvPr id="47" name="Arc 175"/>
            <xdr:cNvSpPr>
              <a:spLocks/>
            </xdr:cNvSpPr>
          </xdr:nvSpPr>
          <xdr:spPr>
            <a:xfrm flipH="1" flipV="1">
              <a:off x="2129" y="10077"/>
              <a:ext cx="8062" cy="8385"/>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 name="Arc 176"/>
            <xdr:cNvSpPr>
              <a:spLocks/>
            </xdr:cNvSpPr>
          </xdr:nvSpPr>
          <xdr:spPr>
            <a:xfrm flipV="1">
              <a:off x="10191" y="10077"/>
              <a:ext cx="8325" cy="8385"/>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9" name="Arc 177"/>
          <xdr:cNvSpPr>
            <a:spLocks/>
          </xdr:cNvSpPr>
        </xdr:nvSpPr>
        <xdr:spPr>
          <a:xfrm flipH="1">
            <a:off x="6965" y="2307"/>
            <a:ext cx="2710" cy="11002"/>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50" name="Group 217"/>
          <xdr:cNvGrpSpPr>
            <a:grpSpLocks/>
          </xdr:cNvGrpSpPr>
        </xdr:nvGrpSpPr>
        <xdr:grpSpPr>
          <a:xfrm>
            <a:off x="9614" y="2307"/>
            <a:ext cx="6001" cy="10385"/>
            <a:chOff x="9613" y="2307"/>
            <a:chExt cx="6000" cy="10385"/>
          </a:xfrm>
          <a:solidFill>
            <a:srgbClr val="FFFFFF"/>
          </a:solidFill>
        </xdr:grpSpPr>
        <xdr:sp>
          <xdr:nvSpPr>
            <xdr:cNvPr id="51" name="Arc 178"/>
            <xdr:cNvSpPr>
              <a:spLocks/>
            </xdr:cNvSpPr>
          </xdr:nvSpPr>
          <xdr:spPr>
            <a:xfrm>
              <a:off x="9613" y="2307"/>
              <a:ext cx="6000" cy="10385"/>
            </a:xfrm>
            <a:prstGeom prst="arc">
              <a:avLst/>
            </a:prstGeom>
            <a:noFill/>
            <a:ln w="1"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 name="Line 179"/>
            <xdr:cNvSpPr>
              <a:spLocks/>
            </xdr:cNvSpPr>
          </xdr:nvSpPr>
          <xdr:spPr>
            <a:xfrm flipV="1">
              <a:off x="9613" y="6461"/>
              <a:ext cx="4775" cy="3461"/>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 name="Line 210"/>
            <xdr:cNvSpPr>
              <a:spLocks/>
            </xdr:cNvSpPr>
          </xdr:nvSpPr>
          <xdr:spPr>
            <a:xfrm>
              <a:off x="9613" y="10000"/>
              <a:ext cx="6000" cy="2692"/>
            </a:xfrm>
            <a:prstGeom prst="line">
              <a:avLst/>
            </a:prstGeom>
            <a:solidFill>
              <a:srgbClr val="FFFFFF"/>
            </a:solidFill>
            <a:ln w="1"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 name="Oval 212"/>
            <xdr:cNvSpPr>
              <a:spLocks/>
            </xdr:cNvSpPr>
          </xdr:nvSpPr>
          <xdr:spPr>
            <a:xfrm>
              <a:off x="14064" y="5999"/>
              <a:ext cx="647" cy="768"/>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55" name="Group 216"/>
            <xdr:cNvGrpSpPr>
              <a:grpSpLocks/>
            </xdr:cNvGrpSpPr>
          </xdr:nvGrpSpPr>
          <xdr:grpSpPr>
            <a:xfrm>
              <a:off x="13743" y="7001"/>
              <a:ext cx="968" cy="5231"/>
              <a:chOff x="13742" y="7000"/>
              <a:chExt cx="968" cy="5231"/>
            </a:xfrm>
            <a:solidFill>
              <a:srgbClr val="FFFFFF"/>
            </a:solidFill>
          </xdr:grpSpPr>
          <xdr:sp>
            <xdr:nvSpPr>
              <xdr:cNvPr id="56" name="Arc 211"/>
              <xdr:cNvSpPr>
                <a:spLocks/>
              </xdr:cNvSpPr>
            </xdr:nvSpPr>
            <xdr:spPr>
              <a:xfrm>
                <a:off x="13806" y="7309"/>
                <a:ext cx="904" cy="4538"/>
              </a:xfrm>
              <a:prstGeom prst="arc">
                <a:avLst/>
              </a:prstGeom>
              <a:no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7" name="Line 214"/>
              <xdr:cNvSpPr>
                <a:spLocks/>
              </xdr:cNvSpPr>
            </xdr:nvSpPr>
            <xdr:spPr>
              <a:xfrm>
                <a:off x="14710" y="11847"/>
                <a:ext cx="0" cy="384"/>
              </a:xfrm>
              <a:prstGeom prst="line">
                <a:avLst/>
              </a:prstGeom>
              <a:solidFill>
                <a:srgbClr val="FFFFFF"/>
              </a:solidFill>
              <a:ln w="17145"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58" name="Line 215"/>
              <xdr:cNvSpPr>
                <a:spLocks/>
              </xdr:cNvSpPr>
            </xdr:nvSpPr>
            <xdr:spPr>
              <a:xfrm flipH="1" flipV="1">
                <a:off x="13742" y="7000"/>
                <a:ext cx="322" cy="462"/>
              </a:xfrm>
              <a:prstGeom prst="line">
                <a:avLst/>
              </a:prstGeom>
              <a:solidFill>
                <a:srgbClr val="FFFFFF"/>
              </a:solidFill>
              <a:ln w="17145"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grpSp>
      <xdr:sp>
        <xdr:nvSpPr>
          <xdr:cNvPr id="59" name="Arc 219"/>
          <xdr:cNvSpPr>
            <a:spLocks/>
          </xdr:cNvSpPr>
        </xdr:nvSpPr>
        <xdr:spPr>
          <a:xfrm flipV="1">
            <a:off x="9806" y="12771"/>
            <a:ext cx="5809" cy="5618"/>
          </a:xfrm>
          <a:prstGeom prst="arc">
            <a:avLst/>
          </a:prstGeom>
          <a:noFill/>
          <a:ln w="1" cmpd="sng">
            <a:solidFill>
              <a:srgbClr val="00CC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 name="Line 220"/>
          <xdr:cNvSpPr>
            <a:spLocks/>
          </xdr:cNvSpPr>
        </xdr:nvSpPr>
        <xdr:spPr>
          <a:xfrm>
            <a:off x="9614" y="10002"/>
            <a:ext cx="4776" cy="6156"/>
          </a:xfrm>
          <a:prstGeom prst="line">
            <a:avLst/>
          </a:prstGeom>
          <a:solidFill>
            <a:srgbClr val="FFFFFF"/>
          </a:solidFill>
          <a:ln w="1" cmpd="sng">
            <a:solidFill>
              <a:srgbClr val="00CC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1" name="Oval 222"/>
          <xdr:cNvSpPr>
            <a:spLocks/>
          </xdr:cNvSpPr>
        </xdr:nvSpPr>
        <xdr:spPr>
          <a:xfrm>
            <a:off x="14131" y="15770"/>
            <a:ext cx="582" cy="618"/>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62" name="Group 261"/>
          <xdr:cNvGrpSpPr>
            <a:grpSpLocks/>
          </xdr:cNvGrpSpPr>
        </xdr:nvGrpSpPr>
        <xdr:grpSpPr>
          <a:xfrm>
            <a:off x="13417" y="12154"/>
            <a:ext cx="901" cy="2844"/>
            <a:chOff x="13419" y="12154"/>
            <a:chExt cx="903" cy="2846"/>
          </a:xfrm>
          <a:solidFill>
            <a:srgbClr val="FFFFFF"/>
          </a:solidFill>
        </xdr:grpSpPr>
        <xdr:sp>
          <xdr:nvSpPr>
            <xdr:cNvPr id="63" name="Arc 224"/>
            <xdr:cNvSpPr>
              <a:spLocks/>
            </xdr:cNvSpPr>
          </xdr:nvSpPr>
          <xdr:spPr>
            <a:xfrm flipV="1">
              <a:off x="13484" y="12385"/>
              <a:ext cx="838" cy="2384"/>
            </a:xfrm>
            <a:prstGeom prst="arc">
              <a:avLst/>
            </a:prstGeom>
            <a:noFill/>
            <a:ln w="17145" cmpd="sng">
              <a:solidFill>
                <a:srgbClr val="00CC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4" name="Line 225"/>
            <xdr:cNvSpPr>
              <a:spLocks/>
            </xdr:cNvSpPr>
          </xdr:nvSpPr>
          <xdr:spPr>
            <a:xfrm flipV="1">
              <a:off x="14322" y="12154"/>
              <a:ext cx="0" cy="231"/>
            </a:xfrm>
            <a:prstGeom prst="line">
              <a:avLst/>
            </a:prstGeom>
            <a:solidFill>
              <a:srgbClr val="FFFFFF"/>
            </a:solidFill>
            <a:ln w="9525" cmpd="sng">
              <a:solidFill>
                <a:srgbClr val="00CCFF"/>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65" name="Line 226"/>
            <xdr:cNvSpPr>
              <a:spLocks/>
            </xdr:cNvSpPr>
          </xdr:nvSpPr>
          <xdr:spPr>
            <a:xfrm flipH="1">
              <a:off x="13419" y="14538"/>
              <a:ext cx="323" cy="462"/>
            </a:xfrm>
            <a:prstGeom prst="line">
              <a:avLst/>
            </a:prstGeom>
            <a:solidFill>
              <a:srgbClr val="FFFFFF"/>
            </a:solidFill>
            <a:ln w="9525" cmpd="sng">
              <a:solidFill>
                <a:srgbClr val="00CCFF"/>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sp>
        <xdr:nvSpPr>
          <xdr:cNvPr id="66" name="Line 227"/>
          <xdr:cNvSpPr>
            <a:spLocks/>
          </xdr:cNvSpPr>
        </xdr:nvSpPr>
        <xdr:spPr>
          <a:xfrm>
            <a:off x="9548" y="10002"/>
            <a:ext cx="0" cy="9613"/>
          </a:xfrm>
          <a:prstGeom prst="line">
            <a:avLst/>
          </a:prstGeom>
          <a:solidFill>
            <a:srgbClr val="FFFFFF"/>
          </a:solidFill>
          <a:ln w="1"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7" name="Line 260"/>
          <xdr:cNvSpPr>
            <a:spLocks/>
          </xdr:cNvSpPr>
        </xdr:nvSpPr>
        <xdr:spPr>
          <a:xfrm flipH="1">
            <a:off x="14516" y="4384"/>
            <a:ext cx="3677" cy="4692"/>
          </a:xfrm>
          <a:prstGeom prst="line">
            <a:avLst/>
          </a:prstGeom>
          <a:solidFill>
            <a:srgbClr val="FFFFFF"/>
          </a:solidFill>
          <a:ln w="9525"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68" name="Line 262"/>
          <xdr:cNvSpPr>
            <a:spLocks/>
          </xdr:cNvSpPr>
        </xdr:nvSpPr>
        <xdr:spPr>
          <a:xfrm flipH="1" flipV="1">
            <a:off x="14192" y="13922"/>
            <a:ext cx="3160" cy="2460"/>
          </a:xfrm>
          <a:prstGeom prst="line">
            <a:avLst/>
          </a:prstGeom>
          <a:solidFill>
            <a:srgbClr val="FFFFFF"/>
          </a:solidFill>
          <a:ln w="1" cmpd="sng">
            <a:solidFill>
              <a:srgbClr val="00CCFF"/>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1038225</xdr:colOff>
      <xdr:row>65</xdr:row>
      <xdr:rowOff>28575</xdr:rowOff>
    </xdr:from>
    <xdr:to>
      <xdr:col>11</xdr:col>
      <xdr:colOff>85725</xdr:colOff>
      <xdr:row>85</xdr:row>
      <xdr:rowOff>0</xdr:rowOff>
    </xdr:to>
    <xdr:grpSp>
      <xdr:nvGrpSpPr>
        <xdr:cNvPr id="69" name="Group 371"/>
        <xdr:cNvGrpSpPr>
          <a:grpSpLocks/>
        </xdr:cNvGrpSpPr>
      </xdr:nvGrpSpPr>
      <xdr:grpSpPr>
        <a:xfrm>
          <a:off x="6457950" y="11506200"/>
          <a:ext cx="4391025" cy="3209925"/>
          <a:chOff x="-511" y="-77"/>
          <a:chExt cx="20447" cy="20000"/>
        </a:xfrm>
        <a:solidFill>
          <a:srgbClr val="FFFFFF"/>
        </a:solidFill>
      </xdr:grpSpPr>
      <xdr:sp>
        <xdr:nvSpPr>
          <xdr:cNvPr id="70" name="Line 294"/>
          <xdr:cNvSpPr>
            <a:spLocks/>
          </xdr:cNvSpPr>
        </xdr:nvSpPr>
        <xdr:spPr>
          <a:xfrm flipV="1">
            <a:off x="0" y="10233"/>
            <a:ext cx="19936"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1" name="Line 295"/>
          <xdr:cNvSpPr>
            <a:spLocks/>
          </xdr:cNvSpPr>
        </xdr:nvSpPr>
        <xdr:spPr>
          <a:xfrm flipH="1">
            <a:off x="6262" y="6923"/>
            <a:ext cx="5940" cy="777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2" name="Oval 297"/>
          <xdr:cNvSpPr>
            <a:spLocks/>
          </xdr:cNvSpPr>
        </xdr:nvSpPr>
        <xdr:spPr>
          <a:xfrm>
            <a:off x="2428" y="7153"/>
            <a:ext cx="16102" cy="6770"/>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73" name="Group 298"/>
          <xdr:cNvGrpSpPr>
            <a:grpSpLocks/>
          </xdr:cNvGrpSpPr>
        </xdr:nvGrpSpPr>
        <xdr:grpSpPr>
          <a:xfrm>
            <a:off x="2428" y="2538"/>
            <a:ext cx="16168" cy="7845"/>
            <a:chOff x="2428" y="2538"/>
            <a:chExt cx="16166" cy="7847"/>
          </a:xfrm>
          <a:solidFill>
            <a:srgbClr val="FFFFFF"/>
          </a:solidFill>
        </xdr:grpSpPr>
        <xdr:sp>
          <xdr:nvSpPr>
            <xdr:cNvPr id="74" name="Arc 299"/>
            <xdr:cNvSpPr>
              <a:spLocks/>
            </xdr:cNvSpPr>
          </xdr:nvSpPr>
          <xdr:spPr>
            <a:xfrm flipH="1">
              <a:off x="2428" y="2538"/>
              <a:ext cx="7861" cy="7847"/>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5" name="Arc 300"/>
            <xdr:cNvSpPr>
              <a:spLocks/>
            </xdr:cNvSpPr>
          </xdr:nvSpPr>
          <xdr:spPr>
            <a:xfrm>
              <a:off x="10289" y="2538"/>
              <a:ext cx="8305" cy="7692"/>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76" name="Group 301"/>
          <xdr:cNvGrpSpPr>
            <a:grpSpLocks/>
          </xdr:cNvGrpSpPr>
        </xdr:nvGrpSpPr>
        <xdr:grpSpPr>
          <a:xfrm>
            <a:off x="2428" y="10308"/>
            <a:ext cx="16168" cy="8385"/>
            <a:chOff x="2428" y="10308"/>
            <a:chExt cx="16166" cy="8384"/>
          </a:xfrm>
          <a:solidFill>
            <a:srgbClr val="FFFFFF"/>
          </a:solidFill>
        </xdr:grpSpPr>
        <xdr:sp>
          <xdr:nvSpPr>
            <xdr:cNvPr id="77" name="Arc 302"/>
            <xdr:cNvSpPr>
              <a:spLocks/>
            </xdr:cNvSpPr>
          </xdr:nvSpPr>
          <xdr:spPr>
            <a:xfrm flipH="1" flipV="1">
              <a:off x="2428" y="10308"/>
              <a:ext cx="7861" cy="8384"/>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8" name="Arc 303"/>
            <xdr:cNvSpPr>
              <a:spLocks/>
            </xdr:cNvSpPr>
          </xdr:nvSpPr>
          <xdr:spPr>
            <a:xfrm flipV="1">
              <a:off x="10289" y="10308"/>
              <a:ext cx="8305" cy="8384"/>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79" name="Oval 316"/>
          <xdr:cNvSpPr>
            <a:spLocks/>
          </xdr:cNvSpPr>
        </xdr:nvSpPr>
        <xdr:spPr>
          <a:xfrm>
            <a:off x="15335" y="12693"/>
            <a:ext cx="705" cy="615"/>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0" name="Line 321"/>
          <xdr:cNvSpPr>
            <a:spLocks/>
          </xdr:cNvSpPr>
        </xdr:nvSpPr>
        <xdr:spPr>
          <a:xfrm>
            <a:off x="9774" y="10233"/>
            <a:ext cx="0" cy="9615"/>
          </a:xfrm>
          <a:prstGeom prst="line">
            <a:avLst/>
          </a:prstGeom>
          <a:solidFill>
            <a:srgbClr val="FFFFFF"/>
          </a:solidFill>
          <a:ln w="1"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1" name="Line 324"/>
          <xdr:cNvSpPr>
            <a:spLocks/>
          </xdr:cNvSpPr>
        </xdr:nvSpPr>
        <xdr:spPr>
          <a:xfrm>
            <a:off x="9774" y="10308"/>
            <a:ext cx="5945" cy="2690"/>
          </a:xfrm>
          <a:prstGeom prst="line">
            <a:avLst/>
          </a:prstGeom>
          <a:solidFill>
            <a:srgbClr val="FFFFFF"/>
          </a:solidFill>
          <a:ln w="952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82" name="Group 329"/>
          <xdr:cNvGrpSpPr>
            <a:grpSpLocks/>
          </xdr:cNvGrpSpPr>
        </xdr:nvGrpSpPr>
        <xdr:grpSpPr>
          <a:xfrm>
            <a:off x="7412" y="12153"/>
            <a:ext cx="6328" cy="845"/>
            <a:chOff x="7412" y="12154"/>
            <a:chExt cx="6326" cy="846"/>
          </a:xfrm>
          <a:solidFill>
            <a:srgbClr val="FFFFFF"/>
          </a:solidFill>
        </xdr:grpSpPr>
        <xdr:sp>
          <xdr:nvSpPr>
            <xdr:cNvPr id="83" name="Arc 326"/>
            <xdr:cNvSpPr>
              <a:spLocks/>
            </xdr:cNvSpPr>
          </xdr:nvSpPr>
          <xdr:spPr>
            <a:xfrm flipV="1">
              <a:off x="7988" y="12308"/>
              <a:ext cx="5496" cy="692"/>
            </a:xfrm>
            <a:prstGeom prst="arc">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4" name="Line 327"/>
            <xdr:cNvSpPr>
              <a:spLocks/>
            </xdr:cNvSpPr>
          </xdr:nvSpPr>
          <xdr:spPr>
            <a:xfrm flipH="1" flipV="1">
              <a:off x="7412" y="13000"/>
              <a:ext cx="576" cy="0"/>
            </a:xfrm>
            <a:prstGeom prst="line">
              <a:avLst/>
            </a:prstGeom>
            <a:solidFill>
              <a:srgbClr val="FFFFFF"/>
            </a:solidFill>
            <a:ln w="17145" cmpd="sng">
              <a:solidFill>
                <a:srgbClr val="DD0806"/>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85" name="Line 328"/>
            <xdr:cNvSpPr>
              <a:spLocks/>
            </xdr:cNvSpPr>
          </xdr:nvSpPr>
          <xdr:spPr>
            <a:xfrm flipV="1">
              <a:off x="12971" y="12154"/>
              <a:ext cx="767" cy="461"/>
            </a:xfrm>
            <a:prstGeom prst="line">
              <a:avLst/>
            </a:prstGeom>
            <a:solidFill>
              <a:srgbClr val="FFFFFF"/>
            </a:solidFill>
            <a:ln w="9525" cmpd="sng">
              <a:solidFill>
                <a:srgbClr val="DD0806"/>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sp>
        <xdr:nvSpPr>
          <xdr:cNvPr id="86" name="Line 331"/>
          <xdr:cNvSpPr>
            <a:spLocks/>
          </xdr:cNvSpPr>
        </xdr:nvSpPr>
        <xdr:spPr>
          <a:xfrm flipH="1" flipV="1">
            <a:off x="10801" y="12923"/>
            <a:ext cx="1534" cy="7000"/>
          </a:xfrm>
          <a:prstGeom prst="line">
            <a:avLst/>
          </a:prstGeom>
          <a:solidFill>
            <a:srgbClr val="FFFFFF"/>
          </a:solidFill>
          <a:ln w="17145" cmpd="sng">
            <a:solidFill>
              <a:srgbClr val="DD0806"/>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87" name="Line 332"/>
          <xdr:cNvSpPr>
            <a:spLocks/>
          </xdr:cNvSpPr>
        </xdr:nvSpPr>
        <xdr:spPr>
          <a:xfrm flipV="1">
            <a:off x="9840" y="8998"/>
            <a:ext cx="7734" cy="123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88" name="Group 342"/>
          <xdr:cNvGrpSpPr>
            <a:grpSpLocks/>
          </xdr:cNvGrpSpPr>
        </xdr:nvGrpSpPr>
        <xdr:grpSpPr>
          <a:xfrm>
            <a:off x="8245" y="9538"/>
            <a:ext cx="5301" cy="2460"/>
            <a:chOff x="8243" y="9538"/>
            <a:chExt cx="5303" cy="2462"/>
          </a:xfrm>
          <a:solidFill>
            <a:srgbClr val="FFFFFF"/>
          </a:solidFill>
        </xdr:grpSpPr>
        <xdr:sp>
          <xdr:nvSpPr>
            <xdr:cNvPr id="89" name="Arc 338"/>
            <xdr:cNvSpPr>
              <a:spLocks/>
            </xdr:cNvSpPr>
          </xdr:nvSpPr>
          <xdr:spPr>
            <a:xfrm flipV="1">
              <a:off x="8818" y="11154"/>
              <a:ext cx="4473" cy="846"/>
            </a:xfrm>
            <a:prstGeom prst="arc">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0" name="Line 339"/>
            <xdr:cNvSpPr>
              <a:spLocks/>
            </xdr:cNvSpPr>
          </xdr:nvSpPr>
          <xdr:spPr>
            <a:xfrm flipH="1" flipV="1">
              <a:off x="8243" y="12000"/>
              <a:ext cx="575" cy="0"/>
            </a:xfrm>
            <a:prstGeom prst="line">
              <a:avLst/>
            </a:prstGeom>
            <a:solidFill>
              <a:srgbClr val="FFFFFF"/>
            </a:solidFill>
            <a:ln w="17145"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91" name="Line 340"/>
            <xdr:cNvSpPr>
              <a:spLocks/>
            </xdr:cNvSpPr>
          </xdr:nvSpPr>
          <xdr:spPr>
            <a:xfrm flipV="1">
              <a:off x="13419" y="9538"/>
              <a:ext cx="64" cy="1385"/>
            </a:xfrm>
            <a:prstGeom prst="line">
              <a:avLst/>
            </a:prstGeom>
            <a:solidFill>
              <a:srgbClr val="FFFFFF"/>
            </a:solidFill>
            <a:ln w="9525"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92" name="Arc 341"/>
            <xdr:cNvSpPr>
              <a:spLocks/>
            </xdr:cNvSpPr>
          </xdr:nvSpPr>
          <xdr:spPr>
            <a:xfrm flipV="1">
              <a:off x="12843" y="10077"/>
              <a:ext cx="703" cy="1385"/>
            </a:xfrm>
            <a:prstGeom prst="arc">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93" name="Group 346"/>
          <xdr:cNvGrpSpPr>
            <a:grpSpLocks/>
          </xdr:cNvGrpSpPr>
        </xdr:nvGrpSpPr>
        <xdr:grpSpPr>
          <a:xfrm>
            <a:off x="11440" y="7848"/>
            <a:ext cx="2045" cy="1690"/>
            <a:chOff x="11438" y="7846"/>
            <a:chExt cx="2044" cy="1692"/>
          </a:xfrm>
          <a:solidFill>
            <a:srgbClr val="FFFFFF"/>
          </a:solidFill>
        </xdr:grpSpPr>
        <xdr:sp>
          <xdr:nvSpPr>
            <xdr:cNvPr id="94" name="Arc 343"/>
            <xdr:cNvSpPr>
              <a:spLocks/>
            </xdr:cNvSpPr>
          </xdr:nvSpPr>
          <xdr:spPr>
            <a:xfrm>
              <a:off x="11949" y="7846"/>
              <a:ext cx="1470" cy="1308"/>
            </a:xfrm>
            <a:prstGeom prst="arc">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5" name="Line 344"/>
            <xdr:cNvSpPr>
              <a:spLocks/>
            </xdr:cNvSpPr>
          </xdr:nvSpPr>
          <xdr:spPr>
            <a:xfrm flipH="1" flipV="1">
              <a:off x="11438" y="7846"/>
              <a:ext cx="447" cy="0"/>
            </a:xfrm>
            <a:prstGeom prst="line">
              <a:avLst/>
            </a:prstGeom>
            <a:solidFill>
              <a:srgbClr val="FFFFFF"/>
            </a:solidFill>
            <a:ln w="17145"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96" name="Line 345"/>
            <xdr:cNvSpPr>
              <a:spLocks/>
            </xdr:cNvSpPr>
          </xdr:nvSpPr>
          <xdr:spPr>
            <a:xfrm>
              <a:off x="13419" y="9154"/>
              <a:ext cx="63" cy="384"/>
            </a:xfrm>
            <a:prstGeom prst="line">
              <a:avLst/>
            </a:prstGeom>
            <a:solidFill>
              <a:srgbClr val="FFFFFF"/>
            </a:solidFill>
            <a:ln w="17145"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sp>
        <xdr:nvSpPr>
          <xdr:cNvPr id="97" name="Oval 347"/>
          <xdr:cNvSpPr>
            <a:spLocks/>
          </xdr:cNvSpPr>
        </xdr:nvSpPr>
        <xdr:spPr>
          <a:xfrm>
            <a:off x="17125" y="8613"/>
            <a:ext cx="639" cy="615"/>
          </a:xfrm>
          <a:prstGeom prst="ellipse">
            <a:avLst/>
          </a:prstGeom>
          <a:solidFill>
            <a:srgbClr val="1FB714"/>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8" name="Line 348"/>
          <xdr:cNvSpPr>
            <a:spLocks/>
          </xdr:cNvSpPr>
        </xdr:nvSpPr>
        <xdr:spPr>
          <a:xfrm flipH="1">
            <a:off x="13163" y="4463"/>
            <a:ext cx="6390" cy="3770"/>
          </a:xfrm>
          <a:prstGeom prst="line">
            <a:avLst/>
          </a:prstGeom>
          <a:solidFill>
            <a:srgbClr val="FFFFFF"/>
          </a:solidFill>
          <a:ln w="9525"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99" name="Line 350"/>
          <xdr:cNvSpPr>
            <a:spLocks/>
          </xdr:cNvSpPr>
        </xdr:nvSpPr>
        <xdr:spPr>
          <a:xfrm flipH="1">
            <a:off x="13357" y="10078"/>
            <a:ext cx="3895" cy="1075"/>
          </a:xfrm>
          <a:prstGeom prst="line">
            <a:avLst/>
          </a:prstGeom>
          <a:solidFill>
            <a:srgbClr val="FFFFFF"/>
          </a:solidFill>
          <a:ln w="9525"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100" name="Line 351"/>
          <xdr:cNvSpPr>
            <a:spLocks/>
          </xdr:cNvSpPr>
        </xdr:nvSpPr>
        <xdr:spPr>
          <a:xfrm flipV="1">
            <a:off x="17314" y="6848"/>
            <a:ext cx="2622" cy="3155"/>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1" name="Line 352"/>
          <xdr:cNvSpPr>
            <a:spLocks/>
          </xdr:cNvSpPr>
        </xdr:nvSpPr>
        <xdr:spPr>
          <a:xfrm flipH="1" flipV="1">
            <a:off x="3640" y="8768"/>
            <a:ext cx="5817" cy="1385"/>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2" name="Oval 353"/>
          <xdr:cNvSpPr>
            <a:spLocks/>
          </xdr:cNvSpPr>
        </xdr:nvSpPr>
        <xdr:spPr>
          <a:xfrm>
            <a:off x="3323" y="8383"/>
            <a:ext cx="639" cy="615"/>
          </a:xfrm>
          <a:prstGeom prst="ellipse">
            <a:avLst/>
          </a:prstGeom>
          <a:solidFill>
            <a:srgbClr val="FF00FF"/>
          </a:solidFill>
          <a:ln w="1"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103" name="Group 363"/>
          <xdr:cNvGrpSpPr>
            <a:grpSpLocks/>
          </xdr:cNvGrpSpPr>
        </xdr:nvGrpSpPr>
        <xdr:grpSpPr>
          <a:xfrm>
            <a:off x="5368" y="9233"/>
            <a:ext cx="2622" cy="3230"/>
            <a:chOff x="5367" y="9231"/>
            <a:chExt cx="2620" cy="3231"/>
          </a:xfrm>
          <a:solidFill>
            <a:srgbClr val="FFFFFF"/>
          </a:solidFill>
        </xdr:grpSpPr>
        <xdr:sp>
          <xdr:nvSpPr>
            <xdr:cNvPr id="104" name="Arc 355"/>
            <xdr:cNvSpPr>
              <a:spLocks/>
            </xdr:cNvSpPr>
          </xdr:nvSpPr>
          <xdr:spPr>
            <a:xfrm flipH="1" flipV="1">
              <a:off x="5495" y="9846"/>
              <a:ext cx="2173" cy="2616"/>
            </a:xfrm>
            <a:prstGeom prst="arc">
              <a:avLst/>
            </a:prstGeom>
            <a:no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5" name="Line 356"/>
            <xdr:cNvSpPr>
              <a:spLocks/>
            </xdr:cNvSpPr>
          </xdr:nvSpPr>
          <xdr:spPr>
            <a:xfrm flipV="1">
              <a:off x="7668" y="12462"/>
              <a:ext cx="319" cy="0"/>
            </a:xfrm>
            <a:prstGeom prst="line">
              <a:avLst/>
            </a:prstGeom>
            <a:solidFill>
              <a:srgbClr val="FFFFFF"/>
            </a:solidFill>
            <a:ln w="9525"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106" name="Line 357"/>
            <xdr:cNvSpPr>
              <a:spLocks/>
            </xdr:cNvSpPr>
          </xdr:nvSpPr>
          <xdr:spPr>
            <a:xfrm flipH="1" flipV="1">
              <a:off x="5367" y="9231"/>
              <a:ext cx="512" cy="1923"/>
            </a:xfrm>
            <a:prstGeom prst="line">
              <a:avLst/>
            </a:prstGeom>
            <a:solidFill>
              <a:srgbClr val="FFFFFF"/>
            </a:solidFill>
            <a:ln w="17145"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grpSp>
        <xdr:nvGrpSpPr>
          <xdr:cNvPr id="107" name="Group 362"/>
          <xdr:cNvGrpSpPr>
            <a:grpSpLocks/>
          </xdr:cNvGrpSpPr>
        </xdr:nvGrpSpPr>
        <xdr:grpSpPr>
          <a:xfrm>
            <a:off x="5495" y="8078"/>
            <a:ext cx="5751" cy="1075"/>
            <a:chOff x="5495" y="8077"/>
            <a:chExt cx="5751" cy="1077"/>
          </a:xfrm>
          <a:solidFill>
            <a:srgbClr val="FFFFFF"/>
          </a:solidFill>
        </xdr:grpSpPr>
        <xdr:sp>
          <xdr:nvSpPr>
            <xdr:cNvPr id="108" name="Arc 359"/>
            <xdr:cNvSpPr>
              <a:spLocks/>
            </xdr:cNvSpPr>
          </xdr:nvSpPr>
          <xdr:spPr>
            <a:xfrm flipH="1">
              <a:off x="6581" y="8154"/>
              <a:ext cx="3707" cy="461"/>
            </a:xfrm>
            <a:prstGeom prst="arc">
              <a:avLst/>
            </a:prstGeom>
            <a:no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9" name="Line 360"/>
            <xdr:cNvSpPr>
              <a:spLocks/>
            </xdr:cNvSpPr>
          </xdr:nvSpPr>
          <xdr:spPr>
            <a:xfrm flipV="1">
              <a:off x="10288" y="8077"/>
              <a:ext cx="958" cy="0"/>
            </a:xfrm>
            <a:prstGeom prst="line">
              <a:avLst/>
            </a:prstGeom>
            <a:solidFill>
              <a:srgbClr val="FFFFFF"/>
            </a:solidFill>
            <a:ln w="9525"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110" name="Line 361"/>
            <xdr:cNvSpPr>
              <a:spLocks/>
            </xdr:cNvSpPr>
          </xdr:nvSpPr>
          <xdr:spPr>
            <a:xfrm flipH="1">
              <a:off x="5495" y="8615"/>
              <a:ext cx="1086" cy="539"/>
            </a:xfrm>
            <a:prstGeom prst="line">
              <a:avLst/>
            </a:prstGeom>
            <a:solidFill>
              <a:srgbClr val="FFFFFF"/>
            </a:solidFill>
            <a:ln w="9525"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sp>
        <xdr:nvSpPr>
          <xdr:cNvPr id="111" name="Arc 304"/>
          <xdr:cNvSpPr>
            <a:spLocks/>
          </xdr:cNvSpPr>
        </xdr:nvSpPr>
        <xdr:spPr>
          <a:xfrm flipH="1">
            <a:off x="7157" y="2538"/>
            <a:ext cx="2745" cy="1100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2" name="Line 296"/>
          <xdr:cNvSpPr>
            <a:spLocks/>
          </xdr:cNvSpPr>
        </xdr:nvSpPr>
        <xdr:spPr>
          <a:xfrm flipV="1">
            <a:off x="9774" y="-77"/>
            <a:ext cx="0" cy="1031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3" name="Line 364"/>
          <xdr:cNvSpPr>
            <a:spLocks/>
          </xdr:cNvSpPr>
        </xdr:nvSpPr>
        <xdr:spPr>
          <a:xfrm>
            <a:off x="5429" y="1538"/>
            <a:ext cx="1600" cy="6925"/>
          </a:xfrm>
          <a:prstGeom prst="line">
            <a:avLst/>
          </a:prstGeom>
          <a:solidFill>
            <a:srgbClr val="FFFFFF"/>
          </a:solidFill>
          <a:ln w="9525"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nvGrpSpPr>
          <xdr:cNvPr id="114" name="Group 369"/>
          <xdr:cNvGrpSpPr>
            <a:grpSpLocks/>
          </xdr:cNvGrpSpPr>
        </xdr:nvGrpSpPr>
        <xdr:grpSpPr>
          <a:xfrm>
            <a:off x="-511" y="1463"/>
            <a:ext cx="6201" cy="9615"/>
            <a:chOff x="-511" y="1461"/>
            <a:chExt cx="6198" cy="9616"/>
          </a:xfrm>
          <a:solidFill>
            <a:srgbClr val="FFFFFF"/>
          </a:solidFill>
        </xdr:grpSpPr>
        <xdr:sp>
          <xdr:nvSpPr>
            <xdr:cNvPr id="115" name="Line 365"/>
            <xdr:cNvSpPr>
              <a:spLocks/>
            </xdr:cNvSpPr>
          </xdr:nvSpPr>
          <xdr:spPr>
            <a:xfrm>
              <a:off x="1021" y="8846"/>
              <a:ext cx="4666" cy="2231"/>
            </a:xfrm>
            <a:prstGeom prst="line">
              <a:avLst/>
            </a:prstGeom>
            <a:solidFill>
              <a:srgbClr val="FFFFFF"/>
            </a:solidFill>
            <a:ln w="9525"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116" name="Line 366"/>
            <xdr:cNvSpPr>
              <a:spLocks/>
            </xdr:cNvSpPr>
          </xdr:nvSpPr>
          <xdr:spPr>
            <a:xfrm flipH="1" flipV="1">
              <a:off x="-511" y="3461"/>
              <a:ext cx="1532" cy="5385"/>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7" name="Line 367"/>
            <xdr:cNvSpPr>
              <a:spLocks/>
            </xdr:cNvSpPr>
          </xdr:nvSpPr>
          <xdr:spPr>
            <a:xfrm>
              <a:off x="-447" y="3461"/>
              <a:ext cx="638" cy="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8" name="Line 368"/>
            <xdr:cNvSpPr>
              <a:spLocks/>
            </xdr:cNvSpPr>
          </xdr:nvSpPr>
          <xdr:spPr>
            <a:xfrm flipH="1">
              <a:off x="5112" y="1461"/>
              <a:ext cx="319" cy="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19" name="Line 370"/>
          <xdr:cNvSpPr>
            <a:spLocks/>
          </xdr:cNvSpPr>
        </xdr:nvSpPr>
        <xdr:spPr>
          <a:xfrm>
            <a:off x="19619" y="4463"/>
            <a:ext cx="317"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133350</xdr:colOff>
      <xdr:row>309</xdr:row>
      <xdr:rowOff>152400</xdr:rowOff>
    </xdr:from>
    <xdr:to>
      <xdr:col>5</xdr:col>
      <xdr:colOff>733425</xdr:colOff>
      <xdr:row>327</xdr:row>
      <xdr:rowOff>0</xdr:rowOff>
    </xdr:to>
    <xdr:sp>
      <xdr:nvSpPr>
        <xdr:cNvPr id="120" name="Rectangle 373"/>
        <xdr:cNvSpPr>
          <a:spLocks/>
        </xdr:cNvSpPr>
      </xdr:nvSpPr>
      <xdr:spPr>
        <a:xfrm>
          <a:off x="1295400" y="51939825"/>
          <a:ext cx="3771900" cy="2762250"/>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828675</xdr:colOff>
      <xdr:row>309</xdr:row>
      <xdr:rowOff>38100</xdr:rowOff>
    </xdr:from>
    <xdr:to>
      <xdr:col>3</xdr:col>
      <xdr:colOff>828675</xdr:colOff>
      <xdr:row>327</xdr:row>
      <xdr:rowOff>123825</xdr:rowOff>
    </xdr:to>
    <xdr:sp>
      <xdr:nvSpPr>
        <xdr:cNvPr id="121" name="Line 374"/>
        <xdr:cNvSpPr>
          <a:spLocks/>
        </xdr:cNvSpPr>
      </xdr:nvSpPr>
      <xdr:spPr>
        <a:xfrm flipH="1">
          <a:off x="2981325" y="51825525"/>
          <a:ext cx="0" cy="3000375"/>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319</xdr:row>
      <xdr:rowOff>0</xdr:rowOff>
    </xdr:from>
    <xdr:to>
      <xdr:col>6</xdr:col>
      <xdr:colOff>0</xdr:colOff>
      <xdr:row>319</xdr:row>
      <xdr:rowOff>0</xdr:rowOff>
    </xdr:to>
    <xdr:sp>
      <xdr:nvSpPr>
        <xdr:cNvPr id="122" name="Line 375"/>
        <xdr:cNvSpPr>
          <a:spLocks/>
        </xdr:cNvSpPr>
      </xdr:nvSpPr>
      <xdr:spPr>
        <a:xfrm>
          <a:off x="1162050" y="53406675"/>
          <a:ext cx="4257675" cy="0"/>
        </a:xfrm>
        <a:prstGeom prst="line">
          <a:avLst/>
        </a:prstGeom>
        <a:solidFill>
          <a:srgbClr val="FFFFFF"/>
        </a:solid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647700</xdr:colOff>
      <xdr:row>326</xdr:row>
      <xdr:rowOff>47625</xdr:rowOff>
    </xdr:from>
    <xdr:to>
      <xdr:col>5</xdr:col>
      <xdr:colOff>828675</xdr:colOff>
      <xdr:row>327</xdr:row>
      <xdr:rowOff>66675</xdr:rowOff>
    </xdr:to>
    <xdr:sp>
      <xdr:nvSpPr>
        <xdr:cNvPr id="123" name="Oval 376"/>
        <xdr:cNvSpPr>
          <a:spLocks/>
        </xdr:cNvSpPr>
      </xdr:nvSpPr>
      <xdr:spPr>
        <a:xfrm>
          <a:off x="4981575" y="54587775"/>
          <a:ext cx="171450" cy="180975"/>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57150</xdr:colOff>
      <xdr:row>326</xdr:row>
      <xdr:rowOff>47625</xdr:rowOff>
    </xdr:from>
    <xdr:to>
      <xdr:col>2</xdr:col>
      <xdr:colOff>209550</xdr:colOff>
      <xdr:row>327</xdr:row>
      <xdr:rowOff>66675</xdr:rowOff>
    </xdr:to>
    <xdr:sp>
      <xdr:nvSpPr>
        <xdr:cNvPr id="124" name="Oval 378"/>
        <xdr:cNvSpPr>
          <a:spLocks/>
        </xdr:cNvSpPr>
      </xdr:nvSpPr>
      <xdr:spPr>
        <a:xfrm>
          <a:off x="1219200" y="54587775"/>
          <a:ext cx="152400" cy="180975"/>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742950</xdr:colOff>
      <xdr:row>326</xdr:row>
      <xdr:rowOff>66675</xdr:rowOff>
    </xdr:from>
    <xdr:to>
      <xdr:col>3</xdr:col>
      <xdr:colOff>904875</xdr:colOff>
      <xdr:row>327</xdr:row>
      <xdr:rowOff>76200</xdr:rowOff>
    </xdr:to>
    <xdr:sp>
      <xdr:nvSpPr>
        <xdr:cNvPr id="125" name="Oval 385"/>
        <xdr:cNvSpPr>
          <a:spLocks/>
        </xdr:cNvSpPr>
      </xdr:nvSpPr>
      <xdr:spPr>
        <a:xfrm>
          <a:off x="2895600" y="54606825"/>
          <a:ext cx="161925" cy="171450"/>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647700</xdr:colOff>
      <xdr:row>318</xdr:row>
      <xdr:rowOff>66675</xdr:rowOff>
    </xdr:from>
    <xdr:to>
      <xdr:col>5</xdr:col>
      <xdr:colOff>828675</xdr:colOff>
      <xdr:row>319</xdr:row>
      <xdr:rowOff>76200</xdr:rowOff>
    </xdr:to>
    <xdr:sp>
      <xdr:nvSpPr>
        <xdr:cNvPr id="126" name="Oval 386"/>
        <xdr:cNvSpPr>
          <a:spLocks/>
        </xdr:cNvSpPr>
      </xdr:nvSpPr>
      <xdr:spPr>
        <a:xfrm>
          <a:off x="4981575" y="53311425"/>
          <a:ext cx="171450" cy="171450"/>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676275</xdr:colOff>
      <xdr:row>309</xdr:row>
      <xdr:rowOff>76200</xdr:rowOff>
    </xdr:from>
    <xdr:to>
      <xdr:col>5</xdr:col>
      <xdr:colOff>847725</xdr:colOff>
      <xdr:row>310</xdr:row>
      <xdr:rowOff>85725</xdr:rowOff>
    </xdr:to>
    <xdr:sp>
      <xdr:nvSpPr>
        <xdr:cNvPr id="127" name="Oval 387"/>
        <xdr:cNvSpPr>
          <a:spLocks/>
        </xdr:cNvSpPr>
      </xdr:nvSpPr>
      <xdr:spPr>
        <a:xfrm>
          <a:off x="5010150" y="51863625"/>
          <a:ext cx="171450" cy="171450"/>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742950</xdr:colOff>
      <xdr:row>309</xdr:row>
      <xdr:rowOff>66675</xdr:rowOff>
    </xdr:from>
    <xdr:to>
      <xdr:col>3</xdr:col>
      <xdr:colOff>904875</xdr:colOff>
      <xdr:row>310</xdr:row>
      <xdr:rowOff>76200</xdr:rowOff>
    </xdr:to>
    <xdr:sp>
      <xdr:nvSpPr>
        <xdr:cNvPr id="128" name="Oval 388"/>
        <xdr:cNvSpPr>
          <a:spLocks/>
        </xdr:cNvSpPr>
      </xdr:nvSpPr>
      <xdr:spPr>
        <a:xfrm>
          <a:off x="2895600" y="51854100"/>
          <a:ext cx="161925" cy="171450"/>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742950</xdr:colOff>
      <xdr:row>318</xdr:row>
      <xdr:rowOff>76200</xdr:rowOff>
    </xdr:from>
    <xdr:to>
      <xdr:col>3</xdr:col>
      <xdr:colOff>904875</xdr:colOff>
      <xdr:row>319</xdr:row>
      <xdr:rowOff>85725</xdr:rowOff>
    </xdr:to>
    <xdr:sp>
      <xdr:nvSpPr>
        <xdr:cNvPr id="129" name="Oval 389"/>
        <xdr:cNvSpPr>
          <a:spLocks/>
        </xdr:cNvSpPr>
      </xdr:nvSpPr>
      <xdr:spPr>
        <a:xfrm>
          <a:off x="2895600" y="53320950"/>
          <a:ext cx="161925" cy="171450"/>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28575</xdr:colOff>
      <xdr:row>309</xdr:row>
      <xdr:rowOff>76200</xdr:rowOff>
    </xdr:from>
    <xdr:to>
      <xdr:col>2</xdr:col>
      <xdr:colOff>209550</xdr:colOff>
      <xdr:row>310</xdr:row>
      <xdr:rowOff>85725</xdr:rowOff>
    </xdr:to>
    <xdr:sp>
      <xdr:nvSpPr>
        <xdr:cNvPr id="130" name="Oval 390"/>
        <xdr:cNvSpPr>
          <a:spLocks/>
        </xdr:cNvSpPr>
      </xdr:nvSpPr>
      <xdr:spPr>
        <a:xfrm>
          <a:off x="1190625" y="51863625"/>
          <a:ext cx="171450" cy="171450"/>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28575</xdr:colOff>
      <xdr:row>318</xdr:row>
      <xdr:rowOff>66675</xdr:rowOff>
    </xdr:from>
    <xdr:to>
      <xdr:col>2</xdr:col>
      <xdr:colOff>209550</xdr:colOff>
      <xdr:row>319</xdr:row>
      <xdr:rowOff>76200</xdr:rowOff>
    </xdr:to>
    <xdr:sp>
      <xdr:nvSpPr>
        <xdr:cNvPr id="131" name="Oval 391"/>
        <xdr:cNvSpPr>
          <a:spLocks/>
        </xdr:cNvSpPr>
      </xdr:nvSpPr>
      <xdr:spPr>
        <a:xfrm>
          <a:off x="1190625" y="53311425"/>
          <a:ext cx="171450" cy="171450"/>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314325</xdr:colOff>
      <xdr:row>127</xdr:row>
      <xdr:rowOff>76200</xdr:rowOff>
    </xdr:from>
    <xdr:to>
      <xdr:col>11</xdr:col>
      <xdr:colOff>952500</xdr:colOff>
      <xdr:row>127</xdr:row>
      <xdr:rowOff>76200</xdr:rowOff>
    </xdr:to>
    <xdr:sp>
      <xdr:nvSpPr>
        <xdr:cNvPr id="132" name="Line 392"/>
        <xdr:cNvSpPr>
          <a:spLocks/>
        </xdr:cNvSpPr>
      </xdr:nvSpPr>
      <xdr:spPr>
        <a:xfrm>
          <a:off x="609600" y="21736050"/>
          <a:ext cx="11106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33</xdr:row>
      <xdr:rowOff>38100</xdr:rowOff>
    </xdr:from>
    <xdr:to>
      <xdr:col>7</xdr:col>
      <xdr:colOff>161925</xdr:colOff>
      <xdr:row>39</xdr:row>
      <xdr:rowOff>66675</xdr:rowOff>
    </xdr:to>
    <xdr:sp>
      <xdr:nvSpPr>
        <xdr:cNvPr id="1" name="Line 40"/>
        <xdr:cNvSpPr>
          <a:spLocks/>
        </xdr:cNvSpPr>
      </xdr:nvSpPr>
      <xdr:spPr>
        <a:xfrm flipH="1" flipV="1">
          <a:off x="4829175" y="5857875"/>
          <a:ext cx="1495425" cy="1000125"/>
        </a:xfrm>
        <a:prstGeom prst="line">
          <a:avLst/>
        </a:prstGeom>
        <a:solidFill>
          <a:srgbClr val="FFFFFF"/>
        </a:solidFill>
        <a:ln w="1" cmpd="sng">
          <a:solidFill>
            <a:srgbClr val="0000D4"/>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0</xdr:colOff>
      <xdr:row>17</xdr:row>
      <xdr:rowOff>9525</xdr:rowOff>
    </xdr:from>
    <xdr:to>
      <xdr:col>6</xdr:col>
      <xdr:colOff>762000</xdr:colOff>
      <xdr:row>45</xdr:row>
      <xdr:rowOff>133350</xdr:rowOff>
    </xdr:to>
    <xdr:grpSp>
      <xdr:nvGrpSpPr>
        <xdr:cNvPr id="2" name="Group 68"/>
        <xdr:cNvGrpSpPr>
          <a:grpSpLocks/>
        </xdr:cNvGrpSpPr>
      </xdr:nvGrpSpPr>
      <xdr:grpSpPr>
        <a:xfrm>
          <a:off x="390525" y="3238500"/>
          <a:ext cx="5572125" cy="4657725"/>
          <a:chOff x="0" y="-659"/>
          <a:chExt cx="19602" cy="20549"/>
        </a:xfrm>
        <a:solidFill>
          <a:srgbClr val="FFFFFF"/>
        </a:solidFill>
      </xdr:grpSpPr>
      <xdr:grpSp>
        <xdr:nvGrpSpPr>
          <xdr:cNvPr id="3" name="Group 2"/>
          <xdr:cNvGrpSpPr>
            <a:grpSpLocks/>
          </xdr:cNvGrpSpPr>
        </xdr:nvGrpSpPr>
        <xdr:grpSpPr>
          <a:xfrm>
            <a:off x="0" y="1591"/>
            <a:ext cx="19117" cy="14343"/>
            <a:chOff x="0" y="1593"/>
            <a:chExt cx="19115" cy="14341"/>
          </a:xfrm>
          <a:solidFill>
            <a:srgbClr val="FFFFFF"/>
          </a:solidFill>
        </xdr:grpSpPr>
        <xdr:sp>
          <xdr:nvSpPr>
            <xdr:cNvPr id="4" name="Line 3"/>
            <xdr:cNvSpPr>
              <a:spLocks/>
            </xdr:cNvSpPr>
          </xdr:nvSpPr>
          <xdr:spPr>
            <a:xfrm flipV="1">
              <a:off x="0" y="11703"/>
              <a:ext cx="19115"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 name="Line 4"/>
            <xdr:cNvSpPr>
              <a:spLocks/>
            </xdr:cNvSpPr>
          </xdr:nvSpPr>
          <xdr:spPr>
            <a:xfrm flipH="1">
              <a:off x="6193" y="8627"/>
              <a:ext cx="5577" cy="7307"/>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 name="Line 5"/>
            <xdr:cNvSpPr>
              <a:spLocks/>
            </xdr:cNvSpPr>
          </xdr:nvSpPr>
          <xdr:spPr>
            <a:xfrm flipV="1">
              <a:off x="9825" y="1593"/>
              <a:ext cx="0" cy="1011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7" name="Oval 6"/>
          <xdr:cNvSpPr>
            <a:spLocks/>
          </xdr:cNvSpPr>
        </xdr:nvSpPr>
        <xdr:spPr>
          <a:xfrm>
            <a:off x="1549" y="8624"/>
            <a:ext cx="15706" cy="6596"/>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8" name="Group 7"/>
          <xdr:cNvGrpSpPr>
            <a:grpSpLocks/>
          </xdr:cNvGrpSpPr>
        </xdr:nvGrpSpPr>
        <xdr:grpSpPr>
          <a:xfrm>
            <a:off x="1549" y="4119"/>
            <a:ext cx="15794" cy="7639"/>
            <a:chOff x="1549" y="4121"/>
            <a:chExt cx="15796" cy="7637"/>
          </a:xfrm>
          <a:solidFill>
            <a:srgbClr val="FFFFFF"/>
          </a:solidFill>
        </xdr:grpSpPr>
        <xdr:sp>
          <xdr:nvSpPr>
            <xdr:cNvPr id="9" name="Arc 8"/>
            <xdr:cNvSpPr>
              <a:spLocks/>
            </xdr:cNvSpPr>
          </xdr:nvSpPr>
          <xdr:spPr>
            <a:xfrm flipH="1">
              <a:off x="1549" y="4121"/>
              <a:ext cx="8317" cy="7637"/>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 name="Arc 9"/>
            <xdr:cNvSpPr>
              <a:spLocks/>
            </xdr:cNvSpPr>
          </xdr:nvSpPr>
          <xdr:spPr>
            <a:xfrm>
              <a:off x="9822" y="4121"/>
              <a:ext cx="7523" cy="752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1" name="Group 10"/>
          <xdr:cNvGrpSpPr>
            <a:grpSpLocks/>
          </xdr:cNvGrpSpPr>
        </xdr:nvGrpSpPr>
        <xdr:grpSpPr>
          <a:xfrm>
            <a:off x="1549" y="11701"/>
            <a:ext cx="15794" cy="8189"/>
            <a:chOff x="1549" y="11703"/>
            <a:chExt cx="15796" cy="8187"/>
          </a:xfrm>
          <a:solidFill>
            <a:srgbClr val="FFFFFF"/>
          </a:solidFill>
        </xdr:grpSpPr>
        <xdr:sp>
          <xdr:nvSpPr>
            <xdr:cNvPr id="12" name="Arc 11"/>
            <xdr:cNvSpPr>
              <a:spLocks/>
            </xdr:cNvSpPr>
          </xdr:nvSpPr>
          <xdr:spPr>
            <a:xfrm flipH="1" flipV="1">
              <a:off x="1549" y="11703"/>
              <a:ext cx="8317" cy="8187"/>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 name="Arc 12"/>
            <xdr:cNvSpPr>
              <a:spLocks/>
            </xdr:cNvSpPr>
          </xdr:nvSpPr>
          <xdr:spPr>
            <a:xfrm flipV="1">
              <a:off x="9866" y="11703"/>
              <a:ext cx="7479" cy="8187"/>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4" name="Arc 13"/>
          <xdr:cNvSpPr>
            <a:spLocks/>
          </xdr:cNvSpPr>
        </xdr:nvSpPr>
        <xdr:spPr>
          <a:xfrm flipH="1">
            <a:off x="6905" y="4119"/>
            <a:ext cx="2965" cy="10768"/>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 name="Arc 14"/>
          <xdr:cNvSpPr>
            <a:spLocks/>
          </xdr:cNvSpPr>
        </xdr:nvSpPr>
        <xdr:spPr>
          <a:xfrm>
            <a:off x="9821" y="4119"/>
            <a:ext cx="4822" cy="10110"/>
          </a:xfrm>
          <a:prstGeom prst="arc">
            <a:avLst/>
          </a:prstGeom>
          <a:noFill/>
          <a:ln w="1"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 name="Line 15"/>
          <xdr:cNvSpPr>
            <a:spLocks/>
          </xdr:cNvSpPr>
        </xdr:nvSpPr>
        <xdr:spPr>
          <a:xfrm flipV="1">
            <a:off x="9865" y="9122"/>
            <a:ext cx="3940" cy="2528"/>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 name="Line 16"/>
          <xdr:cNvSpPr>
            <a:spLocks/>
          </xdr:cNvSpPr>
        </xdr:nvSpPr>
        <xdr:spPr>
          <a:xfrm>
            <a:off x="12168" y="6924"/>
            <a:ext cx="1637" cy="2199"/>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 name="Line 17"/>
          <xdr:cNvSpPr>
            <a:spLocks/>
          </xdr:cNvSpPr>
        </xdr:nvSpPr>
        <xdr:spPr>
          <a:xfrm>
            <a:off x="12388" y="-551"/>
            <a:ext cx="5043" cy="4670"/>
          </a:xfrm>
          <a:prstGeom prst="line">
            <a:avLst/>
          </a:prstGeom>
          <a:solidFill>
            <a:srgbClr val="FFFFFF"/>
          </a:solidFill>
          <a:ln w="1" cmpd="sng">
            <a:solidFill>
              <a:srgbClr val="FF00FF"/>
            </a:solidFill>
            <a:prstDash val="lg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 name="Line 18"/>
          <xdr:cNvSpPr>
            <a:spLocks/>
          </xdr:cNvSpPr>
        </xdr:nvSpPr>
        <xdr:spPr>
          <a:xfrm flipV="1">
            <a:off x="12433" y="-659"/>
            <a:ext cx="5043" cy="4177"/>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 name="Arc 19"/>
          <xdr:cNvSpPr>
            <a:spLocks/>
          </xdr:cNvSpPr>
        </xdr:nvSpPr>
        <xdr:spPr>
          <a:xfrm>
            <a:off x="9958" y="4119"/>
            <a:ext cx="3406" cy="10768"/>
          </a:xfrm>
          <a:prstGeom prst="arc">
            <a:avLst/>
          </a:prstGeom>
          <a:noFill/>
          <a:ln w="1"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 name="Line 20"/>
          <xdr:cNvSpPr>
            <a:spLocks/>
          </xdr:cNvSpPr>
        </xdr:nvSpPr>
        <xdr:spPr>
          <a:xfrm flipV="1">
            <a:off x="9821" y="-382"/>
            <a:ext cx="5930" cy="12088"/>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 name="Line 21"/>
          <xdr:cNvSpPr>
            <a:spLocks/>
          </xdr:cNvSpPr>
        </xdr:nvSpPr>
        <xdr:spPr>
          <a:xfrm>
            <a:off x="9865" y="11650"/>
            <a:ext cx="3494" cy="3185"/>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 name="Line 22"/>
          <xdr:cNvSpPr>
            <a:spLocks/>
          </xdr:cNvSpPr>
        </xdr:nvSpPr>
        <xdr:spPr>
          <a:xfrm flipV="1">
            <a:off x="13849" y="1483"/>
            <a:ext cx="887" cy="763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 name="Line 25"/>
          <xdr:cNvSpPr>
            <a:spLocks/>
          </xdr:cNvSpPr>
        </xdr:nvSpPr>
        <xdr:spPr>
          <a:xfrm flipH="1">
            <a:off x="12168" y="1596"/>
            <a:ext cx="2612" cy="7033"/>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 name="Line 26"/>
          <xdr:cNvSpPr>
            <a:spLocks/>
          </xdr:cNvSpPr>
        </xdr:nvSpPr>
        <xdr:spPr>
          <a:xfrm>
            <a:off x="14780" y="1648"/>
            <a:ext cx="1593" cy="8353"/>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 name="Line 27"/>
          <xdr:cNvSpPr>
            <a:spLocks/>
          </xdr:cNvSpPr>
        </xdr:nvSpPr>
        <xdr:spPr>
          <a:xfrm flipH="1">
            <a:off x="13805" y="1704"/>
            <a:ext cx="975" cy="10331"/>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 name="Line 28"/>
          <xdr:cNvSpPr>
            <a:spLocks/>
          </xdr:cNvSpPr>
        </xdr:nvSpPr>
        <xdr:spPr>
          <a:xfrm flipH="1">
            <a:off x="13716" y="1648"/>
            <a:ext cx="1063" cy="5713"/>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Line 29"/>
          <xdr:cNvSpPr>
            <a:spLocks/>
          </xdr:cNvSpPr>
        </xdr:nvSpPr>
        <xdr:spPr>
          <a:xfrm flipV="1">
            <a:off x="13805" y="10001"/>
            <a:ext cx="2524" cy="2086"/>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 name="Line 30"/>
          <xdr:cNvSpPr>
            <a:spLocks/>
          </xdr:cNvSpPr>
        </xdr:nvSpPr>
        <xdr:spPr>
          <a:xfrm flipH="1" flipV="1">
            <a:off x="13716" y="7309"/>
            <a:ext cx="2612" cy="2635"/>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 name="Line 31"/>
          <xdr:cNvSpPr>
            <a:spLocks/>
          </xdr:cNvSpPr>
        </xdr:nvSpPr>
        <xdr:spPr>
          <a:xfrm>
            <a:off x="12168" y="8629"/>
            <a:ext cx="1637" cy="3463"/>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 name="Line 32"/>
          <xdr:cNvSpPr>
            <a:spLocks/>
          </xdr:cNvSpPr>
        </xdr:nvSpPr>
        <xdr:spPr>
          <a:xfrm flipH="1">
            <a:off x="12168" y="7309"/>
            <a:ext cx="1549" cy="1264"/>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32" name="Group 41"/>
          <xdr:cNvGrpSpPr>
            <a:grpSpLocks/>
          </xdr:cNvGrpSpPr>
        </xdr:nvGrpSpPr>
        <xdr:grpSpPr>
          <a:xfrm>
            <a:off x="13672" y="934"/>
            <a:ext cx="2347" cy="991"/>
            <a:chOff x="13673" y="934"/>
            <a:chExt cx="2345" cy="989"/>
          </a:xfrm>
          <a:solidFill>
            <a:srgbClr val="FFFFFF"/>
          </a:solidFill>
        </xdr:grpSpPr>
        <xdr:sp>
          <xdr:nvSpPr>
            <xdr:cNvPr id="33" name="Line 42"/>
            <xdr:cNvSpPr>
              <a:spLocks/>
            </xdr:cNvSpPr>
          </xdr:nvSpPr>
          <xdr:spPr>
            <a:xfrm flipH="1">
              <a:off x="13673" y="934"/>
              <a:ext cx="0" cy="98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 name="Arc 43"/>
            <xdr:cNvSpPr>
              <a:spLocks/>
            </xdr:cNvSpPr>
          </xdr:nvSpPr>
          <xdr:spPr>
            <a:xfrm>
              <a:off x="15310" y="1264"/>
              <a:ext cx="309" cy="27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 name="Line 44"/>
            <xdr:cNvSpPr>
              <a:spLocks/>
            </xdr:cNvSpPr>
          </xdr:nvSpPr>
          <xdr:spPr>
            <a:xfrm>
              <a:off x="13850" y="934"/>
              <a:ext cx="265" cy="33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Line 45"/>
            <xdr:cNvSpPr>
              <a:spLocks/>
            </xdr:cNvSpPr>
          </xdr:nvSpPr>
          <xdr:spPr>
            <a:xfrm flipH="1" flipV="1">
              <a:off x="15619" y="1539"/>
              <a:ext cx="222" cy="5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 name="Rectangle 46"/>
            <xdr:cNvSpPr>
              <a:spLocks/>
            </xdr:cNvSpPr>
          </xdr:nvSpPr>
          <xdr:spPr>
            <a:xfrm>
              <a:off x="13717" y="1594"/>
              <a:ext cx="1239" cy="11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 name="Line 47"/>
            <xdr:cNvSpPr>
              <a:spLocks/>
            </xdr:cNvSpPr>
          </xdr:nvSpPr>
          <xdr:spPr>
            <a:xfrm>
              <a:off x="13673" y="1923"/>
              <a:ext cx="22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Rectangle 48"/>
            <xdr:cNvSpPr>
              <a:spLocks/>
            </xdr:cNvSpPr>
          </xdr:nvSpPr>
          <xdr:spPr>
            <a:xfrm>
              <a:off x="15442" y="1319"/>
              <a:ext cx="89" cy="22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 name="Line 49"/>
            <xdr:cNvSpPr>
              <a:spLocks/>
            </xdr:cNvSpPr>
          </xdr:nvSpPr>
          <xdr:spPr>
            <a:xfrm>
              <a:off x="13673" y="934"/>
              <a:ext cx="17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 name="Line 50"/>
            <xdr:cNvSpPr>
              <a:spLocks/>
            </xdr:cNvSpPr>
          </xdr:nvSpPr>
          <xdr:spPr>
            <a:xfrm>
              <a:off x="14115" y="1264"/>
              <a:ext cx="128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Arc 51"/>
            <xdr:cNvSpPr>
              <a:spLocks/>
            </xdr:cNvSpPr>
          </xdr:nvSpPr>
          <xdr:spPr>
            <a:xfrm>
              <a:off x="15796" y="1594"/>
              <a:ext cx="222" cy="16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 name="Arc 52"/>
            <xdr:cNvSpPr>
              <a:spLocks/>
            </xdr:cNvSpPr>
          </xdr:nvSpPr>
          <xdr:spPr>
            <a:xfrm flipV="1">
              <a:off x="15841" y="1759"/>
              <a:ext cx="177" cy="164"/>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 name="Line 53"/>
            <xdr:cNvSpPr>
              <a:spLocks/>
            </xdr:cNvSpPr>
          </xdr:nvSpPr>
          <xdr:spPr>
            <a:xfrm>
              <a:off x="14204" y="1264"/>
              <a:ext cx="0" cy="22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 name="Line 54"/>
            <xdr:cNvSpPr>
              <a:spLocks/>
            </xdr:cNvSpPr>
          </xdr:nvSpPr>
          <xdr:spPr>
            <a:xfrm>
              <a:off x="15221" y="1264"/>
              <a:ext cx="0" cy="22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 name="Line 55"/>
            <xdr:cNvSpPr>
              <a:spLocks/>
            </xdr:cNvSpPr>
          </xdr:nvSpPr>
          <xdr:spPr>
            <a:xfrm>
              <a:off x="14204" y="1484"/>
              <a:ext cx="10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7" name="Line 56"/>
          <xdr:cNvSpPr>
            <a:spLocks/>
          </xdr:cNvSpPr>
        </xdr:nvSpPr>
        <xdr:spPr>
          <a:xfrm flipV="1">
            <a:off x="12834" y="8408"/>
            <a:ext cx="2034" cy="1536"/>
          </a:xfrm>
          <a:prstGeom prst="line">
            <a:avLst/>
          </a:prstGeom>
          <a:solidFill>
            <a:srgbClr val="FFFFFF"/>
          </a:solidFill>
          <a:ln w="9525" cmpd="sng">
            <a:solidFill>
              <a:srgbClr val="3333CC"/>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 name="Line 57"/>
          <xdr:cNvSpPr>
            <a:spLocks/>
          </xdr:cNvSpPr>
        </xdr:nvSpPr>
        <xdr:spPr>
          <a:xfrm>
            <a:off x="13055" y="7859"/>
            <a:ext cx="2034" cy="3185"/>
          </a:xfrm>
          <a:prstGeom prst="line">
            <a:avLst/>
          </a:prstGeom>
          <a:solidFill>
            <a:srgbClr val="FFFFFF"/>
          </a:solidFill>
          <a:ln w="9525" cmpd="sng">
            <a:solidFill>
              <a:srgbClr val="3333CC"/>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49" name="Group 67"/>
          <xdr:cNvGrpSpPr>
            <a:grpSpLocks/>
          </xdr:cNvGrpSpPr>
        </xdr:nvGrpSpPr>
        <xdr:grpSpPr>
          <a:xfrm>
            <a:off x="14912" y="7530"/>
            <a:ext cx="4690" cy="2250"/>
            <a:chOff x="14912" y="7528"/>
            <a:chExt cx="4690" cy="2252"/>
          </a:xfrm>
          <a:solidFill>
            <a:srgbClr val="FFFFFF"/>
          </a:solidFill>
        </xdr:grpSpPr>
        <xdr:grpSp>
          <xdr:nvGrpSpPr>
            <xdr:cNvPr id="50" name="Group 60"/>
            <xdr:cNvGrpSpPr>
              <a:grpSpLocks/>
            </xdr:cNvGrpSpPr>
          </xdr:nvGrpSpPr>
          <xdr:grpSpPr>
            <a:xfrm>
              <a:off x="16416" y="7638"/>
              <a:ext cx="708" cy="2142"/>
              <a:chOff x="16416" y="7638"/>
              <a:chExt cx="708" cy="2142"/>
            </a:xfrm>
            <a:solidFill>
              <a:srgbClr val="FFFFFF"/>
            </a:solidFill>
          </xdr:grpSpPr>
          <xdr:sp>
            <xdr:nvSpPr>
              <xdr:cNvPr id="51" name="Arc 58"/>
              <xdr:cNvSpPr>
                <a:spLocks/>
              </xdr:cNvSpPr>
            </xdr:nvSpPr>
            <xdr:spPr>
              <a:xfrm flipV="1">
                <a:off x="16593" y="7638"/>
                <a:ext cx="531" cy="1923"/>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 name="Line 59"/>
              <xdr:cNvSpPr>
                <a:spLocks/>
              </xdr:cNvSpPr>
            </xdr:nvSpPr>
            <xdr:spPr>
              <a:xfrm flipH="1">
                <a:off x="16416" y="9561"/>
                <a:ext cx="177" cy="219"/>
              </a:xfrm>
              <a:prstGeom prst="line">
                <a:avLst/>
              </a:prstGeom>
              <a:solidFill>
                <a:srgbClr val="FFFFFF"/>
              </a:solidFill>
              <a:ln w="9525"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sp>
          <xdr:nvSpPr>
            <xdr:cNvPr id="53" name="Arc 64"/>
            <xdr:cNvSpPr>
              <a:spLocks/>
            </xdr:cNvSpPr>
          </xdr:nvSpPr>
          <xdr:spPr>
            <a:xfrm flipH="1">
              <a:off x="15044" y="7583"/>
              <a:ext cx="2080" cy="714"/>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 name="Line 65"/>
            <xdr:cNvSpPr>
              <a:spLocks/>
            </xdr:cNvSpPr>
          </xdr:nvSpPr>
          <xdr:spPr>
            <a:xfrm flipH="1">
              <a:off x="14912" y="8077"/>
              <a:ext cx="265" cy="275"/>
            </a:xfrm>
            <a:prstGeom prst="line">
              <a:avLst/>
            </a:prstGeom>
            <a:solidFill>
              <a:srgbClr val="FFFFFF"/>
            </a:solidFill>
            <a:ln w="9525"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55" name="Line 66"/>
            <xdr:cNvSpPr>
              <a:spLocks/>
            </xdr:cNvSpPr>
          </xdr:nvSpPr>
          <xdr:spPr>
            <a:xfrm flipV="1">
              <a:off x="17168" y="7528"/>
              <a:ext cx="2434" cy="55"/>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2</xdr:col>
      <xdr:colOff>0</xdr:colOff>
      <xdr:row>56</xdr:row>
      <xdr:rowOff>38100</xdr:rowOff>
    </xdr:from>
    <xdr:to>
      <xdr:col>7</xdr:col>
      <xdr:colOff>542925</xdr:colOff>
      <xdr:row>76</xdr:row>
      <xdr:rowOff>47625</xdr:rowOff>
    </xdr:to>
    <xdr:grpSp>
      <xdr:nvGrpSpPr>
        <xdr:cNvPr id="56" name="Group 70"/>
        <xdr:cNvGrpSpPr>
          <a:grpSpLocks/>
        </xdr:cNvGrpSpPr>
      </xdr:nvGrpSpPr>
      <xdr:grpSpPr>
        <a:xfrm>
          <a:off x="1123950" y="9582150"/>
          <a:ext cx="5581650" cy="3248025"/>
          <a:chOff x="0" y="-769"/>
          <a:chExt cx="18783" cy="20077"/>
        </a:xfrm>
        <a:solidFill>
          <a:srgbClr val="FFFFFF"/>
        </a:solidFill>
      </xdr:grpSpPr>
      <xdr:sp>
        <xdr:nvSpPr>
          <xdr:cNvPr id="57" name="Line 71"/>
          <xdr:cNvSpPr>
            <a:spLocks/>
          </xdr:cNvSpPr>
        </xdr:nvSpPr>
        <xdr:spPr>
          <a:xfrm flipV="1">
            <a:off x="0" y="13385"/>
            <a:ext cx="18783"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 name="Line 72"/>
          <xdr:cNvSpPr>
            <a:spLocks/>
          </xdr:cNvSpPr>
        </xdr:nvSpPr>
        <xdr:spPr>
          <a:xfrm flipH="1">
            <a:off x="6086" y="9079"/>
            <a:ext cx="5480" cy="10229"/>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9" name="Line 73"/>
          <xdr:cNvSpPr>
            <a:spLocks/>
          </xdr:cNvSpPr>
        </xdr:nvSpPr>
        <xdr:spPr>
          <a:xfrm flipV="1">
            <a:off x="9650" y="-769"/>
            <a:ext cx="0" cy="14154"/>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390525</xdr:colOff>
      <xdr:row>66</xdr:row>
      <xdr:rowOff>9525</xdr:rowOff>
    </xdr:from>
    <xdr:to>
      <xdr:col>7</xdr:col>
      <xdr:colOff>66675</xdr:colOff>
      <xdr:row>75</xdr:row>
      <xdr:rowOff>47625</xdr:rowOff>
    </xdr:to>
    <xdr:sp>
      <xdr:nvSpPr>
        <xdr:cNvPr id="60" name="Oval 74"/>
        <xdr:cNvSpPr>
          <a:spLocks/>
        </xdr:cNvSpPr>
      </xdr:nvSpPr>
      <xdr:spPr>
        <a:xfrm>
          <a:off x="1514475" y="11172825"/>
          <a:ext cx="4714875" cy="1495425"/>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390525</xdr:colOff>
      <xdr:row>59</xdr:row>
      <xdr:rowOff>123825</xdr:rowOff>
    </xdr:from>
    <xdr:to>
      <xdr:col>7</xdr:col>
      <xdr:colOff>95250</xdr:colOff>
      <xdr:row>70</xdr:row>
      <xdr:rowOff>76200</xdr:rowOff>
    </xdr:to>
    <xdr:grpSp>
      <xdr:nvGrpSpPr>
        <xdr:cNvPr id="61" name="Group 75"/>
        <xdr:cNvGrpSpPr>
          <a:grpSpLocks/>
        </xdr:cNvGrpSpPr>
      </xdr:nvGrpSpPr>
      <xdr:grpSpPr>
        <a:xfrm>
          <a:off x="1514475" y="10153650"/>
          <a:ext cx="4743450" cy="1733550"/>
          <a:chOff x="-2130" y="-420"/>
          <a:chExt cx="18649" cy="19441"/>
        </a:xfrm>
        <a:solidFill>
          <a:srgbClr val="FFFFFF"/>
        </a:solidFill>
      </xdr:grpSpPr>
      <xdr:sp>
        <xdr:nvSpPr>
          <xdr:cNvPr id="62" name="Arc 76"/>
          <xdr:cNvSpPr>
            <a:spLocks/>
          </xdr:cNvSpPr>
        </xdr:nvSpPr>
        <xdr:spPr>
          <a:xfrm flipH="1">
            <a:off x="-2130" y="-420"/>
            <a:ext cx="9819" cy="19441"/>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3" name="Arc 77"/>
          <xdr:cNvSpPr>
            <a:spLocks/>
          </xdr:cNvSpPr>
        </xdr:nvSpPr>
        <xdr:spPr>
          <a:xfrm>
            <a:off x="7637" y="-420"/>
            <a:ext cx="8882" cy="19159"/>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390525</xdr:colOff>
      <xdr:row>70</xdr:row>
      <xdr:rowOff>66675</xdr:rowOff>
    </xdr:from>
    <xdr:to>
      <xdr:col>7</xdr:col>
      <xdr:colOff>95250</xdr:colOff>
      <xdr:row>81</xdr:row>
      <xdr:rowOff>133350</xdr:rowOff>
    </xdr:to>
    <xdr:grpSp>
      <xdr:nvGrpSpPr>
        <xdr:cNvPr id="64" name="Group 78"/>
        <xdr:cNvGrpSpPr>
          <a:grpSpLocks/>
        </xdr:cNvGrpSpPr>
      </xdr:nvGrpSpPr>
      <xdr:grpSpPr>
        <a:xfrm>
          <a:off x="1514475" y="11877675"/>
          <a:ext cx="4743450" cy="1847850"/>
          <a:chOff x="-2130" y="-1119"/>
          <a:chExt cx="18649" cy="20839"/>
        </a:xfrm>
        <a:solidFill>
          <a:srgbClr val="FFFFFF"/>
        </a:solidFill>
      </xdr:grpSpPr>
      <xdr:sp>
        <xdr:nvSpPr>
          <xdr:cNvPr id="65" name="Arc 79"/>
          <xdr:cNvSpPr>
            <a:spLocks/>
          </xdr:cNvSpPr>
        </xdr:nvSpPr>
        <xdr:spPr>
          <a:xfrm flipH="1" flipV="1">
            <a:off x="-2130" y="-1119"/>
            <a:ext cx="9819" cy="20839"/>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6" name="Arc 80"/>
          <xdr:cNvSpPr>
            <a:spLocks/>
          </xdr:cNvSpPr>
        </xdr:nvSpPr>
        <xdr:spPr>
          <a:xfrm flipV="1">
            <a:off x="7689" y="-1119"/>
            <a:ext cx="8830" cy="20839"/>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4</xdr:col>
      <xdr:colOff>19050</xdr:colOff>
      <xdr:row>59</xdr:row>
      <xdr:rowOff>123825</xdr:rowOff>
    </xdr:from>
    <xdr:to>
      <xdr:col>4</xdr:col>
      <xdr:colOff>733425</xdr:colOff>
      <xdr:row>74</xdr:row>
      <xdr:rowOff>133350</xdr:rowOff>
    </xdr:to>
    <xdr:sp>
      <xdr:nvSpPr>
        <xdr:cNvPr id="67" name="Arc 81"/>
        <xdr:cNvSpPr>
          <a:spLocks/>
        </xdr:cNvSpPr>
      </xdr:nvSpPr>
      <xdr:spPr>
        <a:xfrm flipH="1">
          <a:off x="3257550" y="10153650"/>
          <a:ext cx="714375" cy="243840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733425</xdr:colOff>
      <xdr:row>65</xdr:row>
      <xdr:rowOff>9525</xdr:rowOff>
    </xdr:from>
    <xdr:to>
      <xdr:col>5</xdr:col>
      <xdr:colOff>581025</xdr:colOff>
      <xdr:row>70</xdr:row>
      <xdr:rowOff>47625</xdr:rowOff>
    </xdr:to>
    <xdr:sp>
      <xdr:nvSpPr>
        <xdr:cNvPr id="68" name="Line 83"/>
        <xdr:cNvSpPr>
          <a:spLocks/>
        </xdr:cNvSpPr>
      </xdr:nvSpPr>
      <xdr:spPr>
        <a:xfrm flipV="1">
          <a:off x="3971925" y="11010900"/>
          <a:ext cx="866775" cy="847725"/>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762000</xdr:colOff>
      <xdr:row>59</xdr:row>
      <xdr:rowOff>123825</xdr:rowOff>
    </xdr:from>
    <xdr:to>
      <xdr:col>5</xdr:col>
      <xdr:colOff>809625</xdr:colOff>
      <xdr:row>74</xdr:row>
      <xdr:rowOff>133350</xdr:rowOff>
    </xdr:to>
    <xdr:sp>
      <xdr:nvSpPr>
        <xdr:cNvPr id="69" name="Arc 87"/>
        <xdr:cNvSpPr>
          <a:spLocks/>
        </xdr:cNvSpPr>
      </xdr:nvSpPr>
      <xdr:spPr>
        <a:xfrm>
          <a:off x="4000500" y="10153650"/>
          <a:ext cx="1066800" cy="2438400"/>
        </a:xfrm>
        <a:prstGeom prst="arc">
          <a:avLst/>
        </a:prstGeom>
        <a:no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733425</xdr:colOff>
      <xdr:row>70</xdr:row>
      <xdr:rowOff>47625</xdr:rowOff>
    </xdr:from>
    <xdr:to>
      <xdr:col>5</xdr:col>
      <xdr:colOff>809625</xdr:colOff>
      <xdr:row>74</xdr:row>
      <xdr:rowOff>123825</xdr:rowOff>
    </xdr:to>
    <xdr:sp>
      <xdr:nvSpPr>
        <xdr:cNvPr id="70" name="Line 89"/>
        <xdr:cNvSpPr>
          <a:spLocks/>
        </xdr:cNvSpPr>
      </xdr:nvSpPr>
      <xdr:spPr>
        <a:xfrm>
          <a:off x="3971925" y="11858625"/>
          <a:ext cx="1095375" cy="723900"/>
        </a:xfrm>
        <a:prstGeom prst="line">
          <a:avLst/>
        </a:prstGeom>
        <a:solidFill>
          <a:srgbClr val="FFFFFF"/>
        </a:solid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847725</xdr:colOff>
      <xdr:row>58</xdr:row>
      <xdr:rowOff>114300</xdr:rowOff>
    </xdr:from>
    <xdr:to>
      <xdr:col>10</xdr:col>
      <xdr:colOff>638175</xdr:colOff>
      <xdr:row>70</xdr:row>
      <xdr:rowOff>85725</xdr:rowOff>
    </xdr:to>
    <xdr:sp>
      <xdr:nvSpPr>
        <xdr:cNvPr id="71" name="Line 129"/>
        <xdr:cNvSpPr>
          <a:spLocks/>
        </xdr:cNvSpPr>
      </xdr:nvSpPr>
      <xdr:spPr>
        <a:xfrm flipH="1">
          <a:off x="7877175" y="9982200"/>
          <a:ext cx="1524000" cy="1914525"/>
        </a:xfrm>
        <a:prstGeom prst="line">
          <a:avLst/>
        </a:prstGeom>
        <a:solidFill>
          <a:srgbClr val="FFFFFF"/>
        </a:solidFill>
        <a:ln w="9525" cmpd="sng">
          <a:solidFill>
            <a:srgbClr val="69FF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847725</xdr:colOff>
      <xdr:row>57</xdr:row>
      <xdr:rowOff>152400</xdr:rowOff>
    </xdr:from>
    <xdr:to>
      <xdr:col>8</xdr:col>
      <xdr:colOff>847725</xdr:colOff>
      <xdr:row>74</xdr:row>
      <xdr:rowOff>133350</xdr:rowOff>
    </xdr:to>
    <xdr:sp>
      <xdr:nvSpPr>
        <xdr:cNvPr id="72" name="Line 130"/>
        <xdr:cNvSpPr>
          <a:spLocks/>
        </xdr:cNvSpPr>
      </xdr:nvSpPr>
      <xdr:spPr>
        <a:xfrm>
          <a:off x="7877175" y="9858375"/>
          <a:ext cx="0" cy="2733675"/>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495300</xdr:colOff>
      <xdr:row>70</xdr:row>
      <xdr:rowOff>76200</xdr:rowOff>
    </xdr:from>
    <xdr:to>
      <xdr:col>11</xdr:col>
      <xdr:colOff>714375</xdr:colOff>
      <xdr:row>70</xdr:row>
      <xdr:rowOff>76200</xdr:rowOff>
    </xdr:to>
    <xdr:sp>
      <xdr:nvSpPr>
        <xdr:cNvPr id="73" name="Line 131"/>
        <xdr:cNvSpPr>
          <a:spLocks/>
        </xdr:cNvSpPr>
      </xdr:nvSpPr>
      <xdr:spPr>
        <a:xfrm>
          <a:off x="7524750" y="11887200"/>
          <a:ext cx="2876550"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857250</xdr:colOff>
      <xdr:row>58</xdr:row>
      <xdr:rowOff>152400</xdr:rowOff>
    </xdr:from>
    <xdr:to>
      <xdr:col>11</xdr:col>
      <xdr:colOff>0</xdr:colOff>
      <xdr:row>70</xdr:row>
      <xdr:rowOff>95250</xdr:rowOff>
    </xdr:to>
    <xdr:sp>
      <xdr:nvSpPr>
        <xdr:cNvPr id="74" name="Arc 132"/>
        <xdr:cNvSpPr>
          <a:spLocks/>
        </xdr:cNvSpPr>
      </xdr:nvSpPr>
      <xdr:spPr>
        <a:xfrm>
          <a:off x="7886700" y="10020300"/>
          <a:ext cx="1800225" cy="188595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847725</xdr:colOff>
      <xdr:row>70</xdr:row>
      <xdr:rowOff>47625</xdr:rowOff>
    </xdr:from>
    <xdr:to>
      <xdr:col>11</xdr:col>
      <xdr:colOff>0</xdr:colOff>
      <xdr:row>70</xdr:row>
      <xdr:rowOff>47625</xdr:rowOff>
    </xdr:to>
    <xdr:sp>
      <xdr:nvSpPr>
        <xdr:cNvPr id="75" name="Line 133"/>
        <xdr:cNvSpPr>
          <a:spLocks/>
        </xdr:cNvSpPr>
      </xdr:nvSpPr>
      <xdr:spPr>
        <a:xfrm>
          <a:off x="7877175" y="11858625"/>
          <a:ext cx="1809750" cy="0"/>
        </a:xfrm>
        <a:prstGeom prst="line">
          <a:avLst/>
        </a:prstGeom>
        <a:solidFill>
          <a:srgbClr val="FFFFFF"/>
        </a:solid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600075</xdr:colOff>
      <xdr:row>66</xdr:row>
      <xdr:rowOff>123825</xdr:rowOff>
    </xdr:from>
    <xdr:to>
      <xdr:col>9</xdr:col>
      <xdr:colOff>809625</xdr:colOff>
      <xdr:row>69</xdr:row>
      <xdr:rowOff>133350</xdr:rowOff>
    </xdr:to>
    <xdr:sp>
      <xdr:nvSpPr>
        <xdr:cNvPr id="76" name="Arc 134"/>
        <xdr:cNvSpPr>
          <a:spLocks/>
        </xdr:cNvSpPr>
      </xdr:nvSpPr>
      <xdr:spPr>
        <a:xfrm>
          <a:off x="8496300" y="11287125"/>
          <a:ext cx="219075" cy="49530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542925</xdr:colOff>
      <xdr:row>66</xdr:row>
      <xdr:rowOff>66675</xdr:rowOff>
    </xdr:from>
    <xdr:to>
      <xdr:col>9</xdr:col>
      <xdr:colOff>581025</xdr:colOff>
      <xdr:row>66</xdr:row>
      <xdr:rowOff>114300</xdr:rowOff>
    </xdr:to>
    <xdr:sp>
      <xdr:nvSpPr>
        <xdr:cNvPr id="77" name="Line 135"/>
        <xdr:cNvSpPr>
          <a:spLocks/>
        </xdr:cNvSpPr>
      </xdr:nvSpPr>
      <xdr:spPr>
        <a:xfrm flipH="1" flipV="1">
          <a:off x="8439150" y="11229975"/>
          <a:ext cx="47625" cy="47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809625</xdr:colOff>
      <xdr:row>69</xdr:row>
      <xdr:rowOff>114300</xdr:rowOff>
    </xdr:from>
    <xdr:to>
      <xdr:col>9</xdr:col>
      <xdr:colOff>809625</xdr:colOff>
      <xdr:row>70</xdr:row>
      <xdr:rowOff>38100</xdr:rowOff>
    </xdr:to>
    <xdr:sp>
      <xdr:nvSpPr>
        <xdr:cNvPr id="78" name="Line 136"/>
        <xdr:cNvSpPr>
          <a:spLocks/>
        </xdr:cNvSpPr>
      </xdr:nvSpPr>
      <xdr:spPr>
        <a:xfrm>
          <a:off x="8705850" y="11763375"/>
          <a:ext cx="0" cy="857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514350</xdr:colOff>
      <xdr:row>59</xdr:row>
      <xdr:rowOff>76200</xdr:rowOff>
    </xdr:from>
    <xdr:to>
      <xdr:col>11</xdr:col>
      <xdr:colOff>400050</xdr:colOff>
      <xdr:row>70</xdr:row>
      <xdr:rowOff>95250</xdr:rowOff>
    </xdr:to>
    <xdr:grpSp>
      <xdr:nvGrpSpPr>
        <xdr:cNvPr id="79" name="Group 144"/>
        <xdr:cNvGrpSpPr>
          <a:grpSpLocks/>
        </xdr:cNvGrpSpPr>
      </xdr:nvGrpSpPr>
      <xdr:grpSpPr>
        <a:xfrm>
          <a:off x="9277350" y="10106025"/>
          <a:ext cx="809625" cy="1800225"/>
          <a:chOff x="760" y="702"/>
          <a:chExt cx="73" cy="145"/>
        </a:xfrm>
        <a:solidFill>
          <a:srgbClr val="FFFFFF"/>
        </a:solidFill>
      </xdr:grpSpPr>
      <xdr:sp>
        <xdr:nvSpPr>
          <xdr:cNvPr id="80" name="Arc 137"/>
          <xdr:cNvSpPr>
            <a:spLocks/>
          </xdr:cNvSpPr>
        </xdr:nvSpPr>
        <xdr:spPr>
          <a:xfrm>
            <a:off x="760" y="712"/>
            <a:ext cx="73" cy="135"/>
          </a:xfrm>
          <a:prstGeom prst="arc">
            <a:avLst>
              <a:gd name="adj1" fmla="val -23005324"/>
              <a:gd name="adj2" fmla="val -2273287"/>
              <a:gd name="adj3" fmla="val 46879"/>
            </a:avLst>
          </a:prstGeom>
          <a:noFill/>
          <a:ln w="17145" cmpd="sng">
            <a:solidFill>
              <a:srgbClr val="F2088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1" name="Line 138"/>
          <xdr:cNvSpPr>
            <a:spLocks/>
          </xdr:cNvSpPr>
        </xdr:nvSpPr>
        <xdr:spPr>
          <a:xfrm flipH="1" flipV="1">
            <a:off x="762" y="702"/>
            <a:ext cx="16" cy="10"/>
          </a:xfrm>
          <a:prstGeom prst="line">
            <a:avLst/>
          </a:prstGeom>
          <a:solidFill>
            <a:srgbClr val="FFFFFF"/>
          </a:solidFill>
          <a:ln w="17145" cmpd="sng">
            <a:solidFill>
              <a:srgbClr val="F2088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82" name="Line 139"/>
          <xdr:cNvSpPr>
            <a:spLocks/>
          </xdr:cNvSpPr>
        </xdr:nvSpPr>
        <xdr:spPr>
          <a:xfrm>
            <a:off x="833" y="830"/>
            <a:ext cx="0" cy="15"/>
          </a:xfrm>
          <a:prstGeom prst="line">
            <a:avLst/>
          </a:prstGeom>
          <a:solidFill>
            <a:srgbClr val="FFFFFF"/>
          </a:solidFill>
          <a:ln w="17145" cmpd="sng">
            <a:solidFill>
              <a:srgbClr val="F20884"/>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5</xdr:col>
      <xdr:colOff>581025</xdr:colOff>
      <xdr:row>64</xdr:row>
      <xdr:rowOff>0</xdr:rowOff>
    </xdr:from>
    <xdr:to>
      <xdr:col>7</xdr:col>
      <xdr:colOff>266700</xdr:colOff>
      <xdr:row>74</xdr:row>
      <xdr:rowOff>85725</xdr:rowOff>
    </xdr:to>
    <xdr:grpSp>
      <xdr:nvGrpSpPr>
        <xdr:cNvPr id="83" name="Group 143"/>
        <xdr:cNvGrpSpPr>
          <a:grpSpLocks/>
        </xdr:cNvGrpSpPr>
      </xdr:nvGrpSpPr>
      <xdr:grpSpPr>
        <a:xfrm>
          <a:off x="4838700" y="10839450"/>
          <a:ext cx="1590675" cy="1704975"/>
          <a:chOff x="389" y="761"/>
          <a:chExt cx="122" cy="137"/>
        </a:xfrm>
        <a:solidFill>
          <a:srgbClr val="FFFFFF"/>
        </a:solidFill>
      </xdr:grpSpPr>
      <xdr:sp>
        <xdr:nvSpPr>
          <xdr:cNvPr id="84" name="Line 125"/>
          <xdr:cNvSpPr>
            <a:spLocks/>
          </xdr:cNvSpPr>
        </xdr:nvSpPr>
        <xdr:spPr>
          <a:xfrm flipH="1">
            <a:off x="389" y="765"/>
            <a:ext cx="21" cy="10"/>
          </a:xfrm>
          <a:prstGeom prst="line">
            <a:avLst/>
          </a:prstGeom>
          <a:solidFill>
            <a:srgbClr val="FFFFFF"/>
          </a:solidFill>
          <a:ln w="9525" cmpd="sng">
            <a:solidFill>
              <a:srgbClr val="F2088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85" name="Line 126"/>
          <xdr:cNvSpPr>
            <a:spLocks/>
          </xdr:cNvSpPr>
        </xdr:nvSpPr>
        <xdr:spPr>
          <a:xfrm flipH="1">
            <a:off x="408" y="879"/>
            <a:ext cx="27" cy="19"/>
          </a:xfrm>
          <a:prstGeom prst="line">
            <a:avLst/>
          </a:prstGeom>
          <a:solidFill>
            <a:srgbClr val="FFFFFF"/>
          </a:solidFill>
          <a:ln w="9525" cmpd="sng">
            <a:solidFill>
              <a:srgbClr val="F2088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86" name="Line 127"/>
          <xdr:cNvSpPr>
            <a:spLocks/>
          </xdr:cNvSpPr>
        </xdr:nvSpPr>
        <xdr:spPr>
          <a:xfrm flipV="1">
            <a:off x="469" y="801"/>
            <a:ext cx="42" cy="2"/>
          </a:xfrm>
          <a:prstGeom prst="line">
            <a:avLst/>
          </a:prstGeom>
          <a:solidFill>
            <a:srgbClr val="FFFFFF"/>
          </a:solidFill>
          <a:ln w="9525" cmpd="sng">
            <a:solidFill>
              <a:srgbClr val="F2088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7" name="Polygon 142"/>
          <xdr:cNvSpPr>
            <a:spLocks/>
          </xdr:cNvSpPr>
        </xdr:nvSpPr>
        <xdr:spPr>
          <a:xfrm>
            <a:off x="411" y="761"/>
            <a:ext cx="62" cy="118"/>
          </a:xfrm>
          <a:custGeom>
            <a:pathLst>
              <a:path h="118" w="62">
                <a:moveTo>
                  <a:pt x="0" y="4"/>
                </a:moveTo>
                <a:cubicBezTo>
                  <a:pt x="6" y="0"/>
                  <a:pt x="9" y="2"/>
                  <a:pt x="17" y="3"/>
                </a:cubicBezTo>
                <a:cubicBezTo>
                  <a:pt x="21" y="4"/>
                  <a:pt x="27" y="5"/>
                  <a:pt x="32" y="8"/>
                </a:cubicBezTo>
                <a:cubicBezTo>
                  <a:pt x="33" y="8"/>
                  <a:pt x="36" y="10"/>
                  <a:pt x="36" y="10"/>
                </a:cubicBezTo>
                <a:cubicBezTo>
                  <a:pt x="36" y="11"/>
                  <a:pt x="41" y="14"/>
                  <a:pt x="41" y="14"/>
                </a:cubicBezTo>
                <a:cubicBezTo>
                  <a:pt x="42" y="16"/>
                  <a:pt x="44" y="18"/>
                  <a:pt x="47" y="20"/>
                </a:cubicBezTo>
                <a:cubicBezTo>
                  <a:pt x="49" y="24"/>
                  <a:pt x="47" y="23"/>
                  <a:pt x="51" y="25"/>
                </a:cubicBezTo>
                <a:cubicBezTo>
                  <a:pt x="54" y="31"/>
                  <a:pt x="56" y="38"/>
                  <a:pt x="60" y="45"/>
                </a:cubicBezTo>
                <a:cubicBezTo>
                  <a:pt x="61" y="55"/>
                  <a:pt x="62" y="93"/>
                  <a:pt x="48" y="101"/>
                </a:cubicBezTo>
                <a:cubicBezTo>
                  <a:pt x="46" y="103"/>
                  <a:pt x="43" y="105"/>
                  <a:pt x="41" y="107"/>
                </a:cubicBezTo>
                <a:cubicBezTo>
                  <a:pt x="39" y="109"/>
                  <a:pt x="33" y="112"/>
                  <a:pt x="33" y="112"/>
                </a:cubicBezTo>
                <a:cubicBezTo>
                  <a:pt x="31" y="115"/>
                  <a:pt x="27" y="115"/>
                  <a:pt x="25" y="118"/>
                </a:cubicBezTo>
              </a:path>
            </a:pathLst>
          </a:custGeom>
          <a:noFill/>
          <a:ln w="9525" cmpd="sng">
            <a:solidFill>
              <a:srgbClr val="F2088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80</xdr:row>
      <xdr:rowOff>85725</xdr:rowOff>
    </xdr:from>
    <xdr:to>
      <xdr:col>2</xdr:col>
      <xdr:colOff>314325</xdr:colOff>
      <xdr:row>84</xdr:row>
      <xdr:rowOff>95250</xdr:rowOff>
    </xdr:to>
    <xdr:grpSp>
      <xdr:nvGrpSpPr>
        <xdr:cNvPr id="1" name="Shape 91"/>
        <xdr:cNvGrpSpPr>
          <a:grpSpLocks/>
        </xdr:cNvGrpSpPr>
      </xdr:nvGrpSpPr>
      <xdr:grpSpPr>
        <a:xfrm>
          <a:off x="1895475" y="14211300"/>
          <a:ext cx="152400" cy="657225"/>
          <a:chOff x="-63" y="-2308"/>
          <a:chExt cx="13" cy="20385"/>
        </a:xfrm>
        <a:solidFill>
          <a:srgbClr val="FFFFFF"/>
        </a:solidFill>
      </xdr:grpSpPr>
      <xdr:sp>
        <xdr:nvSpPr>
          <xdr:cNvPr id="2" name="Shape 92"/>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 name="Shape 93"/>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 name="Shape 94"/>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885825</xdr:colOff>
      <xdr:row>80</xdr:row>
      <xdr:rowOff>85725</xdr:rowOff>
    </xdr:from>
    <xdr:to>
      <xdr:col>3</xdr:col>
      <xdr:colOff>19050</xdr:colOff>
      <xdr:row>84</xdr:row>
      <xdr:rowOff>66675</xdr:rowOff>
    </xdr:to>
    <xdr:grpSp>
      <xdr:nvGrpSpPr>
        <xdr:cNvPr id="5" name="Shape 95"/>
        <xdr:cNvGrpSpPr>
          <a:grpSpLocks/>
        </xdr:cNvGrpSpPr>
      </xdr:nvGrpSpPr>
      <xdr:grpSpPr>
        <a:xfrm>
          <a:off x="2619375" y="14211300"/>
          <a:ext cx="95250" cy="628650"/>
          <a:chOff x="-3478" y="-2308"/>
          <a:chExt cx="5217" cy="19231"/>
        </a:xfrm>
        <a:solidFill>
          <a:srgbClr val="FFFFFF"/>
        </a:solidFill>
      </xdr:grpSpPr>
      <xdr:sp>
        <xdr:nvSpPr>
          <xdr:cNvPr id="6" name="Shape 96"/>
          <xdr:cNvSpPr>
            <a:spLocks/>
          </xdr:cNvSpPr>
        </xdr:nvSpPr>
        <xdr:spPr>
          <a:xfrm>
            <a:off x="-3478"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 name="Shape 97"/>
          <xdr:cNvSpPr>
            <a:spLocks/>
          </xdr:cNvSpPr>
        </xdr:nvSpPr>
        <xdr:spPr>
          <a:xfrm>
            <a:off x="-3478" y="-1923"/>
            <a:ext cx="52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 name="Shape 98"/>
          <xdr:cNvSpPr>
            <a:spLocks/>
          </xdr:cNvSpPr>
        </xdr:nvSpPr>
        <xdr:spPr>
          <a:xfrm>
            <a:off x="-3478" y="16923"/>
            <a:ext cx="52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1009650</xdr:colOff>
      <xdr:row>80</xdr:row>
      <xdr:rowOff>76200</xdr:rowOff>
    </xdr:from>
    <xdr:to>
      <xdr:col>7</xdr:col>
      <xdr:colOff>314325</xdr:colOff>
      <xdr:row>84</xdr:row>
      <xdr:rowOff>76200</xdr:rowOff>
    </xdr:to>
    <xdr:grpSp>
      <xdr:nvGrpSpPr>
        <xdr:cNvPr id="9" name="Shape 99"/>
        <xdr:cNvGrpSpPr>
          <a:grpSpLocks/>
        </xdr:cNvGrpSpPr>
      </xdr:nvGrpSpPr>
      <xdr:grpSpPr>
        <a:xfrm>
          <a:off x="6848475" y="14201775"/>
          <a:ext cx="400050" cy="647700"/>
          <a:chOff x="-2410" y="-2692"/>
          <a:chExt cx="5060" cy="20000"/>
        </a:xfrm>
        <a:solidFill>
          <a:srgbClr val="FFFFFF"/>
        </a:solidFill>
      </xdr:grpSpPr>
      <xdr:sp>
        <xdr:nvSpPr>
          <xdr:cNvPr id="10" name="Shape 100"/>
          <xdr:cNvSpPr>
            <a:spLocks/>
          </xdr:cNvSpPr>
        </xdr:nvSpPr>
        <xdr:spPr>
          <a:xfrm>
            <a:off x="-2410"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 name="Shape 101"/>
          <xdr:cNvSpPr>
            <a:spLocks/>
          </xdr:cNvSpPr>
        </xdr:nvSpPr>
        <xdr:spPr>
          <a:xfrm>
            <a:off x="-2410" y="-2307"/>
            <a:ext cx="43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 name="Shape 102"/>
          <xdr:cNvSpPr>
            <a:spLocks/>
          </xdr:cNvSpPr>
        </xdr:nvSpPr>
        <xdr:spPr>
          <a:xfrm>
            <a:off x="-2410" y="17308"/>
            <a:ext cx="506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80</xdr:row>
      <xdr:rowOff>95250</xdr:rowOff>
    </xdr:from>
    <xdr:to>
      <xdr:col>6</xdr:col>
      <xdr:colOff>47625</xdr:colOff>
      <xdr:row>84</xdr:row>
      <xdr:rowOff>114300</xdr:rowOff>
    </xdr:to>
    <xdr:grpSp>
      <xdr:nvGrpSpPr>
        <xdr:cNvPr id="13" name="Shape 103"/>
        <xdr:cNvGrpSpPr>
          <a:grpSpLocks/>
        </xdr:cNvGrpSpPr>
      </xdr:nvGrpSpPr>
      <xdr:grpSpPr>
        <a:xfrm>
          <a:off x="5838825" y="14220825"/>
          <a:ext cx="47625" cy="666750"/>
          <a:chOff x="0" y="-1923"/>
          <a:chExt cx="1778" cy="20385"/>
        </a:xfrm>
        <a:solidFill>
          <a:srgbClr val="FFFFFF"/>
        </a:solidFill>
      </xdr:grpSpPr>
      <xdr:sp>
        <xdr:nvSpPr>
          <xdr:cNvPr id="14" name="Shape 104"/>
          <xdr:cNvSpPr>
            <a:spLocks/>
          </xdr:cNvSpPr>
        </xdr:nvSpPr>
        <xdr:spPr>
          <a:xfrm>
            <a:off x="1778"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 name="Shape 105"/>
          <xdr:cNvSpPr>
            <a:spLocks/>
          </xdr:cNvSpPr>
        </xdr:nvSpPr>
        <xdr:spPr>
          <a:xfrm flipH="1">
            <a:off x="0" y="-1923"/>
            <a:ext cx="13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 name="Shape 106"/>
          <xdr:cNvSpPr>
            <a:spLocks/>
          </xdr:cNvSpPr>
        </xdr:nvSpPr>
        <xdr:spPr>
          <a:xfrm flipH="1">
            <a:off x="0" y="18462"/>
            <a:ext cx="88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771525</xdr:colOff>
      <xdr:row>80</xdr:row>
      <xdr:rowOff>66675</xdr:rowOff>
    </xdr:from>
    <xdr:to>
      <xdr:col>9</xdr:col>
      <xdr:colOff>9525</xdr:colOff>
      <xdr:row>84</xdr:row>
      <xdr:rowOff>66675</xdr:rowOff>
    </xdr:to>
    <xdr:grpSp>
      <xdr:nvGrpSpPr>
        <xdr:cNvPr id="17" name="Shape 107"/>
        <xdr:cNvGrpSpPr>
          <a:grpSpLocks/>
        </xdr:cNvGrpSpPr>
      </xdr:nvGrpSpPr>
      <xdr:grpSpPr>
        <a:xfrm>
          <a:off x="8591550" y="14192250"/>
          <a:ext cx="323850" cy="647700"/>
          <a:chOff x="-2182" y="-3077"/>
          <a:chExt cx="3636" cy="20000"/>
        </a:xfrm>
        <a:solidFill>
          <a:srgbClr val="FFFFFF"/>
        </a:solidFill>
      </xdr:grpSpPr>
      <xdr:sp>
        <xdr:nvSpPr>
          <xdr:cNvPr id="18" name="Shape 108"/>
          <xdr:cNvSpPr>
            <a:spLocks/>
          </xdr:cNvSpPr>
        </xdr:nvSpPr>
        <xdr:spPr>
          <a:xfrm>
            <a:off x="-2182"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 name="Shape 109"/>
          <xdr:cNvSpPr>
            <a:spLocks/>
          </xdr:cNvSpPr>
        </xdr:nvSpPr>
        <xdr:spPr>
          <a:xfrm>
            <a:off x="-2182" y="-2692"/>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 name="Shape 110"/>
          <xdr:cNvSpPr>
            <a:spLocks/>
          </xdr:cNvSpPr>
        </xdr:nvSpPr>
        <xdr:spPr>
          <a:xfrm>
            <a:off x="-2182" y="16923"/>
            <a:ext cx="36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180975</xdr:colOff>
      <xdr:row>80</xdr:row>
      <xdr:rowOff>95250</xdr:rowOff>
    </xdr:from>
    <xdr:to>
      <xdr:col>10</xdr:col>
      <xdr:colOff>285750</xdr:colOff>
      <xdr:row>84</xdr:row>
      <xdr:rowOff>114300</xdr:rowOff>
    </xdr:to>
    <xdr:grpSp>
      <xdr:nvGrpSpPr>
        <xdr:cNvPr id="21" name="Shape 111"/>
        <xdr:cNvGrpSpPr>
          <a:grpSpLocks/>
        </xdr:cNvGrpSpPr>
      </xdr:nvGrpSpPr>
      <xdr:grpSpPr>
        <a:xfrm>
          <a:off x="9953625" y="14220825"/>
          <a:ext cx="95250" cy="666750"/>
          <a:chOff x="-66" y="-1923"/>
          <a:chExt cx="10" cy="20385"/>
        </a:xfrm>
        <a:solidFill>
          <a:srgbClr val="FFFFFF"/>
        </a:solidFill>
      </xdr:grpSpPr>
      <xdr:sp>
        <xdr:nvSpPr>
          <xdr:cNvPr id="22" name="Shape 112"/>
          <xdr:cNvSpPr>
            <a:spLocks/>
          </xdr:cNvSpPr>
        </xdr:nvSpPr>
        <xdr:spPr>
          <a:xfrm>
            <a:off x="-56"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 name="Shape 113"/>
          <xdr:cNvSpPr>
            <a:spLocks/>
          </xdr:cNvSpPr>
        </xdr:nvSpPr>
        <xdr:spPr>
          <a:xfrm flipH="1">
            <a:off x="-66" y="-1923"/>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 name="Shape 114"/>
          <xdr:cNvSpPr>
            <a:spLocks/>
          </xdr:cNvSpPr>
        </xdr:nvSpPr>
        <xdr:spPr>
          <a:xfrm flipH="1">
            <a:off x="-66" y="18462"/>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190500</xdr:colOff>
      <xdr:row>80</xdr:row>
      <xdr:rowOff>66675</xdr:rowOff>
    </xdr:from>
    <xdr:to>
      <xdr:col>8</xdr:col>
      <xdr:colOff>238125</xdr:colOff>
      <xdr:row>84</xdr:row>
      <xdr:rowOff>76200</xdr:rowOff>
    </xdr:to>
    <xdr:grpSp>
      <xdr:nvGrpSpPr>
        <xdr:cNvPr id="25" name="Shape 115"/>
        <xdr:cNvGrpSpPr>
          <a:grpSpLocks/>
        </xdr:cNvGrpSpPr>
      </xdr:nvGrpSpPr>
      <xdr:grpSpPr>
        <a:xfrm>
          <a:off x="8010525" y="14192250"/>
          <a:ext cx="47625" cy="657225"/>
          <a:chOff x="-58" y="-3077"/>
          <a:chExt cx="4" cy="20385"/>
        </a:xfrm>
        <a:solidFill>
          <a:srgbClr val="FFFFFF"/>
        </a:solidFill>
      </xdr:grpSpPr>
      <xdr:sp>
        <xdr:nvSpPr>
          <xdr:cNvPr id="26" name="Shape 116"/>
          <xdr:cNvSpPr>
            <a:spLocks/>
          </xdr:cNvSpPr>
        </xdr:nvSpPr>
        <xdr:spPr>
          <a:xfrm>
            <a:off x="-54"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 name="Shape 117"/>
          <xdr:cNvSpPr>
            <a:spLocks/>
          </xdr:cNvSpPr>
        </xdr:nvSpPr>
        <xdr:spPr>
          <a:xfrm flipH="1">
            <a:off x="-58"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Shape 118"/>
          <xdr:cNvSpPr>
            <a:spLocks/>
          </xdr:cNvSpPr>
        </xdr:nvSpPr>
        <xdr:spPr>
          <a:xfrm flipH="1">
            <a:off x="-58"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704850</xdr:colOff>
      <xdr:row>80</xdr:row>
      <xdr:rowOff>95250</xdr:rowOff>
    </xdr:from>
    <xdr:to>
      <xdr:col>1</xdr:col>
      <xdr:colOff>0</xdr:colOff>
      <xdr:row>84</xdr:row>
      <xdr:rowOff>47625</xdr:rowOff>
    </xdr:to>
    <xdr:grpSp>
      <xdr:nvGrpSpPr>
        <xdr:cNvPr id="29" name="Shape 119"/>
        <xdr:cNvGrpSpPr>
          <a:grpSpLocks/>
        </xdr:cNvGrpSpPr>
      </xdr:nvGrpSpPr>
      <xdr:grpSpPr>
        <a:xfrm>
          <a:off x="704850" y="14220825"/>
          <a:ext cx="161925" cy="600075"/>
          <a:chOff x="-7143" y="-2308"/>
          <a:chExt cx="8571" cy="19231"/>
        </a:xfrm>
        <a:solidFill>
          <a:srgbClr val="FFFFFF"/>
        </a:solidFill>
      </xdr:grpSpPr>
      <xdr:sp>
        <xdr:nvSpPr>
          <xdr:cNvPr id="30" name="Shape 120"/>
          <xdr:cNvSpPr>
            <a:spLocks/>
          </xdr:cNvSpPr>
        </xdr:nvSpPr>
        <xdr:spPr>
          <a:xfrm>
            <a:off x="-7143"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 name="Shape 121"/>
          <xdr:cNvSpPr>
            <a:spLocks/>
          </xdr:cNvSpPr>
        </xdr:nvSpPr>
        <xdr:spPr>
          <a:xfrm>
            <a:off x="-7143" y="-1923"/>
            <a:ext cx="857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 name="Shape 122"/>
          <xdr:cNvSpPr>
            <a:spLocks/>
          </xdr:cNvSpPr>
        </xdr:nvSpPr>
        <xdr:spPr>
          <a:xfrm>
            <a:off x="-7143" y="16923"/>
            <a:ext cx="857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161925</xdr:colOff>
      <xdr:row>400</xdr:row>
      <xdr:rowOff>85725</xdr:rowOff>
    </xdr:from>
    <xdr:to>
      <xdr:col>2</xdr:col>
      <xdr:colOff>314325</xdr:colOff>
      <xdr:row>404</xdr:row>
      <xdr:rowOff>95250</xdr:rowOff>
    </xdr:to>
    <xdr:grpSp>
      <xdr:nvGrpSpPr>
        <xdr:cNvPr id="33" name="Shape 123"/>
        <xdr:cNvGrpSpPr>
          <a:grpSpLocks/>
        </xdr:cNvGrpSpPr>
      </xdr:nvGrpSpPr>
      <xdr:grpSpPr>
        <a:xfrm>
          <a:off x="1895475" y="67789425"/>
          <a:ext cx="152400" cy="657225"/>
          <a:chOff x="-63" y="-2308"/>
          <a:chExt cx="13" cy="20385"/>
        </a:xfrm>
        <a:solidFill>
          <a:srgbClr val="FFFFFF"/>
        </a:solidFill>
      </xdr:grpSpPr>
      <xdr:sp>
        <xdr:nvSpPr>
          <xdr:cNvPr id="34" name="Shape 124"/>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 name="Shape 125"/>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Shape 126"/>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838200</xdr:colOff>
      <xdr:row>400</xdr:row>
      <xdr:rowOff>85725</xdr:rowOff>
    </xdr:from>
    <xdr:to>
      <xdr:col>2</xdr:col>
      <xdr:colOff>866775</xdr:colOff>
      <xdr:row>404</xdr:row>
      <xdr:rowOff>66675</xdr:rowOff>
    </xdr:to>
    <xdr:grpSp>
      <xdr:nvGrpSpPr>
        <xdr:cNvPr id="37" name="Shape 127"/>
        <xdr:cNvGrpSpPr>
          <a:grpSpLocks/>
        </xdr:cNvGrpSpPr>
      </xdr:nvGrpSpPr>
      <xdr:grpSpPr>
        <a:xfrm>
          <a:off x="2571750" y="67789425"/>
          <a:ext cx="19050" cy="628650"/>
          <a:chOff x="-3200" y="-2308"/>
          <a:chExt cx="4800" cy="19231"/>
        </a:xfrm>
        <a:solidFill>
          <a:srgbClr val="FFFFFF"/>
        </a:solidFill>
      </xdr:grpSpPr>
      <xdr:sp>
        <xdr:nvSpPr>
          <xdr:cNvPr id="38" name="Shape 128"/>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Shape 129"/>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 name="Shape 130"/>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857250</xdr:colOff>
      <xdr:row>400</xdr:row>
      <xdr:rowOff>85725</xdr:rowOff>
    </xdr:from>
    <xdr:to>
      <xdr:col>7</xdr:col>
      <xdr:colOff>76200</xdr:colOff>
      <xdr:row>404</xdr:row>
      <xdr:rowOff>85725</xdr:rowOff>
    </xdr:to>
    <xdr:grpSp>
      <xdr:nvGrpSpPr>
        <xdr:cNvPr id="41" name="Shape 131"/>
        <xdr:cNvGrpSpPr>
          <a:grpSpLocks/>
        </xdr:cNvGrpSpPr>
      </xdr:nvGrpSpPr>
      <xdr:grpSpPr>
        <a:xfrm>
          <a:off x="6696075" y="67789425"/>
          <a:ext cx="314325" cy="647700"/>
          <a:chOff x="-952" y="-2308"/>
          <a:chExt cx="2619" cy="20000"/>
        </a:xfrm>
        <a:solidFill>
          <a:srgbClr val="FFFFFF"/>
        </a:solidFill>
      </xdr:grpSpPr>
      <xdr:sp>
        <xdr:nvSpPr>
          <xdr:cNvPr id="42" name="Shape 132"/>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 name="Shape 133"/>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 name="Shape 134"/>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400</xdr:row>
      <xdr:rowOff>95250</xdr:rowOff>
    </xdr:from>
    <xdr:to>
      <xdr:col>6</xdr:col>
      <xdr:colOff>47625</xdr:colOff>
      <xdr:row>404</xdr:row>
      <xdr:rowOff>114300</xdr:rowOff>
    </xdr:to>
    <xdr:grpSp>
      <xdr:nvGrpSpPr>
        <xdr:cNvPr id="45" name="Shape 135"/>
        <xdr:cNvGrpSpPr>
          <a:grpSpLocks/>
        </xdr:cNvGrpSpPr>
      </xdr:nvGrpSpPr>
      <xdr:grpSpPr>
        <a:xfrm>
          <a:off x="5838825" y="67798950"/>
          <a:ext cx="47625" cy="666750"/>
          <a:chOff x="0" y="-1923"/>
          <a:chExt cx="1633" cy="20385"/>
        </a:xfrm>
        <a:solidFill>
          <a:srgbClr val="FFFFFF"/>
        </a:solidFill>
      </xdr:grpSpPr>
      <xdr:sp>
        <xdr:nvSpPr>
          <xdr:cNvPr id="46" name="Shape 136"/>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 name="Shape 137"/>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 name="Shape 138"/>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400</xdr:row>
      <xdr:rowOff>66675</xdr:rowOff>
    </xdr:from>
    <xdr:to>
      <xdr:col>9</xdr:col>
      <xdr:colOff>47625</xdr:colOff>
      <xdr:row>404</xdr:row>
      <xdr:rowOff>66675</xdr:rowOff>
    </xdr:to>
    <xdr:grpSp>
      <xdr:nvGrpSpPr>
        <xdr:cNvPr id="49" name="Shape 139"/>
        <xdr:cNvGrpSpPr>
          <a:grpSpLocks/>
        </xdr:cNvGrpSpPr>
      </xdr:nvGrpSpPr>
      <xdr:grpSpPr>
        <a:xfrm>
          <a:off x="8620125" y="67770375"/>
          <a:ext cx="333375" cy="647700"/>
          <a:chOff x="-2553" y="-3077"/>
          <a:chExt cx="4255" cy="20000"/>
        </a:xfrm>
        <a:solidFill>
          <a:srgbClr val="FFFFFF"/>
        </a:solidFill>
      </xdr:grpSpPr>
      <xdr:sp>
        <xdr:nvSpPr>
          <xdr:cNvPr id="50" name="Shape 140"/>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1" name="Shape 141"/>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 name="Shape 142"/>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400</xdr:row>
      <xdr:rowOff>47625</xdr:rowOff>
    </xdr:from>
    <xdr:to>
      <xdr:col>10</xdr:col>
      <xdr:colOff>228600</xdr:colOff>
      <xdr:row>404</xdr:row>
      <xdr:rowOff>66675</xdr:rowOff>
    </xdr:to>
    <xdr:grpSp>
      <xdr:nvGrpSpPr>
        <xdr:cNvPr id="53" name="Shape 143"/>
        <xdr:cNvGrpSpPr>
          <a:grpSpLocks/>
        </xdr:cNvGrpSpPr>
      </xdr:nvGrpSpPr>
      <xdr:grpSpPr>
        <a:xfrm>
          <a:off x="9906000" y="67751325"/>
          <a:ext cx="95250" cy="666750"/>
          <a:chOff x="-65" y="-3462"/>
          <a:chExt cx="10" cy="20385"/>
        </a:xfrm>
        <a:solidFill>
          <a:srgbClr val="FFFFFF"/>
        </a:solidFill>
      </xdr:grpSpPr>
      <xdr:sp>
        <xdr:nvSpPr>
          <xdr:cNvPr id="54" name="Shape 144"/>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 name="Shape 145"/>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 name="Shape 146"/>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400</xdr:row>
      <xdr:rowOff>66675</xdr:rowOff>
    </xdr:from>
    <xdr:to>
      <xdr:col>8</xdr:col>
      <xdr:colOff>219075</xdr:colOff>
      <xdr:row>404</xdr:row>
      <xdr:rowOff>76200</xdr:rowOff>
    </xdr:to>
    <xdr:grpSp>
      <xdr:nvGrpSpPr>
        <xdr:cNvPr id="57" name="Shape 147"/>
        <xdr:cNvGrpSpPr>
          <a:grpSpLocks/>
        </xdr:cNvGrpSpPr>
      </xdr:nvGrpSpPr>
      <xdr:grpSpPr>
        <a:xfrm>
          <a:off x="7991475" y="67770375"/>
          <a:ext cx="47625" cy="657225"/>
          <a:chOff x="-60" y="-3077"/>
          <a:chExt cx="4" cy="20385"/>
        </a:xfrm>
        <a:solidFill>
          <a:srgbClr val="FFFFFF"/>
        </a:solidFill>
      </xdr:grpSpPr>
      <xdr:sp>
        <xdr:nvSpPr>
          <xdr:cNvPr id="58" name="Shape 148"/>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9" name="Shape 149"/>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 name="Shape 150"/>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742950</xdr:colOff>
      <xdr:row>400</xdr:row>
      <xdr:rowOff>85725</xdr:rowOff>
    </xdr:from>
    <xdr:to>
      <xdr:col>1</xdr:col>
      <xdr:colOff>323850</xdr:colOff>
      <xdr:row>404</xdr:row>
      <xdr:rowOff>85725</xdr:rowOff>
    </xdr:to>
    <xdr:grpSp>
      <xdr:nvGrpSpPr>
        <xdr:cNvPr id="61" name="Shape 155"/>
        <xdr:cNvGrpSpPr>
          <a:grpSpLocks/>
        </xdr:cNvGrpSpPr>
      </xdr:nvGrpSpPr>
      <xdr:grpSpPr>
        <a:xfrm>
          <a:off x="742950" y="67789425"/>
          <a:ext cx="447675" cy="647700"/>
          <a:chOff x="-1639" y="-3077"/>
          <a:chExt cx="3607" cy="20000"/>
        </a:xfrm>
        <a:solidFill>
          <a:srgbClr val="FFFFFF"/>
        </a:solidFill>
      </xdr:grpSpPr>
      <xdr:sp>
        <xdr:nvSpPr>
          <xdr:cNvPr id="62" name="Shape 156"/>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3" name="Shape 157"/>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4" name="Shape 158"/>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400</xdr:row>
      <xdr:rowOff>66675</xdr:rowOff>
    </xdr:from>
    <xdr:to>
      <xdr:col>9</xdr:col>
      <xdr:colOff>47625</xdr:colOff>
      <xdr:row>404</xdr:row>
      <xdr:rowOff>66675</xdr:rowOff>
    </xdr:to>
    <xdr:grpSp>
      <xdr:nvGrpSpPr>
        <xdr:cNvPr id="65" name="Shape 159"/>
        <xdr:cNvGrpSpPr>
          <a:grpSpLocks/>
        </xdr:cNvGrpSpPr>
      </xdr:nvGrpSpPr>
      <xdr:grpSpPr>
        <a:xfrm>
          <a:off x="8620125" y="67770375"/>
          <a:ext cx="333375" cy="647700"/>
          <a:chOff x="-2553" y="-3077"/>
          <a:chExt cx="4255" cy="20000"/>
        </a:xfrm>
        <a:solidFill>
          <a:srgbClr val="FFFFFF"/>
        </a:solidFill>
      </xdr:grpSpPr>
      <xdr:sp>
        <xdr:nvSpPr>
          <xdr:cNvPr id="66" name="Shape 160"/>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7" name="Shape 161"/>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8" name="Shape 162"/>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161925</xdr:colOff>
      <xdr:row>416</xdr:row>
      <xdr:rowOff>85725</xdr:rowOff>
    </xdr:from>
    <xdr:to>
      <xdr:col>2</xdr:col>
      <xdr:colOff>314325</xdr:colOff>
      <xdr:row>420</xdr:row>
      <xdr:rowOff>95250</xdr:rowOff>
    </xdr:to>
    <xdr:grpSp>
      <xdr:nvGrpSpPr>
        <xdr:cNvPr id="69" name="Shape 113"/>
        <xdr:cNvGrpSpPr>
          <a:grpSpLocks/>
        </xdr:cNvGrpSpPr>
      </xdr:nvGrpSpPr>
      <xdr:grpSpPr>
        <a:xfrm>
          <a:off x="1895475" y="70427850"/>
          <a:ext cx="152400" cy="657225"/>
          <a:chOff x="-63" y="-2308"/>
          <a:chExt cx="13" cy="20385"/>
        </a:xfrm>
        <a:solidFill>
          <a:srgbClr val="FFFFFF"/>
        </a:solidFill>
      </xdr:grpSpPr>
      <xdr:sp>
        <xdr:nvSpPr>
          <xdr:cNvPr id="70" name="Shape 114"/>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1" name="Shape 115"/>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2" name="Shape 116"/>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838200</xdr:colOff>
      <xdr:row>416</xdr:row>
      <xdr:rowOff>85725</xdr:rowOff>
    </xdr:from>
    <xdr:to>
      <xdr:col>2</xdr:col>
      <xdr:colOff>866775</xdr:colOff>
      <xdr:row>420</xdr:row>
      <xdr:rowOff>66675</xdr:rowOff>
    </xdr:to>
    <xdr:grpSp>
      <xdr:nvGrpSpPr>
        <xdr:cNvPr id="73" name="Shape 117"/>
        <xdr:cNvGrpSpPr>
          <a:grpSpLocks/>
        </xdr:cNvGrpSpPr>
      </xdr:nvGrpSpPr>
      <xdr:grpSpPr>
        <a:xfrm>
          <a:off x="2571750" y="70427850"/>
          <a:ext cx="19050" cy="628650"/>
          <a:chOff x="-3200" y="-2308"/>
          <a:chExt cx="4800" cy="19231"/>
        </a:xfrm>
        <a:solidFill>
          <a:srgbClr val="FFFFFF"/>
        </a:solidFill>
      </xdr:grpSpPr>
      <xdr:sp>
        <xdr:nvSpPr>
          <xdr:cNvPr id="74" name="Shape 118"/>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5" name="Shape 119"/>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6" name="Shape 120"/>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857250</xdr:colOff>
      <xdr:row>416</xdr:row>
      <xdr:rowOff>85725</xdr:rowOff>
    </xdr:from>
    <xdr:to>
      <xdr:col>7</xdr:col>
      <xdr:colOff>76200</xdr:colOff>
      <xdr:row>420</xdr:row>
      <xdr:rowOff>85725</xdr:rowOff>
    </xdr:to>
    <xdr:grpSp>
      <xdr:nvGrpSpPr>
        <xdr:cNvPr id="77" name="Shape 121"/>
        <xdr:cNvGrpSpPr>
          <a:grpSpLocks/>
        </xdr:cNvGrpSpPr>
      </xdr:nvGrpSpPr>
      <xdr:grpSpPr>
        <a:xfrm>
          <a:off x="6696075" y="70427850"/>
          <a:ext cx="314325" cy="647700"/>
          <a:chOff x="-952" y="-2308"/>
          <a:chExt cx="2619" cy="20000"/>
        </a:xfrm>
        <a:solidFill>
          <a:srgbClr val="FFFFFF"/>
        </a:solidFill>
      </xdr:grpSpPr>
      <xdr:sp>
        <xdr:nvSpPr>
          <xdr:cNvPr id="78" name="Shape 122"/>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9" name="Shape 123"/>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0" name="Shape 124"/>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416</xdr:row>
      <xdr:rowOff>95250</xdr:rowOff>
    </xdr:from>
    <xdr:to>
      <xdr:col>6</xdr:col>
      <xdr:colOff>47625</xdr:colOff>
      <xdr:row>420</xdr:row>
      <xdr:rowOff>114300</xdr:rowOff>
    </xdr:to>
    <xdr:grpSp>
      <xdr:nvGrpSpPr>
        <xdr:cNvPr id="81" name="Shape 125"/>
        <xdr:cNvGrpSpPr>
          <a:grpSpLocks/>
        </xdr:cNvGrpSpPr>
      </xdr:nvGrpSpPr>
      <xdr:grpSpPr>
        <a:xfrm>
          <a:off x="5838825" y="70437375"/>
          <a:ext cx="47625" cy="666750"/>
          <a:chOff x="0" y="-1923"/>
          <a:chExt cx="1633" cy="20385"/>
        </a:xfrm>
        <a:solidFill>
          <a:srgbClr val="FFFFFF"/>
        </a:solidFill>
      </xdr:grpSpPr>
      <xdr:sp>
        <xdr:nvSpPr>
          <xdr:cNvPr id="82" name="Shape 126"/>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3" name="Shape 127"/>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4" name="Shape 128"/>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416</xdr:row>
      <xdr:rowOff>66675</xdr:rowOff>
    </xdr:from>
    <xdr:to>
      <xdr:col>9</xdr:col>
      <xdr:colOff>47625</xdr:colOff>
      <xdr:row>420</xdr:row>
      <xdr:rowOff>66675</xdr:rowOff>
    </xdr:to>
    <xdr:grpSp>
      <xdr:nvGrpSpPr>
        <xdr:cNvPr id="85" name="Shape 129"/>
        <xdr:cNvGrpSpPr>
          <a:grpSpLocks/>
        </xdr:cNvGrpSpPr>
      </xdr:nvGrpSpPr>
      <xdr:grpSpPr>
        <a:xfrm>
          <a:off x="8620125" y="70408800"/>
          <a:ext cx="333375" cy="647700"/>
          <a:chOff x="-2553" y="-3077"/>
          <a:chExt cx="4255" cy="20000"/>
        </a:xfrm>
        <a:solidFill>
          <a:srgbClr val="FFFFFF"/>
        </a:solidFill>
      </xdr:grpSpPr>
      <xdr:sp>
        <xdr:nvSpPr>
          <xdr:cNvPr id="86" name="Shape 130"/>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7" name="Shape 131"/>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8" name="Shape 132"/>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416</xdr:row>
      <xdr:rowOff>47625</xdr:rowOff>
    </xdr:from>
    <xdr:to>
      <xdr:col>10</xdr:col>
      <xdr:colOff>228600</xdr:colOff>
      <xdr:row>420</xdr:row>
      <xdr:rowOff>66675</xdr:rowOff>
    </xdr:to>
    <xdr:grpSp>
      <xdr:nvGrpSpPr>
        <xdr:cNvPr id="89" name="Shape 133"/>
        <xdr:cNvGrpSpPr>
          <a:grpSpLocks/>
        </xdr:cNvGrpSpPr>
      </xdr:nvGrpSpPr>
      <xdr:grpSpPr>
        <a:xfrm>
          <a:off x="9906000" y="70389750"/>
          <a:ext cx="95250" cy="666750"/>
          <a:chOff x="-65" y="-3462"/>
          <a:chExt cx="10" cy="20385"/>
        </a:xfrm>
        <a:solidFill>
          <a:srgbClr val="FFFFFF"/>
        </a:solidFill>
      </xdr:grpSpPr>
      <xdr:sp>
        <xdr:nvSpPr>
          <xdr:cNvPr id="90" name="Shape 134"/>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1" name="Shape 135"/>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2" name="Shape 136"/>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416</xdr:row>
      <xdr:rowOff>66675</xdr:rowOff>
    </xdr:from>
    <xdr:to>
      <xdr:col>8</xdr:col>
      <xdr:colOff>219075</xdr:colOff>
      <xdr:row>420</xdr:row>
      <xdr:rowOff>76200</xdr:rowOff>
    </xdr:to>
    <xdr:grpSp>
      <xdr:nvGrpSpPr>
        <xdr:cNvPr id="93" name="Shape 137"/>
        <xdr:cNvGrpSpPr>
          <a:grpSpLocks/>
        </xdr:cNvGrpSpPr>
      </xdr:nvGrpSpPr>
      <xdr:grpSpPr>
        <a:xfrm>
          <a:off x="7991475" y="70408800"/>
          <a:ext cx="47625" cy="657225"/>
          <a:chOff x="-60" y="-3077"/>
          <a:chExt cx="4" cy="20385"/>
        </a:xfrm>
        <a:solidFill>
          <a:srgbClr val="FFFFFF"/>
        </a:solidFill>
      </xdr:grpSpPr>
      <xdr:sp>
        <xdr:nvSpPr>
          <xdr:cNvPr id="94" name="Shape 138"/>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5" name="Shape 139"/>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6" name="Shape 140"/>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742950</xdr:colOff>
      <xdr:row>416</xdr:row>
      <xdr:rowOff>85725</xdr:rowOff>
    </xdr:from>
    <xdr:to>
      <xdr:col>1</xdr:col>
      <xdr:colOff>323850</xdr:colOff>
      <xdr:row>420</xdr:row>
      <xdr:rowOff>85725</xdr:rowOff>
    </xdr:to>
    <xdr:grpSp>
      <xdr:nvGrpSpPr>
        <xdr:cNvPr id="97" name="Shape 141"/>
        <xdr:cNvGrpSpPr>
          <a:grpSpLocks/>
        </xdr:cNvGrpSpPr>
      </xdr:nvGrpSpPr>
      <xdr:grpSpPr>
        <a:xfrm>
          <a:off x="742950" y="70427850"/>
          <a:ext cx="447675" cy="647700"/>
          <a:chOff x="-1639" y="-3077"/>
          <a:chExt cx="3607" cy="20000"/>
        </a:xfrm>
        <a:solidFill>
          <a:srgbClr val="FFFFFF"/>
        </a:solidFill>
      </xdr:grpSpPr>
      <xdr:sp>
        <xdr:nvSpPr>
          <xdr:cNvPr id="98" name="Shape 142"/>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9" name="Shape 143"/>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0" name="Shape 144"/>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416</xdr:row>
      <xdr:rowOff>66675</xdr:rowOff>
    </xdr:from>
    <xdr:to>
      <xdr:col>9</xdr:col>
      <xdr:colOff>47625</xdr:colOff>
      <xdr:row>420</xdr:row>
      <xdr:rowOff>66675</xdr:rowOff>
    </xdr:to>
    <xdr:grpSp>
      <xdr:nvGrpSpPr>
        <xdr:cNvPr id="101" name="Shape 145"/>
        <xdr:cNvGrpSpPr>
          <a:grpSpLocks/>
        </xdr:cNvGrpSpPr>
      </xdr:nvGrpSpPr>
      <xdr:grpSpPr>
        <a:xfrm>
          <a:off x="8620125" y="70408800"/>
          <a:ext cx="333375" cy="647700"/>
          <a:chOff x="-2553" y="-3077"/>
          <a:chExt cx="4255" cy="20000"/>
        </a:xfrm>
        <a:solidFill>
          <a:srgbClr val="FFFFFF"/>
        </a:solidFill>
      </xdr:grpSpPr>
      <xdr:sp>
        <xdr:nvSpPr>
          <xdr:cNvPr id="102" name="Shape 146"/>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3" name="Shape 147"/>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4" name="Shape 148"/>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161925</xdr:colOff>
      <xdr:row>386</xdr:row>
      <xdr:rowOff>85725</xdr:rowOff>
    </xdr:from>
    <xdr:to>
      <xdr:col>2</xdr:col>
      <xdr:colOff>314325</xdr:colOff>
      <xdr:row>390</xdr:row>
      <xdr:rowOff>95250</xdr:rowOff>
    </xdr:to>
    <xdr:grpSp>
      <xdr:nvGrpSpPr>
        <xdr:cNvPr id="105" name="Shape 149"/>
        <xdr:cNvGrpSpPr>
          <a:grpSpLocks/>
        </xdr:cNvGrpSpPr>
      </xdr:nvGrpSpPr>
      <xdr:grpSpPr>
        <a:xfrm>
          <a:off x="1895475" y="65503425"/>
          <a:ext cx="152400" cy="657225"/>
          <a:chOff x="-63" y="-2308"/>
          <a:chExt cx="13" cy="20385"/>
        </a:xfrm>
        <a:solidFill>
          <a:srgbClr val="FFFFFF"/>
        </a:solidFill>
      </xdr:grpSpPr>
      <xdr:sp>
        <xdr:nvSpPr>
          <xdr:cNvPr id="106" name="Shape 150"/>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7" name="Shape 151"/>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8" name="Shape 152"/>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885825</xdr:colOff>
      <xdr:row>386</xdr:row>
      <xdr:rowOff>85725</xdr:rowOff>
    </xdr:from>
    <xdr:to>
      <xdr:col>3</xdr:col>
      <xdr:colOff>19050</xdr:colOff>
      <xdr:row>390</xdr:row>
      <xdr:rowOff>66675</xdr:rowOff>
    </xdr:to>
    <xdr:grpSp>
      <xdr:nvGrpSpPr>
        <xdr:cNvPr id="109" name="Shape 153"/>
        <xdr:cNvGrpSpPr>
          <a:grpSpLocks/>
        </xdr:cNvGrpSpPr>
      </xdr:nvGrpSpPr>
      <xdr:grpSpPr>
        <a:xfrm>
          <a:off x="2619375" y="65503425"/>
          <a:ext cx="95250" cy="628650"/>
          <a:chOff x="-3200" y="-2308"/>
          <a:chExt cx="4800" cy="19231"/>
        </a:xfrm>
        <a:solidFill>
          <a:srgbClr val="FFFFFF"/>
        </a:solidFill>
      </xdr:grpSpPr>
      <xdr:sp>
        <xdr:nvSpPr>
          <xdr:cNvPr id="110" name="Shape 154"/>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1" name="Shape 155"/>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2" name="Shape 156"/>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857250</xdr:colOff>
      <xdr:row>386</xdr:row>
      <xdr:rowOff>85725</xdr:rowOff>
    </xdr:from>
    <xdr:to>
      <xdr:col>7</xdr:col>
      <xdr:colOff>76200</xdr:colOff>
      <xdr:row>390</xdr:row>
      <xdr:rowOff>85725</xdr:rowOff>
    </xdr:to>
    <xdr:grpSp>
      <xdr:nvGrpSpPr>
        <xdr:cNvPr id="113" name="Shape 157"/>
        <xdr:cNvGrpSpPr>
          <a:grpSpLocks/>
        </xdr:cNvGrpSpPr>
      </xdr:nvGrpSpPr>
      <xdr:grpSpPr>
        <a:xfrm>
          <a:off x="6696075" y="65503425"/>
          <a:ext cx="314325" cy="647700"/>
          <a:chOff x="-952" y="-2308"/>
          <a:chExt cx="2619" cy="20000"/>
        </a:xfrm>
        <a:solidFill>
          <a:srgbClr val="FFFFFF"/>
        </a:solidFill>
      </xdr:grpSpPr>
      <xdr:sp>
        <xdr:nvSpPr>
          <xdr:cNvPr id="114" name="Shape 158"/>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5" name="Shape 159"/>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6" name="Shape 160"/>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386</xdr:row>
      <xdr:rowOff>95250</xdr:rowOff>
    </xdr:from>
    <xdr:to>
      <xdr:col>6</xdr:col>
      <xdr:colOff>47625</xdr:colOff>
      <xdr:row>390</xdr:row>
      <xdr:rowOff>114300</xdr:rowOff>
    </xdr:to>
    <xdr:grpSp>
      <xdr:nvGrpSpPr>
        <xdr:cNvPr id="117" name="Shape 161"/>
        <xdr:cNvGrpSpPr>
          <a:grpSpLocks/>
        </xdr:cNvGrpSpPr>
      </xdr:nvGrpSpPr>
      <xdr:grpSpPr>
        <a:xfrm>
          <a:off x="5838825" y="65512950"/>
          <a:ext cx="47625" cy="666750"/>
          <a:chOff x="0" y="-1923"/>
          <a:chExt cx="1633" cy="20385"/>
        </a:xfrm>
        <a:solidFill>
          <a:srgbClr val="FFFFFF"/>
        </a:solidFill>
      </xdr:grpSpPr>
      <xdr:sp>
        <xdr:nvSpPr>
          <xdr:cNvPr id="118" name="Shape 162"/>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9" name="Shape 163"/>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0" name="Shape 164"/>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386</xdr:row>
      <xdr:rowOff>66675</xdr:rowOff>
    </xdr:from>
    <xdr:to>
      <xdr:col>9</xdr:col>
      <xdr:colOff>47625</xdr:colOff>
      <xdr:row>390</xdr:row>
      <xdr:rowOff>66675</xdr:rowOff>
    </xdr:to>
    <xdr:grpSp>
      <xdr:nvGrpSpPr>
        <xdr:cNvPr id="121" name="Shape 165"/>
        <xdr:cNvGrpSpPr>
          <a:grpSpLocks/>
        </xdr:cNvGrpSpPr>
      </xdr:nvGrpSpPr>
      <xdr:grpSpPr>
        <a:xfrm>
          <a:off x="8620125" y="65484375"/>
          <a:ext cx="333375" cy="647700"/>
          <a:chOff x="-2553" y="-3077"/>
          <a:chExt cx="4255" cy="20000"/>
        </a:xfrm>
        <a:solidFill>
          <a:srgbClr val="FFFFFF"/>
        </a:solidFill>
      </xdr:grpSpPr>
      <xdr:sp>
        <xdr:nvSpPr>
          <xdr:cNvPr id="122" name="Shape 166"/>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3" name="Shape 167"/>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4" name="Shape 168"/>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386</xdr:row>
      <xdr:rowOff>47625</xdr:rowOff>
    </xdr:from>
    <xdr:to>
      <xdr:col>10</xdr:col>
      <xdr:colOff>228600</xdr:colOff>
      <xdr:row>390</xdr:row>
      <xdr:rowOff>66675</xdr:rowOff>
    </xdr:to>
    <xdr:grpSp>
      <xdr:nvGrpSpPr>
        <xdr:cNvPr id="125" name="Shape 169"/>
        <xdr:cNvGrpSpPr>
          <a:grpSpLocks/>
        </xdr:cNvGrpSpPr>
      </xdr:nvGrpSpPr>
      <xdr:grpSpPr>
        <a:xfrm>
          <a:off x="9906000" y="65465325"/>
          <a:ext cx="95250" cy="666750"/>
          <a:chOff x="-65" y="-3462"/>
          <a:chExt cx="10" cy="20385"/>
        </a:xfrm>
        <a:solidFill>
          <a:srgbClr val="FFFFFF"/>
        </a:solidFill>
      </xdr:grpSpPr>
      <xdr:sp>
        <xdr:nvSpPr>
          <xdr:cNvPr id="126" name="Shape 170"/>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7" name="Shape 171"/>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8" name="Shape 172"/>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386</xdr:row>
      <xdr:rowOff>66675</xdr:rowOff>
    </xdr:from>
    <xdr:to>
      <xdr:col>8</xdr:col>
      <xdr:colOff>219075</xdr:colOff>
      <xdr:row>390</xdr:row>
      <xdr:rowOff>76200</xdr:rowOff>
    </xdr:to>
    <xdr:grpSp>
      <xdr:nvGrpSpPr>
        <xdr:cNvPr id="129" name="Shape 173"/>
        <xdr:cNvGrpSpPr>
          <a:grpSpLocks/>
        </xdr:cNvGrpSpPr>
      </xdr:nvGrpSpPr>
      <xdr:grpSpPr>
        <a:xfrm>
          <a:off x="7991475" y="65484375"/>
          <a:ext cx="47625" cy="657225"/>
          <a:chOff x="-60" y="-3077"/>
          <a:chExt cx="4" cy="20385"/>
        </a:xfrm>
        <a:solidFill>
          <a:srgbClr val="FFFFFF"/>
        </a:solidFill>
      </xdr:grpSpPr>
      <xdr:sp>
        <xdr:nvSpPr>
          <xdr:cNvPr id="130" name="Shape 174"/>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1" name="Shape 175"/>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2" name="Shape 176"/>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790575</xdr:colOff>
      <xdr:row>386</xdr:row>
      <xdr:rowOff>95250</xdr:rowOff>
    </xdr:from>
    <xdr:to>
      <xdr:col>1</xdr:col>
      <xdr:colOff>209550</xdr:colOff>
      <xdr:row>390</xdr:row>
      <xdr:rowOff>85725</xdr:rowOff>
    </xdr:to>
    <xdr:grpSp>
      <xdr:nvGrpSpPr>
        <xdr:cNvPr id="133" name="Shape 177"/>
        <xdr:cNvGrpSpPr>
          <a:grpSpLocks/>
        </xdr:cNvGrpSpPr>
      </xdr:nvGrpSpPr>
      <xdr:grpSpPr>
        <a:xfrm>
          <a:off x="790575" y="65512950"/>
          <a:ext cx="285750" cy="638175"/>
          <a:chOff x="-1639" y="-3077"/>
          <a:chExt cx="3607" cy="20000"/>
        </a:xfrm>
        <a:solidFill>
          <a:srgbClr val="FFFFFF"/>
        </a:solidFill>
      </xdr:grpSpPr>
      <xdr:sp>
        <xdr:nvSpPr>
          <xdr:cNvPr id="134" name="Shape 178"/>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5" name="Shape 179"/>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6" name="Shape 180"/>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161925</xdr:colOff>
      <xdr:row>432</xdr:row>
      <xdr:rowOff>85725</xdr:rowOff>
    </xdr:from>
    <xdr:to>
      <xdr:col>2</xdr:col>
      <xdr:colOff>314325</xdr:colOff>
      <xdr:row>436</xdr:row>
      <xdr:rowOff>95250</xdr:rowOff>
    </xdr:to>
    <xdr:grpSp>
      <xdr:nvGrpSpPr>
        <xdr:cNvPr id="137" name="Shape 181"/>
        <xdr:cNvGrpSpPr>
          <a:grpSpLocks/>
        </xdr:cNvGrpSpPr>
      </xdr:nvGrpSpPr>
      <xdr:grpSpPr>
        <a:xfrm>
          <a:off x="1895475" y="73066275"/>
          <a:ext cx="152400" cy="657225"/>
          <a:chOff x="-63" y="-2308"/>
          <a:chExt cx="13" cy="20385"/>
        </a:xfrm>
        <a:solidFill>
          <a:srgbClr val="FFFFFF"/>
        </a:solidFill>
      </xdr:grpSpPr>
      <xdr:sp>
        <xdr:nvSpPr>
          <xdr:cNvPr id="138" name="Shape 182"/>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9" name="Shape 183"/>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0" name="Shape 184"/>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838200</xdr:colOff>
      <xdr:row>432</xdr:row>
      <xdr:rowOff>85725</xdr:rowOff>
    </xdr:from>
    <xdr:to>
      <xdr:col>2</xdr:col>
      <xdr:colOff>866775</xdr:colOff>
      <xdr:row>436</xdr:row>
      <xdr:rowOff>66675</xdr:rowOff>
    </xdr:to>
    <xdr:grpSp>
      <xdr:nvGrpSpPr>
        <xdr:cNvPr id="141" name="Shape 185"/>
        <xdr:cNvGrpSpPr>
          <a:grpSpLocks/>
        </xdr:cNvGrpSpPr>
      </xdr:nvGrpSpPr>
      <xdr:grpSpPr>
        <a:xfrm>
          <a:off x="2571750" y="73066275"/>
          <a:ext cx="19050" cy="628650"/>
          <a:chOff x="-3200" y="-2308"/>
          <a:chExt cx="4800" cy="19231"/>
        </a:xfrm>
        <a:solidFill>
          <a:srgbClr val="FFFFFF"/>
        </a:solidFill>
      </xdr:grpSpPr>
      <xdr:sp>
        <xdr:nvSpPr>
          <xdr:cNvPr id="142" name="Shape 186"/>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3" name="Shape 187"/>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4" name="Shape 188"/>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857250</xdr:colOff>
      <xdr:row>432</xdr:row>
      <xdr:rowOff>85725</xdr:rowOff>
    </xdr:from>
    <xdr:to>
      <xdr:col>7</xdr:col>
      <xdr:colOff>76200</xdr:colOff>
      <xdr:row>436</xdr:row>
      <xdr:rowOff>85725</xdr:rowOff>
    </xdr:to>
    <xdr:grpSp>
      <xdr:nvGrpSpPr>
        <xdr:cNvPr id="145" name="Shape 189"/>
        <xdr:cNvGrpSpPr>
          <a:grpSpLocks/>
        </xdr:cNvGrpSpPr>
      </xdr:nvGrpSpPr>
      <xdr:grpSpPr>
        <a:xfrm>
          <a:off x="6696075" y="73066275"/>
          <a:ext cx="314325" cy="647700"/>
          <a:chOff x="-952" y="-2308"/>
          <a:chExt cx="2619" cy="20000"/>
        </a:xfrm>
        <a:solidFill>
          <a:srgbClr val="FFFFFF"/>
        </a:solidFill>
      </xdr:grpSpPr>
      <xdr:sp>
        <xdr:nvSpPr>
          <xdr:cNvPr id="146" name="Shape 190"/>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7" name="Shape 191"/>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8" name="Shape 192"/>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432</xdr:row>
      <xdr:rowOff>95250</xdr:rowOff>
    </xdr:from>
    <xdr:to>
      <xdr:col>6</xdr:col>
      <xdr:colOff>47625</xdr:colOff>
      <xdr:row>436</xdr:row>
      <xdr:rowOff>114300</xdr:rowOff>
    </xdr:to>
    <xdr:grpSp>
      <xdr:nvGrpSpPr>
        <xdr:cNvPr id="149" name="Shape 193"/>
        <xdr:cNvGrpSpPr>
          <a:grpSpLocks/>
        </xdr:cNvGrpSpPr>
      </xdr:nvGrpSpPr>
      <xdr:grpSpPr>
        <a:xfrm>
          <a:off x="5838825" y="73075800"/>
          <a:ext cx="47625" cy="666750"/>
          <a:chOff x="0" y="-1923"/>
          <a:chExt cx="1633" cy="20385"/>
        </a:xfrm>
        <a:solidFill>
          <a:srgbClr val="FFFFFF"/>
        </a:solidFill>
      </xdr:grpSpPr>
      <xdr:sp>
        <xdr:nvSpPr>
          <xdr:cNvPr id="150" name="Shape 194"/>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1" name="Shape 195"/>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2" name="Shape 196"/>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432</xdr:row>
      <xdr:rowOff>66675</xdr:rowOff>
    </xdr:from>
    <xdr:to>
      <xdr:col>9</xdr:col>
      <xdr:colOff>47625</xdr:colOff>
      <xdr:row>436</xdr:row>
      <xdr:rowOff>66675</xdr:rowOff>
    </xdr:to>
    <xdr:grpSp>
      <xdr:nvGrpSpPr>
        <xdr:cNvPr id="153" name="Shape 197"/>
        <xdr:cNvGrpSpPr>
          <a:grpSpLocks/>
        </xdr:cNvGrpSpPr>
      </xdr:nvGrpSpPr>
      <xdr:grpSpPr>
        <a:xfrm>
          <a:off x="8620125" y="73047225"/>
          <a:ext cx="333375" cy="647700"/>
          <a:chOff x="-2553" y="-3077"/>
          <a:chExt cx="4255" cy="20000"/>
        </a:xfrm>
        <a:solidFill>
          <a:srgbClr val="FFFFFF"/>
        </a:solidFill>
      </xdr:grpSpPr>
      <xdr:sp>
        <xdr:nvSpPr>
          <xdr:cNvPr id="154" name="Shape 198"/>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5" name="Shape 199"/>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6" name="Shape 200"/>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432</xdr:row>
      <xdr:rowOff>47625</xdr:rowOff>
    </xdr:from>
    <xdr:to>
      <xdr:col>10</xdr:col>
      <xdr:colOff>228600</xdr:colOff>
      <xdr:row>436</xdr:row>
      <xdr:rowOff>66675</xdr:rowOff>
    </xdr:to>
    <xdr:grpSp>
      <xdr:nvGrpSpPr>
        <xdr:cNvPr id="157" name="Shape 201"/>
        <xdr:cNvGrpSpPr>
          <a:grpSpLocks/>
        </xdr:cNvGrpSpPr>
      </xdr:nvGrpSpPr>
      <xdr:grpSpPr>
        <a:xfrm>
          <a:off x="9906000" y="73028175"/>
          <a:ext cx="95250" cy="666750"/>
          <a:chOff x="-65" y="-3462"/>
          <a:chExt cx="10" cy="20385"/>
        </a:xfrm>
        <a:solidFill>
          <a:srgbClr val="FFFFFF"/>
        </a:solidFill>
      </xdr:grpSpPr>
      <xdr:sp>
        <xdr:nvSpPr>
          <xdr:cNvPr id="158" name="Shape 202"/>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9" name="Shape 203"/>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0" name="Shape 204"/>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432</xdr:row>
      <xdr:rowOff>66675</xdr:rowOff>
    </xdr:from>
    <xdr:to>
      <xdr:col>8</xdr:col>
      <xdr:colOff>219075</xdr:colOff>
      <xdr:row>436</xdr:row>
      <xdr:rowOff>76200</xdr:rowOff>
    </xdr:to>
    <xdr:grpSp>
      <xdr:nvGrpSpPr>
        <xdr:cNvPr id="161" name="Shape 205"/>
        <xdr:cNvGrpSpPr>
          <a:grpSpLocks/>
        </xdr:cNvGrpSpPr>
      </xdr:nvGrpSpPr>
      <xdr:grpSpPr>
        <a:xfrm>
          <a:off x="7991475" y="73047225"/>
          <a:ext cx="47625" cy="657225"/>
          <a:chOff x="-60" y="-3077"/>
          <a:chExt cx="4" cy="20385"/>
        </a:xfrm>
        <a:solidFill>
          <a:srgbClr val="FFFFFF"/>
        </a:solidFill>
      </xdr:grpSpPr>
      <xdr:sp>
        <xdr:nvSpPr>
          <xdr:cNvPr id="162" name="Shape 206"/>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3" name="Shape 207"/>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4" name="Shape 208"/>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742950</xdr:colOff>
      <xdr:row>432</xdr:row>
      <xdr:rowOff>85725</xdr:rowOff>
    </xdr:from>
    <xdr:to>
      <xdr:col>1</xdr:col>
      <xdr:colOff>323850</xdr:colOff>
      <xdr:row>436</xdr:row>
      <xdr:rowOff>85725</xdr:rowOff>
    </xdr:to>
    <xdr:grpSp>
      <xdr:nvGrpSpPr>
        <xdr:cNvPr id="165" name="Shape 209"/>
        <xdr:cNvGrpSpPr>
          <a:grpSpLocks/>
        </xdr:cNvGrpSpPr>
      </xdr:nvGrpSpPr>
      <xdr:grpSpPr>
        <a:xfrm>
          <a:off x="742950" y="73066275"/>
          <a:ext cx="447675" cy="647700"/>
          <a:chOff x="-1639" y="-3077"/>
          <a:chExt cx="3607" cy="20000"/>
        </a:xfrm>
        <a:solidFill>
          <a:srgbClr val="FFFFFF"/>
        </a:solidFill>
      </xdr:grpSpPr>
      <xdr:sp>
        <xdr:nvSpPr>
          <xdr:cNvPr id="166" name="Shape 210"/>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7" name="Shape 211"/>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8" name="Shape 212"/>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432</xdr:row>
      <xdr:rowOff>66675</xdr:rowOff>
    </xdr:from>
    <xdr:to>
      <xdr:col>9</xdr:col>
      <xdr:colOff>47625</xdr:colOff>
      <xdr:row>436</xdr:row>
      <xdr:rowOff>66675</xdr:rowOff>
    </xdr:to>
    <xdr:grpSp>
      <xdr:nvGrpSpPr>
        <xdr:cNvPr id="169" name="Shape 213"/>
        <xdr:cNvGrpSpPr>
          <a:grpSpLocks/>
        </xdr:cNvGrpSpPr>
      </xdr:nvGrpSpPr>
      <xdr:grpSpPr>
        <a:xfrm>
          <a:off x="8620125" y="73047225"/>
          <a:ext cx="333375" cy="647700"/>
          <a:chOff x="-2553" y="-3077"/>
          <a:chExt cx="4255" cy="20000"/>
        </a:xfrm>
        <a:solidFill>
          <a:srgbClr val="FFFFFF"/>
        </a:solidFill>
      </xdr:grpSpPr>
      <xdr:sp>
        <xdr:nvSpPr>
          <xdr:cNvPr id="170" name="Shape 214"/>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1" name="Shape 215"/>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2" name="Shape 216"/>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161925</xdr:colOff>
      <xdr:row>448</xdr:row>
      <xdr:rowOff>85725</xdr:rowOff>
    </xdr:from>
    <xdr:to>
      <xdr:col>2</xdr:col>
      <xdr:colOff>314325</xdr:colOff>
      <xdr:row>452</xdr:row>
      <xdr:rowOff>95250</xdr:rowOff>
    </xdr:to>
    <xdr:grpSp>
      <xdr:nvGrpSpPr>
        <xdr:cNvPr id="173" name="Shape 217"/>
        <xdr:cNvGrpSpPr>
          <a:grpSpLocks/>
        </xdr:cNvGrpSpPr>
      </xdr:nvGrpSpPr>
      <xdr:grpSpPr>
        <a:xfrm>
          <a:off x="1895475" y="75704700"/>
          <a:ext cx="152400" cy="657225"/>
          <a:chOff x="-63" y="-2308"/>
          <a:chExt cx="13" cy="20385"/>
        </a:xfrm>
        <a:solidFill>
          <a:srgbClr val="FFFFFF"/>
        </a:solidFill>
      </xdr:grpSpPr>
      <xdr:sp>
        <xdr:nvSpPr>
          <xdr:cNvPr id="174" name="Shape 218"/>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5" name="Shape 219"/>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6" name="Shape 220"/>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838200</xdr:colOff>
      <xdr:row>448</xdr:row>
      <xdr:rowOff>85725</xdr:rowOff>
    </xdr:from>
    <xdr:to>
      <xdr:col>2</xdr:col>
      <xdr:colOff>866775</xdr:colOff>
      <xdr:row>452</xdr:row>
      <xdr:rowOff>66675</xdr:rowOff>
    </xdr:to>
    <xdr:grpSp>
      <xdr:nvGrpSpPr>
        <xdr:cNvPr id="177" name="Shape 221"/>
        <xdr:cNvGrpSpPr>
          <a:grpSpLocks/>
        </xdr:cNvGrpSpPr>
      </xdr:nvGrpSpPr>
      <xdr:grpSpPr>
        <a:xfrm>
          <a:off x="2571750" y="75704700"/>
          <a:ext cx="19050" cy="628650"/>
          <a:chOff x="-3200" y="-2308"/>
          <a:chExt cx="4800" cy="19231"/>
        </a:xfrm>
        <a:solidFill>
          <a:srgbClr val="FFFFFF"/>
        </a:solidFill>
      </xdr:grpSpPr>
      <xdr:sp>
        <xdr:nvSpPr>
          <xdr:cNvPr id="178" name="Shape 222"/>
          <xdr:cNvSpPr>
            <a:spLocks/>
          </xdr:cNvSpPr>
        </xdr:nvSpPr>
        <xdr:spPr>
          <a:xfrm>
            <a:off x="-3200"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9" name="Shape 223"/>
          <xdr:cNvSpPr>
            <a:spLocks/>
          </xdr:cNvSpPr>
        </xdr:nvSpPr>
        <xdr:spPr>
          <a:xfrm>
            <a:off x="-3200" y="-1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0" name="Shape 224"/>
          <xdr:cNvSpPr>
            <a:spLocks/>
          </xdr:cNvSpPr>
        </xdr:nvSpPr>
        <xdr:spPr>
          <a:xfrm>
            <a:off x="-3200" y="16923"/>
            <a:ext cx="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857250</xdr:colOff>
      <xdr:row>448</xdr:row>
      <xdr:rowOff>85725</xdr:rowOff>
    </xdr:from>
    <xdr:to>
      <xdr:col>7</xdr:col>
      <xdr:colOff>76200</xdr:colOff>
      <xdr:row>452</xdr:row>
      <xdr:rowOff>85725</xdr:rowOff>
    </xdr:to>
    <xdr:grpSp>
      <xdr:nvGrpSpPr>
        <xdr:cNvPr id="181" name="Shape 225"/>
        <xdr:cNvGrpSpPr>
          <a:grpSpLocks/>
        </xdr:cNvGrpSpPr>
      </xdr:nvGrpSpPr>
      <xdr:grpSpPr>
        <a:xfrm>
          <a:off x="6696075" y="75704700"/>
          <a:ext cx="314325" cy="647700"/>
          <a:chOff x="-952" y="-2308"/>
          <a:chExt cx="2619" cy="20000"/>
        </a:xfrm>
        <a:solidFill>
          <a:srgbClr val="FFFFFF"/>
        </a:solidFill>
      </xdr:grpSpPr>
      <xdr:sp>
        <xdr:nvSpPr>
          <xdr:cNvPr id="182" name="Shape 226"/>
          <xdr:cNvSpPr>
            <a:spLocks/>
          </xdr:cNvSpPr>
        </xdr:nvSpPr>
        <xdr:spPr>
          <a:xfrm>
            <a:off x="-952"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3" name="Shape 227"/>
          <xdr:cNvSpPr>
            <a:spLocks/>
          </xdr:cNvSpPr>
        </xdr:nvSpPr>
        <xdr:spPr>
          <a:xfrm>
            <a:off x="-952" y="-1923"/>
            <a:ext cx="190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4" name="Shape 228"/>
          <xdr:cNvSpPr>
            <a:spLocks/>
          </xdr:cNvSpPr>
        </xdr:nvSpPr>
        <xdr:spPr>
          <a:xfrm>
            <a:off x="-952" y="17692"/>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448</xdr:row>
      <xdr:rowOff>95250</xdr:rowOff>
    </xdr:from>
    <xdr:to>
      <xdr:col>6</xdr:col>
      <xdr:colOff>47625</xdr:colOff>
      <xdr:row>452</xdr:row>
      <xdr:rowOff>114300</xdr:rowOff>
    </xdr:to>
    <xdr:grpSp>
      <xdr:nvGrpSpPr>
        <xdr:cNvPr id="185" name="Shape 229"/>
        <xdr:cNvGrpSpPr>
          <a:grpSpLocks/>
        </xdr:cNvGrpSpPr>
      </xdr:nvGrpSpPr>
      <xdr:grpSpPr>
        <a:xfrm>
          <a:off x="5838825" y="75714225"/>
          <a:ext cx="47625" cy="666750"/>
          <a:chOff x="0" y="-1923"/>
          <a:chExt cx="1633" cy="20385"/>
        </a:xfrm>
        <a:solidFill>
          <a:srgbClr val="FFFFFF"/>
        </a:solidFill>
      </xdr:grpSpPr>
      <xdr:sp>
        <xdr:nvSpPr>
          <xdr:cNvPr id="186" name="Shape 230"/>
          <xdr:cNvSpPr>
            <a:spLocks/>
          </xdr:cNvSpPr>
        </xdr:nvSpPr>
        <xdr:spPr>
          <a:xfrm>
            <a:off x="1633"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7" name="Shape 231"/>
          <xdr:cNvSpPr>
            <a:spLocks/>
          </xdr:cNvSpPr>
        </xdr:nvSpPr>
        <xdr:spPr>
          <a:xfrm flipH="1">
            <a:off x="0" y="-192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8" name="Shape 232"/>
          <xdr:cNvSpPr>
            <a:spLocks/>
          </xdr:cNvSpPr>
        </xdr:nvSpPr>
        <xdr:spPr>
          <a:xfrm flipH="1">
            <a:off x="0" y="18462"/>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448</xdr:row>
      <xdr:rowOff>66675</xdr:rowOff>
    </xdr:from>
    <xdr:to>
      <xdr:col>9</xdr:col>
      <xdr:colOff>47625</xdr:colOff>
      <xdr:row>452</xdr:row>
      <xdr:rowOff>66675</xdr:rowOff>
    </xdr:to>
    <xdr:grpSp>
      <xdr:nvGrpSpPr>
        <xdr:cNvPr id="189" name="Shape 233"/>
        <xdr:cNvGrpSpPr>
          <a:grpSpLocks/>
        </xdr:cNvGrpSpPr>
      </xdr:nvGrpSpPr>
      <xdr:grpSpPr>
        <a:xfrm>
          <a:off x="8620125" y="75685650"/>
          <a:ext cx="333375" cy="647700"/>
          <a:chOff x="-2553" y="-3077"/>
          <a:chExt cx="4255" cy="20000"/>
        </a:xfrm>
        <a:solidFill>
          <a:srgbClr val="FFFFFF"/>
        </a:solidFill>
      </xdr:grpSpPr>
      <xdr:sp>
        <xdr:nvSpPr>
          <xdr:cNvPr id="190" name="Shape 234"/>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1" name="Shape 235"/>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2" name="Shape 236"/>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133350</xdr:colOff>
      <xdr:row>448</xdr:row>
      <xdr:rowOff>47625</xdr:rowOff>
    </xdr:from>
    <xdr:to>
      <xdr:col>10</xdr:col>
      <xdr:colOff>228600</xdr:colOff>
      <xdr:row>452</xdr:row>
      <xdr:rowOff>66675</xdr:rowOff>
    </xdr:to>
    <xdr:grpSp>
      <xdr:nvGrpSpPr>
        <xdr:cNvPr id="193" name="Shape 237"/>
        <xdr:cNvGrpSpPr>
          <a:grpSpLocks/>
        </xdr:cNvGrpSpPr>
      </xdr:nvGrpSpPr>
      <xdr:grpSpPr>
        <a:xfrm>
          <a:off x="9906000" y="75666600"/>
          <a:ext cx="95250" cy="666750"/>
          <a:chOff x="-65" y="-3462"/>
          <a:chExt cx="10" cy="20385"/>
        </a:xfrm>
        <a:solidFill>
          <a:srgbClr val="FFFFFF"/>
        </a:solidFill>
      </xdr:grpSpPr>
      <xdr:sp>
        <xdr:nvSpPr>
          <xdr:cNvPr id="194" name="Shape 238"/>
          <xdr:cNvSpPr>
            <a:spLocks/>
          </xdr:cNvSpPr>
        </xdr:nvSpPr>
        <xdr:spPr>
          <a:xfrm>
            <a:off x="-55" y="-3462"/>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5" name="Shape 239"/>
          <xdr:cNvSpPr>
            <a:spLocks/>
          </xdr:cNvSpPr>
        </xdr:nvSpPr>
        <xdr:spPr>
          <a:xfrm flipH="1">
            <a:off x="-65" y="-3462"/>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6" name="Shape 240"/>
          <xdr:cNvSpPr>
            <a:spLocks/>
          </xdr:cNvSpPr>
        </xdr:nvSpPr>
        <xdr:spPr>
          <a:xfrm flipH="1">
            <a:off x="-65" y="169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171450</xdr:colOff>
      <xdr:row>448</xdr:row>
      <xdr:rowOff>66675</xdr:rowOff>
    </xdr:from>
    <xdr:to>
      <xdr:col>8</xdr:col>
      <xdr:colOff>219075</xdr:colOff>
      <xdr:row>452</xdr:row>
      <xdr:rowOff>76200</xdr:rowOff>
    </xdr:to>
    <xdr:grpSp>
      <xdr:nvGrpSpPr>
        <xdr:cNvPr id="197" name="Shape 241"/>
        <xdr:cNvGrpSpPr>
          <a:grpSpLocks/>
        </xdr:cNvGrpSpPr>
      </xdr:nvGrpSpPr>
      <xdr:grpSpPr>
        <a:xfrm>
          <a:off x="7991475" y="75685650"/>
          <a:ext cx="47625" cy="657225"/>
          <a:chOff x="-60" y="-3077"/>
          <a:chExt cx="4" cy="20385"/>
        </a:xfrm>
        <a:solidFill>
          <a:srgbClr val="FFFFFF"/>
        </a:solidFill>
      </xdr:grpSpPr>
      <xdr:sp>
        <xdr:nvSpPr>
          <xdr:cNvPr id="198" name="Shape 242"/>
          <xdr:cNvSpPr>
            <a:spLocks/>
          </xdr:cNvSpPr>
        </xdr:nvSpPr>
        <xdr:spPr>
          <a:xfrm>
            <a:off x="-56"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9" name="Shape 243"/>
          <xdr:cNvSpPr>
            <a:spLocks/>
          </xdr:cNvSpPr>
        </xdr:nvSpPr>
        <xdr:spPr>
          <a:xfrm flipH="1">
            <a:off x="-60"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0" name="Shape 244"/>
          <xdr:cNvSpPr>
            <a:spLocks/>
          </xdr:cNvSpPr>
        </xdr:nvSpPr>
        <xdr:spPr>
          <a:xfrm flipH="1">
            <a:off x="-60"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742950</xdr:colOff>
      <xdr:row>448</xdr:row>
      <xdr:rowOff>85725</xdr:rowOff>
    </xdr:from>
    <xdr:to>
      <xdr:col>1</xdr:col>
      <xdr:colOff>323850</xdr:colOff>
      <xdr:row>452</xdr:row>
      <xdr:rowOff>85725</xdr:rowOff>
    </xdr:to>
    <xdr:grpSp>
      <xdr:nvGrpSpPr>
        <xdr:cNvPr id="201" name="Shape 245"/>
        <xdr:cNvGrpSpPr>
          <a:grpSpLocks/>
        </xdr:cNvGrpSpPr>
      </xdr:nvGrpSpPr>
      <xdr:grpSpPr>
        <a:xfrm>
          <a:off x="742950" y="75704700"/>
          <a:ext cx="447675" cy="647700"/>
          <a:chOff x="-1639" y="-3077"/>
          <a:chExt cx="3607" cy="20000"/>
        </a:xfrm>
        <a:solidFill>
          <a:srgbClr val="FFFFFF"/>
        </a:solidFill>
      </xdr:grpSpPr>
      <xdr:sp>
        <xdr:nvSpPr>
          <xdr:cNvPr id="202" name="Shape 246"/>
          <xdr:cNvSpPr>
            <a:spLocks/>
          </xdr:cNvSpPr>
        </xdr:nvSpPr>
        <xdr:spPr>
          <a:xfrm>
            <a:off x="-1639"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3" name="Shape 247"/>
          <xdr:cNvSpPr>
            <a:spLocks/>
          </xdr:cNvSpPr>
        </xdr:nvSpPr>
        <xdr:spPr>
          <a:xfrm>
            <a:off x="-1639" y="-2692"/>
            <a:ext cx="26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4" name="Shape 248"/>
          <xdr:cNvSpPr>
            <a:spLocks/>
          </xdr:cNvSpPr>
        </xdr:nvSpPr>
        <xdr:spPr>
          <a:xfrm>
            <a:off x="-1639" y="16923"/>
            <a:ext cx="360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448</xdr:row>
      <xdr:rowOff>66675</xdr:rowOff>
    </xdr:from>
    <xdr:to>
      <xdr:col>9</xdr:col>
      <xdr:colOff>47625</xdr:colOff>
      <xdr:row>452</xdr:row>
      <xdr:rowOff>66675</xdr:rowOff>
    </xdr:to>
    <xdr:grpSp>
      <xdr:nvGrpSpPr>
        <xdr:cNvPr id="205" name="Shape 249"/>
        <xdr:cNvGrpSpPr>
          <a:grpSpLocks/>
        </xdr:cNvGrpSpPr>
      </xdr:nvGrpSpPr>
      <xdr:grpSpPr>
        <a:xfrm>
          <a:off x="8620125" y="75685650"/>
          <a:ext cx="333375" cy="647700"/>
          <a:chOff x="-2553" y="-3077"/>
          <a:chExt cx="4255" cy="20000"/>
        </a:xfrm>
        <a:solidFill>
          <a:srgbClr val="FFFFFF"/>
        </a:solidFill>
      </xdr:grpSpPr>
      <xdr:sp>
        <xdr:nvSpPr>
          <xdr:cNvPr id="206" name="Shape 250"/>
          <xdr:cNvSpPr>
            <a:spLocks/>
          </xdr:cNvSpPr>
        </xdr:nvSpPr>
        <xdr:spPr>
          <a:xfrm>
            <a:off x="-255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7" name="Shape 251"/>
          <xdr:cNvSpPr>
            <a:spLocks/>
          </xdr:cNvSpPr>
        </xdr:nvSpPr>
        <xdr:spPr>
          <a:xfrm>
            <a:off x="-2553" y="-2692"/>
            <a:ext cx="340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8" name="Shape 252"/>
          <xdr:cNvSpPr>
            <a:spLocks/>
          </xdr:cNvSpPr>
        </xdr:nvSpPr>
        <xdr:spPr>
          <a:xfrm>
            <a:off x="-2553" y="16923"/>
            <a:ext cx="42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9525</xdr:colOff>
      <xdr:row>24</xdr:row>
      <xdr:rowOff>28575</xdr:rowOff>
    </xdr:from>
    <xdr:to>
      <xdr:col>10</xdr:col>
      <xdr:colOff>9525</xdr:colOff>
      <xdr:row>62</xdr:row>
      <xdr:rowOff>85725</xdr:rowOff>
    </xdr:to>
    <xdr:grpSp>
      <xdr:nvGrpSpPr>
        <xdr:cNvPr id="209" name="Group 39"/>
        <xdr:cNvGrpSpPr>
          <a:grpSpLocks/>
        </xdr:cNvGrpSpPr>
      </xdr:nvGrpSpPr>
      <xdr:grpSpPr>
        <a:xfrm>
          <a:off x="1743075" y="4857750"/>
          <a:ext cx="8039100" cy="6343650"/>
          <a:chOff x="161" y="510"/>
          <a:chExt cx="730" cy="666"/>
        </a:xfrm>
        <a:solidFill>
          <a:srgbClr val="FFFFFF"/>
        </a:solidFill>
      </xdr:grpSpPr>
      <xdr:grpSp>
        <xdr:nvGrpSpPr>
          <xdr:cNvPr id="210" name="Shape 15"/>
          <xdr:cNvGrpSpPr>
            <a:grpSpLocks/>
          </xdr:cNvGrpSpPr>
        </xdr:nvGrpSpPr>
        <xdr:grpSpPr>
          <a:xfrm>
            <a:off x="676" y="524"/>
            <a:ext cx="214" cy="218"/>
            <a:chOff x="-4444" y="0"/>
            <a:chExt cx="22963" cy="9939"/>
          </a:xfrm>
          <a:solidFill>
            <a:srgbClr val="FFFFFF"/>
          </a:solidFill>
        </xdr:grpSpPr>
        <xdr:sp>
          <xdr:nvSpPr>
            <xdr:cNvPr id="211" name="Shape 16"/>
            <xdr:cNvSpPr>
              <a:spLocks/>
            </xdr:cNvSpPr>
          </xdr:nvSpPr>
          <xdr:spPr>
            <a:xfrm>
              <a:off x="4936" y="0"/>
              <a:ext cx="6912" cy="2363"/>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2" name="Shape 17"/>
            <xdr:cNvSpPr>
              <a:spLocks/>
            </xdr:cNvSpPr>
          </xdr:nvSpPr>
          <xdr:spPr>
            <a:xfrm flipH="1">
              <a:off x="-4444" y="0"/>
              <a:ext cx="9013"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13" name="Shape 18"/>
            <xdr:cNvSpPr>
              <a:spLocks/>
            </xdr:cNvSpPr>
          </xdr:nvSpPr>
          <xdr:spPr>
            <a:xfrm>
              <a:off x="11854" y="2182"/>
              <a:ext cx="0" cy="624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4" name="Shape 19"/>
            <xdr:cNvSpPr>
              <a:spLocks/>
            </xdr:cNvSpPr>
          </xdr:nvSpPr>
          <xdr:spPr>
            <a:xfrm flipH="1" flipV="1">
              <a:off x="11854" y="8242"/>
              <a:ext cx="6665" cy="1697"/>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215" name="Shape 20"/>
          <xdr:cNvGrpSpPr>
            <a:grpSpLocks/>
          </xdr:cNvGrpSpPr>
        </xdr:nvGrpSpPr>
        <xdr:grpSpPr>
          <a:xfrm>
            <a:off x="677" y="742"/>
            <a:ext cx="214" cy="221"/>
            <a:chOff x="-4321" y="9939"/>
            <a:chExt cx="22963" cy="10061"/>
          </a:xfrm>
          <a:solidFill>
            <a:srgbClr val="FFFFFF"/>
          </a:solidFill>
        </xdr:grpSpPr>
        <xdr:sp>
          <xdr:nvSpPr>
            <xdr:cNvPr id="216" name="Shape 21"/>
            <xdr:cNvSpPr>
              <a:spLocks/>
            </xdr:cNvSpPr>
          </xdr:nvSpPr>
          <xdr:spPr>
            <a:xfrm flipV="1">
              <a:off x="5059" y="17696"/>
              <a:ext cx="6912" cy="2304"/>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7" name="Shape 22"/>
            <xdr:cNvSpPr>
              <a:spLocks/>
            </xdr:cNvSpPr>
          </xdr:nvSpPr>
          <xdr:spPr>
            <a:xfrm flipH="1">
              <a:off x="-4321" y="20000"/>
              <a:ext cx="9013"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18" name="Shape 23"/>
            <xdr:cNvSpPr>
              <a:spLocks/>
            </xdr:cNvSpPr>
          </xdr:nvSpPr>
          <xdr:spPr>
            <a:xfrm flipV="1">
              <a:off x="11977" y="11576"/>
              <a:ext cx="0" cy="630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9" name="Shape 24"/>
            <xdr:cNvSpPr>
              <a:spLocks/>
            </xdr:cNvSpPr>
          </xdr:nvSpPr>
          <xdr:spPr>
            <a:xfrm flipH="1">
              <a:off x="11977" y="9939"/>
              <a:ext cx="6665" cy="175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220" name="Shape 26"/>
          <xdr:cNvGrpSpPr>
            <a:grpSpLocks/>
          </xdr:cNvGrpSpPr>
        </xdr:nvGrpSpPr>
        <xdr:grpSpPr>
          <a:xfrm>
            <a:off x="179" y="1019"/>
            <a:ext cx="239" cy="154"/>
            <a:chOff x="-2742" y="-1538"/>
            <a:chExt cx="10071" cy="20171"/>
          </a:xfrm>
          <a:solidFill>
            <a:srgbClr val="FFFFFF"/>
          </a:solidFill>
        </xdr:grpSpPr>
        <xdr:sp>
          <xdr:nvSpPr>
            <xdr:cNvPr id="221" name="Shape 27"/>
            <xdr:cNvSpPr>
              <a:spLocks/>
            </xdr:cNvSpPr>
          </xdr:nvSpPr>
          <xdr:spPr>
            <a:xfrm flipH="1" flipV="1">
              <a:off x="-2742" y="3933"/>
              <a:ext cx="3167" cy="9571"/>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2" name="Shape 28"/>
            <xdr:cNvSpPr>
              <a:spLocks/>
            </xdr:cNvSpPr>
          </xdr:nvSpPr>
          <xdr:spPr>
            <a:xfrm flipV="1">
              <a:off x="-2742" y="-1538"/>
              <a:ext cx="0" cy="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23" name="Shape 29"/>
            <xdr:cNvSpPr>
              <a:spLocks/>
            </xdr:cNvSpPr>
          </xdr:nvSpPr>
          <xdr:spPr>
            <a:xfrm>
              <a:off x="425" y="13505"/>
              <a:ext cx="472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4" name="Shape 30"/>
            <xdr:cNvSpPr>
              <a:spLocks/>
            </xdr:cNvSpPr>
          </xdr:nvSpPr>
          <xdr:spPr>
            <a:xfrm>
              <a:off x="5058" y="13505"/>
              <a:ext cx="2271" cy="512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225" name="Shape 31"/>
          <xdr:cNvGrpSpPr>
            <a:grpSpLocks/>
          </xdr:cNvGrpSpPr>
        </xdr:nvGrpSpPr>
        <xdr:grpSpPr>
          <a:xfrm>
            <a:off x="419" y="1020"/>
            <a:ext cx="234" cy="156"/>
            <a:chOff x="7376" y="-1367"/>
            <a:chExt cx="9834" cy="20341"/>
          </a:xfrm>
          <a:solidFill>
            <a:srgbClr val="FFFFFF"/>
          </a:solidFill>
        </xdr:grpSpPr>
        <xdr:sp>
          <xdr:nvSpPr>
            <xdr:cNvPr id="226" name="Shape 32"/>
            <xdr:cNvSpPr>
              <a:spLocks/>
            </xdr:cNvSpPr>
          </xdr:nvSpPr>
          <xdr:spPr>
            <a:xfrm flipV="1">
              <a:off x="14043" y="4105"/>
              <a:ext cx="3167" cy="957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7" name="Shape 33"/>
            <xdr:cNvSpPr>
              <a:spLocks/>
            </xdr:cNvSpPr>
          </xdr:nvSpPr>
          <xdr:spPr>
            <a:xfrm flipV="1">
              <a:off x="17210" y="-1367"/>
              <a:ext cx="0" cy="5126"/>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28" name="Shape 34"/>
            <xdr:cNvSpPr>
              <a:spLocks/>
            </xdr:cNvSpPr>
          </xdr:nvSpPr>
          <xdr:spPr>
            <a:xfrm flipH="1">
              <a:off x="9409" y="13675"/>
              <a:ext cx="46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9" name="Shape 35"/>
            <xdr:cNvSpPr>
              <a:spLocks/>
            </xdr:cNvSpPr>
          </xdr:nvSpPr>
          <xdr:spPr>
            <a:xfrm flipH="1">
              <a:off x="7376" y="13675"/>
              <a:ext cx="2129" cy="529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30" name="Shape 2"/>
          <xdr:cNvSpPr>
            <a:spLocks/>
          </xdr:cNvSpPr>
        </xdr:nvSpPr>
        <xdr:spPr>
          <a:xfrm>
            <a:off x="188" y="519"/>
            <a:ext cx="460" cy="44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1" name="Shape 3"/>
          <xdr:cNvSpPr>
            <a:spLocks/>
          </xdr:cNvSpPr>
        </xdr:nvSpPr>
        <xdr:spPr>
          <a:xfrm>
            <a:off x="418" y="510"/>
            <a:ext cx="0" cy="460"/>
          </a:xfrm>
          <a:prstGeom prst="line">
            <a:avLst/>
          </a:prstGeom>
          <a:solidFill>
            <a:srgbClr val="FFFFFF"/>
          </a:solid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2" name="Shape 4"/>
          <xdr:cNvSpPr>
            <a:spLocks/>
          </xdr:cNvSpPr>
        </xdr:nvSpPr>
        <xdr:spPr>
          <a:xfrm>
            <a:off x="161" y="739"/>
            <a:ext cx="522" cy="0"/>
          </a:xfrm>
          <a:prstGeom prst="line">
            <a:avLst/>
          </a:prstGeom>
          <a:solidFill>
            <a:srgbClr val="FFFFFF"/>
          </a:solid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3" name="Shape 5"/>
          <xdr:cNvSpPr>
            <a:spLocks/>
          </xdr:cNvSpPr>
        </xdr:nvSpPr>
        <xdr:spPr>
          <a:xfrm>
            <a:off x="412" y="731"/>
            <a:ext cx="16" cy="19"/>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4" name="Shape 6"/>
          <xdr:cNvSpPr>
            <a:spLocks/>
          </xdr:cNvSpPr>
        </xdr:nvSpPr>
        <xdr:spPr>
          <a:xfrm>
            <a:off x="182" y="511"/>
            <a:ext cx="14" cy="1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5" name="Shape 7"/>
          <xdr:cNvSpPr>
            <a:spLocks/>
          </xdr:cNvSpPr>
        </xdr:nvSpPr>
        <xdr:spPr>
          <a:xfrm>
            <a:off x="412" y="510"/>
            <a:ext cx="16" cy="1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6" name="Shape 8"/>
          <xdr:cNvSpPr>
            <a:spLocks/>
          </xdr:cNvSpPr>
        </xdr:nvSpPr>
        <xdr:spPr>
          <a:xfrm>
            <a:off x="640" y="511"/>
            <a:ext cx="13" cy="1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7" name="Shape 9"/>
          <xdr:cNvSpPr>
            <a:spLocks/>
          </xdr:cNvSpPr>
        </xdr:nvSpPr>
        <xdr:spPr>
          <a:xfrm>
            <a:off x="182" y="731"/>
            <a:ext cx="14" cy="19"/>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8" name="Shape 10"/>
          <xdr:cNvSpPr>
            <a:spLocks/>
          </xdr:cNvSpPr>
        </xdr:nvSpPr>
        <xdr:spPr>
          <a:xfrm>
            <a:off x="641" y="731"/>
            <a:ext cx="15" cy="19"/>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9" name="Shape 11"/>
          <xdr:cNvSpPr>
            <a:spLocks/>
          </xdr:cNvSpPr>
        </xdr:nvSpPr>
        <xdr:spPr>
          <a:xfrm>
            <a:off x="182" y="951"/>
            <a:ext cx="14" cy="16"/>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0" name="Shape 12"/>
          <xdr:cNvSpPr>
            <a:spLocks/>
          </xdr:cNvSpPr>
        </xdr:nvSpPr>
        <xdr:spPr>
          <a:xfrm>
            <a:off x="412" y="951"/>
            <a:ext cx="16" cy="16"/>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1" name="Shape 13"/>
          <xdr:cNvSpPr>
            <a:spLocks/>
          </xdr:cNvSpPr>
        </xdr:nvSpPr>
        <xdr:spPr>
          <a:xfrm>
            <a:off x="641" y="949"/>
            <a:ext cx="15" cy="1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2" name="Shape 36"/>
          <xdr:cNvSpPr>
            <a:spLocks/>
          </xdr:cNvSpPr>
        </xdr:nvSpPr>
        <xdr:spPr>
          <a:xfrm>
            <a:off x="445" y="731"/>
            <a:ext cx="14" cy="17"/>
          </a:xfrm>
          <a:prstGeom prst="ellipse">
            <a:avLst/>
          </a:prstGeom>
          <a:solidFill>
            <a:srgbClr val="FF00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3" name="Shape 37"/>
          <xdr:cNvSpPr>
            <a:spLocks/>
          </xdr:cNvSpPr>
        </xdr:nvSpPr>
        <xdr:spPr>
          <a:xfrm>
            <a:off x="379" y="730"/>
            <a:ext cx="14" cy="16"/>
          </a:xfrm>
          <a:prstGeom prst="ellipse">
            <a:avLst/>
          </a:prstGeom>
          <a:solidFill>
            <a:srgbClr val="FF00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4" name="Shape 38"/>
          <xdr:cNvSpPr>
            <a:spLocks/>
          </xdr:cNvSpPr>
        </xdr:nvSpPr>
        <xdr:spPr>
          <a:xfrm>
            <a:off x="411" y="771"/>
            <a:ext cx="15" cy="18"/>
          </a:xfrm>
          <a:prstGeom prst="ellipse">
            <a:avLst/>
          </a:prstGeom>
          <a:solidFill>
            <a:srgbClr val="FF00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5" name="Shape 39"/>
          <xdr:cNvSpPr>
            <a:spLocks/>
          </xdr:cNvSpPr>
        </xdr:nvSpPr>
        <xdr:spPr>
          <a:xfrm>
            <a:off x="411" y="687"/>
            <a:ext cx="15" cy="18"/>
          </a:xfrm>
          <a:prstGeom prst="ellipse">
            <a:avLst/>
          </a:prstGeom>
          <a:solidFill>
            <a:srgbClr val="FF00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6" name="Shape 40"/>
          <xdr:cNvSpPr>
            <a:spLocks/>
          </xdr:cNvSpPr>
        </xdr:nvSpPr>
        <xdr:spPr>
          <a:xfrm>
            <a:off x="386" y="696"/>
            <a:ext cx="66" cy="8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7" name="AutoShape 2"/>
          <xdr:cNvSpPr>
            <a:spLocks/>
          </xdr:cNvSpPr>
        </xdr:nvSpPr>
        <xdr:spPr>
          <a:xfrm>
            <a:off x="236" y="559"/>
            <a:ext cx="138" cy="21"/>
          </a:xfrm>
          <a:prstGeom prst="wedgeRectCallout">
            <a:avLst>
              <a:gd name="adj1" fmla="val 59421"/>
              <a:gd name="adj2" fmla="val 612500"/>
            </a:avLst>
          </a:prstGeom>
          <a:solidFill>
            <a:srgbClr val="FCF305"/>
          </a:solidFill>
          <a:ln w="15875" cmpd="sng">
            <a:solidFill>
              <a:srgbClr val="000000"/>
            </a:solidFill>
            <a:headEnd type="none"/>
            <a:tailEnd type="none"/>
          </a:ln>
        </xdr:spPr>
        <xdr:txBody>
          <a:bodyPr vertOverflow="clip" wrap="square"/>
          <a:p>
            <a:pPr algn="l">
              <a:defRPr/>
            </a:pPr>
            <a:r>
              <a:rPr lang="en-US" cap="none" sz="1000" b="1" i="0" u="none" baseline="0">
                <a:latin typeface="Geneva"/>
                <a:ea typeface="Geneva"/>
                <a:cs typeface="Geneva"/>
              </a:rPr>
              <a:t>Central Image Pixel</a:t>
            </a:r>
          </a:p>
        </xdr:txBody>
      </xdr:sp>
    </xdr:grpSp>
    <xdr:clientData/>
  </xdr:twoCellAnchor>
  <xdr:twoCellAnchor>
    <xdr:from>
      <xdr:col>2</xdr:col>
      <xdr:colOff>238125</xdr:colOff>
      <xdr:row>590</xdr:row>
      <xdr:rowOff>28575</xdr:rowOff>
    </xdr:from>
    <xdr:to>
      <xdr:col>5</xdr:col>
      <xdr:colOff>914400</xdr:colOff>
      <xdr:row>608</xdr:row>
      <xdr:rowOff>114300</xdr:rowOff>
    </xdr:to>
    <xdr:grpSp>
      <xdr:nvGrpSpPr>
        <xdr:cNvPr id="248" name="Group 37"/>
        <xdr:cNvGrpSpPr>
          <a:grpSpLocks/>
        </xdr:cNvGrpSpPr>
      </xdr:nvGrpSpPr>
      <xdr:grpSpPr>
        <a:xfrm>
          <a:off x="1971675" y="99450525"/>
          <a:ext cx="3638550" cy="3038475"/>
          <a:chOff x="171" y="8012"/>
          <a:chExt cx="321" cy="244"/>
        </a:xfrm>
        <a:solidFill>
          <a:srgbClr val="FFFFFF"/>
        </a:solidFill>
      </xdr:grpSpPr>
      <xdr:grpSp>
        <xdr:nvGrpSpPr>
          <xdr:cNvPr id="249" name="Group 27"/>
          <xdr:cNvGrpSpPr>
            <a:grpSpLocks/>
          </xdr:cNvGrpSpPr>
        </xdr:nvGrpSpPr>
        <xdr:grpSpPr>
          <a:xfrm>
            <a:off x="171" y="8012"/>
            <a:ext cx="321" cy="244"/>
            <a:chOff x="225" y="8013"/>
            <a:chExt cx="389" cy="244"/>
          </a:xfrm>
          <a:solidFill>
            <a:srgbClr val="FFFFFF"/>
          </a:solidFill>
        </xdr:grpSpPr>
        <xdr:sp>
          <xdr:nvSpPr>
            <xdr:cNvPr id="250" name="Rectangle 15"/>
            <xdr:cNvSpPr>
              <a:spLocks/>
            </xdr:cNvSpPr>
          </xdr:nvSpPr>
          <xdr:spPr>
            <a:xfrm>
              <a:off x="237" y="8022"/>
              <a:ext cx="340" cy="225"/>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1" name="Line 16"/>
            <xdr:cNvSpPr>
              <a:spLocks/>
            </xdr:cNvSpPr>
          </xdr:nvSpPr>
          <xdr:spPr>
            <a:xfrm flipH="1">
              <a:off x="392" y="8013"/>
              <a:ext cx="0" cy="244"/>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2" name="Line 17"/>
            <xdr:cNvSpPr>
              <a:spLocks/>
            </xdr:cNvSpPr>
          </xdr:nvSpPr>
          <xdr:spPr>
            <a:xfrm>
              <a:off x="225" y="8140"/>
              <a:ext cx="389" cy="0"/>
            </a:xfrm>
            <a:prstGeom prst="line">
              <a:avLst/>
            </a:prstGeom>
            <a:solidFill>
              <a:srgbClr val="FFFFFF"/>
            </a:solid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3" name="Oval 18"/>
            <xdr:cNvSpPr>
              <a:spLocks/>
            </xdr:cNvSpPr>
          </xdr:nvSpPr>
          <xdr:spPr>
            <a:xfrm>
              <a:off x="569" y="8238"/>
              <a:ext cx="15"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4" name="Oval 19"/>
            <xdr:cNvSpPr>
              <a:spLocks/>
            </xdr:cNvSpPr>
          </xdr:nvSpPr>
          <xdr:spPr>
            <a:xfrm>
              <a:off x="230" y="8238"/>
              <a:ext cx="14"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5" name="Oval 20"/>
            <xdr:cNvSpPr>
              <a:spLocks/>
            </xdr:cNvSpPr>
          </xdr:nvSpPr>
          <xdr:spPr>
            <a:xfrm>
              <a:off x="384" y="8240"/>
              <a:ext cx="16" cy="13"/>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6" name="Oval 21"/>
            <xdr:cNvSpPr>
              <a:spLocks/>
            </xdr:cNvSpPr>
          </xdr:nvSpPr>
          <xdr:spPr>
            <a:xfrm>
              <a:off x="569" y="8132"/>
              <a:ext cx="15"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7" name="Oval 22"/>
            <xdr:cNvSpPr>
              <a:spLocks/>
            </xdr:cNvSpPr>
          </xdr:nvSpPr>
          <xdr:spPr>
            <a:xfrm>
              <a:off x="571" y="8016"/>
              <a:ext cx="15"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8" name="Oval 23"/>
            <xdr:cNvSpPr>
              <a:spLocks/>
            </xdr:cNvSpPr>
          </xdr:nvSpPr>
          <xdr:spPr>
            <a:xfrm>
              <a:off x="386" y="8015"/>
              <a:ext cx="16" cy="13"/>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9" name="Oval 24"/>
            <xdr:cNvSpPr>
              <a:spLocks/>
            </xdr:cNvSpPr>
          </xdr:nvSpPr>
          <xdr:spPr>
            <a:xfrm>
              <a:off x="383" y="8135"/>
              <a:ext cx="17"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0" name="Oval 25"/>
            <xdr:cNvSpPr>
              <a:spLocks/>
            </xdr:cNvSpPr>
          </xdr:nvSpPr>
          <xdr:spPr>
            <a:xfrm>
              <a:off x="228" y="8016"/>
              <a:ext cx="16"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1" name="Oval 26"/>
            <xdr:cNvSpPr>
              <a:spLocks/>
            </xdr:cNvSpPr>
          </xdr:nvSpPr>
          <xdr:spPr>
            <a:xfrm>
              <a:off x="228" y="8132"/>
              <a:ext cx="16"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62" name="Rectangle 28"/>
          <xdr:cNvSpPr>
            <a:spLocks/>
          </xdr:cNvSpPr>
        </xdr:nvSpPr>
        <xdr:spPr>
          <a:xfrm>
            <a:off x="276" y="8102"/>
            <a:ext cx="59" cy="7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3" name="AutoShape 29"/>
          <xdr:cNvSpPr>
            <a:spLocks/>
          </xdr:cNvSpPr>
        </xdr:nvSpPr>
        <xdr:spPr>
          <a:xfrm>
            <a:off x="300" y="8092"/>
            <a:ext cx="17" cy="18"/>
          </a:xfrm>
          <a:prstGeom prst="octagon">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4" name="AutoShape 30"/>
          <xdr:cNvSpPr>
            <a:spLocks/>
          </xdr:cNvSpPr>
        </xdr:nvSpPr>
        <xdr:spPr>
          <a:xfrm>
            <a:off x="265" y="8130"/>
            <a:ext cx="21" cy="20"/>
          </a:xfrm>
          <a:prstGeom prst="octagon">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5" name="AutoShape 31"/>
          <xdr:cNvSpPr>
            <a:spLocks/>
          </xdr:cNvSpPr>
        </xdr:nvSpPr>
        <xdr:spPr>
          <a:xfrm>
            <a:off x="326" y="8130"/>
            <a:ext cx="21" cy="20"/>
          </a:xfrm>
          <a:prstGeom prst="octagon">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6" name="AutoShape 32"/>
          <xdr:cNvSpPr>
            <a:spLocks/>
          </xdr:cNvSpPr>
        </xdr:nvSpPr>
        <xdr:spPr>
          <a:xfrm>
            <a:off x="298" y="8169"/>
            <a:ext cx="17" cy="20"/>
          </a:xfrm>
          <a:prstGeom prst="octagon">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7" name="AutoShape 33"/>
          <xdr:cNvSpPr>
            <a:spLocks/>
          </xdr:cNvSpPr>
        </xdr:nvSpPr>
        <xdr:spPr>
          <a:xfrm>
            <a:off x="321" y="8051"/>
            <a:ext cx="21" cy="16"/>
          </a:xfrm>
          <a:prstGeom prst="wedgeRectCallout">
            <a:avLst>
              <a:gd name="adj1" fmla="val -126189"/>
              <a:gd name="adj2" fmla="val 27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pl</a:t>
            </a:r>
          </a:p>
        </xdr:txBody>
      </xdr:sp>
      <xdr:sp>
        <xdr:nvSpPr>
          <xdr:cNvPr id="268" name="AutoShape 34"/>
          <xdr:cNvSpPr>
            <a:spLocks/>
          </xdr:cNvSpPr>
        </xdr:nvSpPr>
        <xdr:spPr>
          <a:xfrm>
            <a:off x="227" y="8083"/>
            <a:ext cx="23" cy="15"/>
          </a:xfrm>
          <a:prstGeom prst="wedgeRectCallout">
            <a:avLst>
              <a:gd name="adj1" fmla="val 132606"/>
              <a:gd name="adj2" fmla="val 29666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pb</a:t>
            </a:r>
          </a:p>
        </xdr:txBody>
      </xdr:sp>
      <xdr:sp>
        <xdr:nvSpPr>
          <xdr:cNvPr id="269" name="AutoShape 35"/>
          <xdr:cNvSpPr>
            <a:spLocks/>
          </xdr:cNvSpPr>
        </xdr:nvSpPr>
        <xdr:spPr>
          <a:xfrm>
            <a:off x="338" y="8201"/>
            <a:ext cx="25" cy="18"/>
          </a:xfrm>
          <a:prstGeom prst="wedgeRectCallout">
            <a:avLst>
              <a:gd name="adj1" fmla="val -198000"/>
              <a:gd name="adj2" fmla="val -13888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pr</a:t>
            </a:r>
          </a:p>
        </xdr:txBody>
      </xdr:sp>
      <xdr:sp>
        <xdr:nvSpPr>
          <xdr:cNvPr id="270" name="AutoShape 36"/>
          <xdr:cNvSpPr>
            <a:spLocks/>
          </xdr:cNvSpPr>
        </xdr:nvSpPr>
        <xdr:spPr>
          <a:xfrm>
            <a:off x="355" y="8090"/>
            <a:ext cx="21" cy="16"/>
          </a:xfrm>
          <a:prstGeom prst="wedgeRectCallout">
            <a:avLst>
              <a:gd name="adj1" fmla="val -116666"/>
              <a:gd name="adj2" fmla="val 25625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pt</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112</xdr:row>
      <xdr:rowOff>133350</xdr:rowOff>
    </xdr:from>
    <xdr:to>
      <xdr:col>9</xdr:col>
      <xdr:colOff>342900</xdr:colOff>
      <xdr:row>128</xdr:row>
      <xdr:rowOff>152400</xdr:rowOff>
    </xdr:to>
    <xdr:grpSp>
      <xdr:nvGrpSpPr>
        <xdr:cNvPr id="1" name="Group 11"/>
        <xdr:cNvGrpSpPr>
          <a:grpSpLocks/>
        </xdr:cNvGrpSpPr>
      </xdr:nvGrpSpPr>
      <xdr:grpSpPr>
        <a:xfrm>
          <a:off x="5934075" y="18869025"/>
          <a:ext cx="2486025" cy="2609850"/>
          <a:chOff x="642" y="1092"/>
          <a:chExt cx="230" cy="162"/>
        </a:xfrm>
        <a:solidFill>
          <a:srgbClr val="FFFFFF"/>
        </a:solidFill>
      </xdr:grpSpPr>
      <xdr:sp>
        <xdr:nvSpPr>
          <xdr:cNvPr id="2" name="Rectangle 12"/>
          <xdr:cNvSpPr>
            <a:spLocks/>
          </xdr:cNvSpPr>
        </xdr:nvSpPr>
        <xdr:spPr>
          <a:xfrm>
            <a:off x="663" y="1113"/>
            <a:ext cx="209" cy="141"/>
          </a:xfrm>
          <a:prstGeom prst="rect">
            <a:avLst/>
          </a:prstGeom>
          <a:solidFill>
            <a:srgbClr val="FFFFFF"/>
          </a:solidFill>
          <a:ln w="9525" cmpd="sng">
            <a:solidFill>
              <a:srgbClr val="CC99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 name="Oval 13"/>
          <xdr:cNvSpPr>
            <a:spLocks noChangeAspect="1"/>
          </xdr:cNvSpPr>
        </xdr:nvSpPr>
        <xdr:spPr>
          <a:xfrm>
            <a:off x="696" y="1224"/>
            <a:ext cx="7" cy="7"/>
          </a:xfrm>
          <a:prstGeom prst="ellipse">
            <a:avLst/>
          </a:prstGeom>
          <a:solidFill>
            <a:srgbClr val="FFFFFF"/>
          </a:solidFill>
          <a:ln w="19050" cmpd="sng">
            <a:solidFill>
              <a:srgbClr val="CC99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 name="TextBox 14"/>
          <xdr:cNvSpPr txBox="1">
            <a:spLocks noChangeAspect="1" noChangeArrowheads="1"/>
          </xdr:cNvSpPr>
        </xdr:nvSpPr>
        <xdr:spPr>
          <a:xfrm>
            <a:off x="707" y="1223"/>
            <a:ext cx="48" cy="17"/>
          </a:xfrm>
          <a:prstGeom prst="rect">
            <a:avLst/>
          </a:prstGeom>
          <a:solidFill>
            <a:srgbClr val="FFFFFF"/>
          </a:solidFill>
          <a:ln w="9525" cmpd="sng">
            <a:solidFill>
              <a:srgbClr val="CC99FF"/>
            </a:solidFill>
            <a:headEnd type="none"/>
            <a:tailEnd type="none"/>
          </a:ln>
        </xdr:spPr>
        <xdr:txBody>
          <a:bodyPr vertOverflow="clip" wrap="square"/>
          <a:p>
            <a:pPr algn="l">
              <a:defRPr/>
            </a:pPr>
            <a:r>
              <a:rPr lang="en-US" cap="none" sz="1000" b="0" i="0" u="none" baseline="0">
                <a:latin typeface="Geneva"/>
                <a:ea typeface="Geneva"/>
                <a:cs typeface="Geneva"/>
              </a:rPr>
              <a:t>Aux Pt</a:t>
            </a:r>
          </a:p>
        </xdr:txBody>
      </xdr:sp>
      <xdr:sp>
        <xdr:nvSpPr>
          <xdr:cNvPr id="5" name="TextBox 15"/>
          <xdr:cNvSpPr txBox="1">
            <a:spLocks noChangeArrowheads="1"/>
          </xdr:cNvSpPr>
        </xdr:nvSpPr>
        <xdr:spPr>
          <a:xfrm>
            <a:off x="642" y="1092"/>
            <a:ext cx="77" cy="16"/>
          </a:xfrm>
          <a:prstGeom prst="rect">
            <a:avLst/>
          </a:prstGeom>
          <a:solidFill>
            <a:srgbClr val="FFFFFF"/>
          </a:solidFill>
          <a:ln w="9525" cmpd="sng">
            <a:solidFill>
              <a:srgbClr val="CC99FF"/>
            </a:solidFill>
            <a:headEnd type="none"/>
            <a:tailEnd type="none"/>
          </a:ln>
        </xdr:spPr>
        <xdr:txBody>
          <a:bodyPr vertOverflow="clip" wrap="square"/>
          <a:p>
            <a:pPr algn="l">
              <a:defRPr/>
            </a:pPr>
            <a:r>
              <a:rPr lang="en-US" cap="none" sz="1000" b="1" i="0" u="none" baseline="0">
                <a:latin typeface="Geneva"/>
                <a:ea typeface="Geneva"/>
                <a:cs typeface="Geneva"/>
              </a:rPr>
              <a:t>Top of Photo</a:t>
            </a:r>
          </a:p>
        </xdr:txBody>
      </xdr:sp>
      <xdr:sp>
        <xdr:nvSpPr>
          <xdr:cNvPr id="6" name="Line 16"/>
          <xdr:cNvSpPr>
            <a:spLocks/>
          </xdr:cNvSpPr>
        </xdr:nvSpPr>
        <xdr:spPr>
          <a:xfrm>
            <a:off x="755" y="1184"/>
            <a:ext cx="28" cy="0"/>
          </a:xfrm>
          <a:prstGeom prst="line">
            <a:avLst/>
          </a:prstGeom>
          <a:noFill/>
          <a:ln w="9525" cmpd="sng">
            <a:solidFill>
              <a:srgbClr val="CC99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 name="Line 17"/>
          <xdr:cNvSpPr>
            <a:spLocks/>
          </xdr:cNvSpPr>
        </xdr:nvSpPr>
        <xdr:spPr>
          <a:xfrm>
            <a:off x="768" y="1176"/>
            <a:ext cx="0" cy="17"/>
          </a:xfrm>
          <a:prstGeom prst="line">
            <a:avLst/>
          </a:prstGeom>
          <a:noFill/>
          <a:ln w="9525" cmpd="sng">
            <a:solidFill>
              <a:srgbClr val="CC99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 name="Oval 18"/>
          <xdr:cNvSpPr>
            <a:spLocks/>
          </xdr:cNvSpPr>
        </xdr:nvSpPr>
        <xdr:spPr>
          <a:xfrm>
            <a:off x="765" y="1182"/>
            <a:ext cx="5" cy="5"/>
          </a:xfrm>
          <a:prstGeom prst="ellipse">
            <a:avLst/>
          </a:prstGeom>
          <a:solidFill>
            <a:srgbClr val="FFFFFF"/>
          </a:solidFill>
          <a:ln w="19050" cmpd="sng">
            <a:solidFill>
              <a:srgbClr val="CC99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 name="Rectangle 19"/>
          <xdr:cNvSpPr>
            <a:spLocks/>
          </xdr:cNvSpPr>
        </xdr:nvSpPr>
        <xdr:spPr>
          <a:xfrm>
            <a:off x="809" y="1221"/>
            <a:ext cx="8" cy="8"/>
          </a:xfrm>
          <a:prstGeom prst="rect">
            <a:avLst/>
          </a:prstGeom>
          <a:solidFill>
            <a:srgbClr val="FFFFFF"/>
          </a:solidFill>
          <a:ln w="25400" cmpd="sng">
            <a:solidFill>
              <a:srgbClr val="CC99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 name="TextBox 20"/>
          <xdr:cNvSpPr txBox="1">
            <a:spLocks noChangeAspect="1" noChangeArrowheads="1"/>
          </xdr:cNvSpPr>
        </xdr:nvSpPr>
        <xdr:spPr>
          <a:xfrm>
            <a:off x="783" y="1232"/>
            <a:ext cx="88" cy="17"/>
          </a:xfrm>
          <a:prstGeom prst="rect">
            <a:avLst/>
          </a:prstGeom>
          <a:solidFill>
            <a:srgbClr val="FFFFFF"/>
          </a:solidFill>
          <a:ln w="9525" cmpd="sng">
            <a:solidFill>
              <a:srgbClr val="CC99FF"/>
            </a:solidFill>
            <a:headEnd type="none"/>
            <a:tailEnd type="none"/>
          </a:ln>
        </xdr:spPr>
        <xdr:txBody>
          <a:bodyPr vertOverflow="clip" wrap="square"/>
          <a:p>
            <a:pPr algn="l">
              <a:defRPr/>
            </a:pPr>
            <a:r>
              <a:rPr lang="en-US" cap="none" sz="1000" b="0" i="0" u="none" baseline="0">
                <a:latin typeface="Geneva"/>
                <a:ea typeface="Geneva"/>
                <a:cs typeface="Geneva"/>
              </a:rPr>
              <a:t>Shuttle Nadir Pt</a:t>
            </a:r>
          </a:p>
        </xdr:txBody>
      </xdr:sp>
      <xdr:sp>
        <xdr:nvSpPr>
          <xdr:cNvPr id="11" name="Line 21"/>
          <xdr:cNvSpPr>
            <a:spLocks/>
          </xdr:cNvSpPr>
        </xdr:nvSpPr>
        <xdr:spPr>
          <a:xfrm flipH="1" flipV="1">
            <a:off x="687" y="1113"/>
            <a:ext cx="121" cy="107"/>
          </a:xfrm>
          <a:prstGeom prst="line">
            <a:avLst/>
          </a:prstGeom>
          <a:noFill/>
          <a:ln w="25400" cmpd="sng">
            <a:solidFill>
              <a:srgbClr val="CC99FF"/>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12" name="TextBox 22"/>
          <xdr:cNvSpPr txBox="1">
            <a:spLocks noChangeAspect="1" noChangeArrowheads="1"/>
          </xdr:cNvSpPr>
        </xdr:nvSpPr>
        <xdr:spPr>
          <a:xfrm>
            <a:off x="789" y="1176"/>
            <a:ext cx="73" cy="14"/>
          </a:xfrm>
          <a:prstGeom prst="rect">
            <a:avLst/>
          </a:prstGeom>
          <a:solidFill>
            <a:srgbClr val="FFFFFF"/>
          </a:solidFill>
          <a:ln w="9525" cmpd="sng">
            <a:solidFill>
              <a:srgbClr val="CC99FF"/>
            </a:solidFill>
            <a:headEnd type="none"/>
            <a:tailEnd type="none"/>
          </a:ln>
        </xdr:spPr>
        <xdr:txBody>
          <a:bodyPr vertOverflow="clip" wrap="square"/>
          <a:p>
            <a:pPr algn="l">
              <a:defRPr/>
            </a:pPr>
            <a:r>
              <a:rPr lang="en-US" cap="none" sz="1000" b="0" i="0" u="none" baseline="0">
                <a:latin typeface="Geneva"/>
                <a:ea typeface="Geneva"/>
                <a:cs typeface="Geneva"/>
              </a:rPr>
              <a:t>Photo Center</a:t>
            </a:r>
          </a:p>
        </xdr:txBody>
      </xdr:sp>
      <xdr:sp>
        <xdr:nvSpPr>
          <xdr:cNvPr id="13" name="Line 23"/>
          <xdr:cNvSpPr>
            <a:spLocks/>
          </xdr:cNvSpPr>
        </xdr:nvSpPr>
        <xdr:spPr>
          <a:xfrm flipH="1">
            <a:off x="662" y="1184"/>
            <a:ext cx="105" cy="67"/>
          </a:xfrm>
          <a:prstGeom prst="line">
            <a:avLst/>
          </a:prstGeom>
          <a:noFill/>
          <a:ln w="19050" cmpd="sng">
            <a:solidFill>
              <a:srgbClr val="CC99FF"/>
            </a:solidFill>
            <a:headEnd type="none"/>
            <a:tailEnd type="stealth"/>
          </a:ln>
        </xdr:spPr>
        <xdr:txBody>
          <a:bodyPr vertOverflow="clip" wrap="square"/>
          <a:p>
            <a:pPr algn="l">
              <a:defRPr/>
            </a:pPr>
            <a:r>
              <a:rPr lang="en-US" cap="none" u="none" baseline="0">
                <a:latin typeface="Geneva"/>
                <a:ea typeface="Geneva"/>
                <a:cs typeface="Geneva"/>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209550</xdr:colOff>
      <xdr:row>22</xdr:row>
      <xdr:rowOff>38100</xdr:rowOff>
    </xdr:from>
    <xdr:to>
      <xdr:col>26</xdr:col>
      <xdr:colOff>838200</xdr:colOff>
      <xdr:row>81</xdr:row>
      <xdr:rowOff>0</xdr:rowOff>
    </xdr:to>
    <xdr:sp>
      <xdr:nvSpPr>
        <xdr:cNvPr id="1" name="TextBox 42"/>
        <xdr:cNvSpPr txBox="1">
          <a:spLocks noChangeArrowheads="1"/>
        </xdr:cNvSpPr>
      </xdr:nvSpPr>
      <xdr:spPr>
        <a:xfrm>
          <a:off x="16430625" y="4276725"/>
          <a:ext cx="6696075" cy="9601200"/>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
 </a:t>
          </a:r>
          <a:r>
            <a:rPr lang="en-US" cap="none" sz="1200" b="0" i="0" u="none" baseline="0">
              <a:latin typeface="Geneva"/>
              <a:ea typeface="Geneva"/>
              <a:cs typeface="Geneva"/>
            </a:rPr>
            <a:t>1)   Identify the geometric center of the photo by
        intersecting lines through opposite photo corners.
 2)   Re-estimate the Latitude and Longitude of the
       photo center (database coordinates are accurate
       to +/- 0.5 degrees).
 3)   Identify the "TOP" of the Photo which is the edge
       that appears to be more towards the horizon.
</a:t>
          </a:r>
          <a:r>
            <a:rPr lang="en-US" cap="none" sz="1200" b="0" i="0" u="none" baseline="0">
              <a:solidFill>
                <a:srgbClr val="DD0806"/>
              </a:solidFill>
              <a:latin typeface="Geneva"/>
              <a:ea typeface="Geneva"/>
              <a:cs typeface="Geneva"/>
            </a:rPr>
            <a:t>          NOTE:  The "TOP" of the photo has no relationship
                      to North, but will simply be the direction                            </a:t>
          </a:r>
          <a:r>
            <a:rPr lang="en-US" cap="none" sz="1200" b="0" i="0" u="none" baseline="0">
              <a:latin typeface="Geneva"/>
              <a:ea typeface="Geneva"/>
              <a:cs typeface="Geneva"/>
            </a:rPr>
            <a:t>TOP OF PHOTO</a:t>
          </a:r>
          <a:r>
            <a:rPr lang="en-US" cap="none" sz="1200" b="0" i="0" u="none" baseline="0">
              <a:solidFill>
                <a:srgbClr val="DD0806"/>
              </a:solidFill>
              <a:latin typeface="Geneva"/>
              <a:ea typeface="Geneva"/>
              <a:cs typeface="Geneva"/>
            </a:rPr>
            <a:t>
                      away from the shuttle nadir point.</a:t>
          </a:r>
          <a:r>
            <a:rPr lang="en-US" cap="none" sz="1200" b="0" i="0" u="none" baseline="0">
              <a:latin typeface="Geneva"/>
              <a:ea typeface="Geneva"/>
              <a:cs typeface="Geneva"/>
            </a:rPr>
            <a:t>
 4)    Draw a line from the center of the photo to the
        middle of the "TOP" edge of the photo.
 5)    Identify an Auxiliary point on the Photo for which
        its Geographic Coordinates (Latitude and Longitude)
        are known.
 6)    Draw a line from the center of the photo to the
         Auxiliary Point.
 7)    Place a protractor on the photo placing the center
         index mark over the photo center and aligning the 
         zero angle mark with the line connecting the 
         photo center to the top of the photo.
 8)     Read the angle between the line to the top of the
          photo and the line to the Auxiliary Point.
</a:t>
          </a:r>
          <a:r>
            <a:rPr lang="en-US" cap="none" sz="1200" b="1" i="0" u="none" baseline="0">
              <a:latin typeface="Geneva"/>
              <a:ea typeface="Geneva"/>
              <a:cs typeface="Geneva"/>
            </a:rPr>
            <a:t>      </a:t>
          </a:r>
          <a:r>
            <a:rPr lang="en-US" cap="none" sz="1200" b="1" i="0" u="none" baseline="0">
              <a:solidFill>
                <a:srgbClr val="DD0806"/>
              </a:solidFill>
              <a:latin typeface="Geneva"/>
              <a:ea typeface="Geneva"/>
              <a:cs typeface="Geneva"/>
            </a:rPr>
            <a:t>  Enter a Positive value for the angle if it was measured Clockwise
        Enter a Negative value for the angle if it was measured Counter Clockwise</a:t>
          </a:r>
        </a:p>
      </xdr:txBody>
    </xdr:sp>
    <xdr:clientData/>
  </xdr:twoCellAnchor>
  <xdr:twoCellAnchor>
    <xdr:from>
      <xdr:col>19</xdr:col>
      <xdr:colOff>790575</xdr:colOff>
      <xdr:row>22</xdr:row>
      <xdr:rowOff>152400</xdr:rowOff>
    </xdr:from>
    <xdr:to>
      <xdr:col>25</xdr:col>
      <xdr:colOff>295275</xdr:colOff>
      <xdr:row>24</xdr:row>
      <xdr:rowOff>66675</xdr:rowOff>
    </xdr:to>
    <xdr:sp>
      <xdr:nvSpPr>
        <xdr:cNvPr id="2" name="TextBox 53"/>
        <xdr:cNvSpPr txBox="1">
          <a:spLocks noChangeArrowheads="1"/>
        </xdr:cNvSpPr>
      </xdr:nvSpPr>
      <xdr:spPr>
        <a:xfrm>
          <a:off x="17011650" y="4391025"/>
          <a:ext cx="4705350" cy="238125"/>
        </a:xfrm>
        <a:prstGeom prst="rect">
          <a:avLst/>
        </a:prstGeom>
        <a:solidFill>
          <a:srgbClr val="FFFFFF"/>
        </a:solidFill>
        <a:ln w="9525" cmpd="sng">
          <a:noFill/>
        </a:ln>
      </xdr:spPr>
      <xdr:txBody>
        <a:bodyPr vertOverflow="clip" wrap="square"/>
        <a:p>
          <a:pPr algn="ctr">
            <a:defRPr/>
          </a:pPr>
          <a:r>
            <a:rPr lang="en-US" cap="none" sz="1200" b="1" i="0" u="none" baseline="0">
              <a:latin typeface="Geneva"/>
              <a:ea typeface="Geneva"/>
              <a:cs typeface="Geneva"/>
            </a:rPr>
            <a:t>Computing the Rotation Angle of an Auxiliary Photo Point</a:t>
          </a:r>
        </a:p>
      </xdr:txBody>
    </xdr:sp>
    <xdr:clientData/>
  </xdr:twoCellAnchor>
  <xdr:twoCellAnchor>
    <xdr:from>
      <xdr:col>19</xdr:col>
      <xdr:colOff>314325</xdr:colOff>
      <xdr:row>25</xdr:row>
      <xdr:rowOff>76200</xdr:rowOff>
    </xdr:from>
    <xdr:to>
      <xdr:col>25</xdr:col>
      <xdr:colOff>771525</xdr:colOff>
      <xdr:row>27</xdr:row>
      <xdr:rowOff>95250</xdr:rowOff>
    </xdr:to>
    <xdr:sp>
      <xdr:nvSpPr>
        <xdr:cNvPr id="3" name="TextBox 54"/>
        <xdr:cNvSpPr txBox="1">
          <a:spLocks noChangeArrowheads="1"/>
        </xdr:cNvSpPr>
      </xdr:nvSpPr>
      <xdr:spPr>
        <a:xfrm>
          <a:off x="16535400" y="4800600"/>
          <a:ext cx="5657850" cy="342900"/>
        </a:xfrm>
        <a:prstGeom prst="rect">
          <a:avLst/>
        </a:prstGeom>
        <a:solidFill>
          <a:srgbClr val="0000D4"/>
        </a:solidFill>
        <a:ln w="9525" cmpd="sng">
          <a:noFill/>
        </a:ln>
      </xdr:spPr>
      <xdr:txBody>
        <a:bodyPr vertOverflow="clip" wrap="square"/>
        <a:p>
          <a:pPr algn="ctr">
            <a:defRPr/>
          </a:pPr>
          <a:r>
            <a:rPr lang="en-US" cap="none" sz="1000" b="1" i="0" u="none" baseline="0">
              <a:solidFill>
                <a:srgbClr val="FFFFFF"/>
              </a:solidFill>
              <a:latin typeface="Geneva"/>
              <a:ea typeface="Geneva"/>
              <a:cs typeface="Geneva"/>
            </a:rPr>
            <a:t>The optional input allows users to compute more precise approximations for the photo
corners by accounting for the effects of camera rotation at the time of exposure</a:t>
          </a:r>
        </a:p>
      </xdr:txBody>
    </xdr:sp>
    <xdr:clientData/>
  </xdr:twoCellAnchor>
  <xdr:twoCellAnchor>
    <xdr:from>
      <xdr:col>24</xdr:col>
      <xdr:colOff>133350</xdr:colOff>
      <xdr:row>57</xdr:row>
      <xdr:rowOff>0</xdr:rowOff>
    </xdr:from>
    <xdr:to>
      <xdr:col>26</xdr:col>
      <xdr:colOff>76200</xdr:colOff>
      <xdr:row>78</xdr:row>
      <xdr:rowOff>28575</xdr:rowOff>
    </xdr:to>
    <xdr:grpSp>
      <xdr:nvGrpSpPr>
        <xdr:cNvPr id="4" name="Group 55"/>
        <xdr:cNvGrpSpPr>
          <a:grpSpLocks/>
        </xdr:cNvGrpSpPr>
      </xdr:nvGrpSpPr>
      <xdr:grpSpPr>
        <a:xfrm>
          <a:off x="20688300" y="9906000"/>
          <a:ext cx="1676400" cy="3514725"/>
          <a:chOff x="699" y="934"/>
          <a:chExt cx="146" cy="127"/>
        </a:xfrm>
        <a:solidFill>
          <a:srgbClr val="FFFFFF"/>
        </a:solidFill>
      </xdr:grpSpPr>
      <xdr:sp>
        <xdr:nvSpPr>
          <xdr:cNvPr id="5" name="Rectangle 56"/>
          <xdr:cNvSpPr>
            <a:spLocks/>
          </xdr:cNvSpPr>
        </xdr:nvSpPr>
        <xdr:spPr>
          <a:xfrm>
            <a:off x="699" y="934"/>
            <a:ext cx="146" cy="1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 name="Line 57"/>
          <xdr:cNvSpPr>
            <a:spLocks/>
          </xdr:cNvSpPr>
        </xdr:nvSpPr>
        <xdr:spPr>
          <a:xfrm>
            <a:off x="763" y="998"/>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 name="Line 58"/>
          <xdr:cNvSpPr>
            <a:spLocks/>
          </xdr:cNvSpPr>
        </xdr:nvSpPr>
        <xdr:spPr>
          <a:xfrm>
            <a:off x="772" y="99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 name="Oval 59"/>
          <xdr:cNvSpPr>
            <a:spLocks/>
          </xdr:cNvSpPr>
        </xdr:nvSpPr>
        <xdr:spPr>
          <a:xfrm>
            <a:off x="770" y="996"/>
            <a:ext cx="4" cy="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 name="Line 60"/>
          <xdr:cNvSpPr>
            <a:spLocks/>
          </xdr:cNvSpPr>
        </xdr:nvSpPr>
        <xdr:spPr>
          <a:xfrm flipV="1">
            <a:off x="772" y="935"/>
            <a:ext cx="0" cy="59"/>
          </a:xfrm>
          <a:prstGeom prst="line">
            <a:avLst/>
          </a:prstGeom>
          <a:noFill/>
          <a:ln w="19050" cmpd="sng">
            <a:solidFill>
              <a:srgbClr val="DD0806"/>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10" name="Oval 61"/>
          <xdr:cNvSpPr>
            <a:spLocks/>
          </xdr:cNvSpPr>
        </xdr:nvSpPr>
        <xdr:spPr>
          <a:xfrm>
            <a:off x="714" y="1024"/>
            <a:ext cx="7" cy="6"/>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 name="TextBox 62"/>
          <xdr:cNvSpPr txBox="1">
            <a:spLocks noChangeArrowheads="1"/>
          </xdr:cNvSpPr>
        </xdr:nvSpPr>
        <xdr:spPr>
          <a:xfrm>
            <a:off x="725" y="1025"/>
            <a:ext cx="46" cy="1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Aux Pt</a:t>
            </a:r>
          </a:p>
        </xdr:txBody>
      </xdr:sp>
    </xdr:grpSp>
    <xdr:clientData/>
  </xdr:twoCellAnchor>
  <xdr:twoCellAnchor>
    <xdr:from>
      <xdr:col>24</xdr:col>
      <xdr:colOff>523875</xdr:colOff>
      <xdr:row>55</xdr:row>
      <xdr:rowOff>85725</xdr:rowOff>
    </xdr:from>
    <xdr:to>
      <xdr:col>25</xdr:col>
      <xdr:colOff>485775</xdr:colOff>
      <xdr:row>56</xdr:row>
      <xdr:rowOff>123825</xdr:rowOff>
    </xdr:to>
    <xdr:sp>
      <xdr:nvSpPr>
        <xdr:cNvPr id="12" name="TextBox 71"/>
        <xdr:cNvSpPr txBox="1">
          <a:spLocks noChangeArrowheads="1"/>
        </xdr:cNvSpPr>
      </xdr:nvSpPr>
      <xdr:spPr>
        <a:xfrm>
          <a:off x="21078825" y="9667875"/>
          <a:ext cx="8286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Geneva"/>
              <a:ea typeface="Geneva"/>
              <a:cs typeface="Geneva"/>
            </a:rPr>
            <a:t>Top of Photo</a:t>
          </a:r>
        </a:p>
      </xdr:txBody>
    </xdr:sp>
    <xdr:clientData/>
  </xdr:twoCellAnchor>
  <xdr:twoCellAnchor>
    <xdr:from>
      <xdr:col>7</xdr:col>
      <xdr:colOff>742950</xdr:colOff>
      <xdr:row>10</xdr:row>
      <xdr:rowOff>85725</xdr:rowOff>
    </xdr:from>
    <xdr:to>
      <xdr:col>10</xdr:col>
      <xdr:colOff>923925</xdr:colOff>
      <xdr:row>22</xdr:row>
      <xdr:rowOff>133350</xdr:rowOff>
    </xdr:to>
    <xdr:grpSp>
      <xdr:nvGrpSpPr>
        <xdr:cNvPr id="13" name="Group 182"/>
        <xdr:cNvGrpSpPr>
          <a:grpSpLocks/>
        </xdr:cNvGrpSpPr>
      </xdr:nvGrpSpPr>
      <xdr:grpSpPr>
        <a:xfrm>
          <a:off x="6553200" y="2381250"/>
          <a:ext cx="2781300" cy="1990725"/>
          <a:chOff x="605" y="240"/>
          <a:chExt cx="256" cy="209"/>
        </a:xfrm>
        <a:solidFill>
          <a:srgbClr val="FFFFFF"/>
        </a:solidFill>
      </xdr:grpSpPr>
      <xdr:sp>
        <xdr:nvSpPr>
          <xdr:cNvPr id="14" name="TextBox 89"/>
          <xdr:cNvSpPr txBox="1">
            <a:spLocks noChangeArrowheads="1"/>
          </xdr:cNvSpPr>
        </xdr:nvSpPr>
        <xdr:spPr>
          <a:xfrm>
            <a:off x="720" y="240"/>
            <a:ext cx="69" cy="20"/>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Top Width</a:t>
            </a:r>
          </a:p>
        </xdr:txBody>
      </xdr:sp>
      <xdr:sp>
        <xdr:nvSpPr>
          <xdr:cNvPr id="15" name="Line 90"/>
          <xdr:cNvSpPr>
            <a:spLocks/>
          </xdr:cNvSpPr>
        </xdr:nvSpPr>
        <xdr:spPr>
          <a:xfrm>
            <a:off x="779" y="250"/>
            <a:ext cx="82" cy="0"/>
          </a:xfrm>
          <a:prstGeom prst="line">
            <a:avLst/>
          </a:prstGeom>
          <a:noFill/>
          <a:ln w="22225"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16" name="Line 91"/>
          <xdr:cNvSpPr>
            <a:spLocks/>
          </xdr:cNvSpPr>
        </xdr:nvSpPr>
        <xdr:spPr>
          <a:xfrm flipH="1" flipV="1">
            <a:off x="651" y="250"/>
            <a:ext cx="66" cy="0"/>
          </a:xfrm>
          <a:prstGeom prst="line">
            <a:avLst/>
          </a:prstGeom>
          <a:noFill/>
          <a:ln w="22225"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17" name="Line 93"/>
          <xdr:cNvSpPr>
            <a:spLocks/>
          </xdr:cNvSpPr>
        </xdr:nvSpPr>
        <xdr:spPr>
          <a:xfrm flipV="1">
            <a:off x="628" y="266"/>
            <a:ext cx="0" cy="85"/>
          </a:xfrm>
          <a:prstGeom prst="line">
            <a:avLst/>
          </a:prstGeom>
          <a:noFill/>
          <a:ln w="22225"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18" name="Line 94"/>
          <xdr:cNvSpPr>
            <a:spLocks/>
          </xdr:cNvSpPr>
        </xdr:nvSpPr>
        <xdr:spPr>
          <a:xfrm flipH="1">
            <a:off x="626" y="363"/>
            <a:ext cx="0" cy="81"/>
          </a:xfrm>
          <a:prstGeom prst="line">
            <a:avLst/>
          </a:prstGeom>
          <a:noFill/>
          <a:ln w="22225"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19" name="TextBox 92"/>
          <xdr:cNvSpPr txBox="1">
            <a:spLocks noChangeArrowheads="1"/>
          </xdr:cNvSpPr>
        </xdr:nvSpPr>
        <xdr:spPr>
          <a:xfrm>
            <a:off x="605" y="346"/>
            <a:ext cx="36" cy="23"/>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Side Height</a:t>
            </a:r>
          </a:p>
        </xdr:txBody>
      </xdr:sp>
      <xdr:sp>
        <xdr:nvSpPr>
          <xdr:cNvPr id="20" name="Rectangle 82"/>
          <xdr:cNvSpPr>
            <a:spLocks/>
          </xdr:cNvSpPr>
        </xdr:nvSpPr>
        <xdr:spPr>
          <a:xfrm>
            <a:off x="652" y="265"/>
            <a:ext cx="209" cy="18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371475</xdr:colOff>
      <xdr:row>67</xdr:row>
      <xdr:rowOff>66675</xdr:rowOff>
    </xdr:from>
    <xdr:to>
      <xdr:col>10</xdr:col>
      <xdr:colOff>904875</xdr:colOff>
      <xdr:row>80</xdr:row>
      <xdr:rowOff>38100</xdr:rowOff>
    </xdr:to>
    <xdr:grpSp>
      <xdr:nvGrpSpPr>
        <xdr:cNvPr id="21" name="Group 179"/>
        <xdr:cNvGrpSpPr>
          <a:grpSpLocks/>
        </xdr:cNvGrpSpPr>
      </xdr:nvGrpSpPr>
      <xdr:grpSpPr>
        <a:xfrm>
          <a:off x="7048500" y="11677650"/>
          <a:ext cx="2266950" cy="2076450"/>
          <a:chOff x="650" y="1216"/>
          <a:chExt cx="209" cy="218"/>
        </a:xfrm>
        <a:solidFill>
          <a:srgbClr val="FFFFFF"/>
        </a:solidFill>
      </xdr:grpSpPr>
      <xdr:sp>
        <xdr:nvSpPr>
          <xdr:cNvPr id="22" name="Rectangle 98"/>
          <xdr:cNvSpPr>
            <a:spLocks/>
          </xdr:cNvSpPr>
        </xdr:nvSpPr>
        <xdr:spPr>
          <a:xfrm>
            <a:off x="650" y="1244"/>
            <a:ext cx="209" cy="19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 name="TextBox 80"/>
          <xdr:cNvSpPr txBox="1">
            <a:spLocks noChangeArrowheads="1"/>
          </xdr:cNvSpPr>
        </xdr:nvSpPr>
        <xdr:spPr>
          <a:xfrm>
            <a:off x="711" y="1216"/>
            <a:ext cx="96"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Geneva"/>
                <a:ea typeface="Geneva"/>
                <a:cs typeface="Geneva"/>
              </a:rPr>
              <a:t>Top of Photo</a:t>
            </a:r>
          </a:p>
        </xdr:txBody>
      </xdr:sp>
      <xdr:sp>
        <xdr:nvSpPr>
          <xdr:cNvPr id="24" name="Line 101"/>
          <xdr:cNvSpPr>
            <a:spLocks/>
          </xdr:cNvSpPr>
        </xdr:nvSpPr>
        <xdr:spPr>
          <a:xfrm>
            <a:off x="742" y="1340"/>
            <a:ext cx="28"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 name="Line 102"/>
          <xdr:cNvSpPr>
            <a:spLocks/>
          </xdr:cNvSpPr>
        </xdr:nvSpPr>
        <xdr:spPr>
          <a:xfrm>
            <a:off x="755" y="1329"/>
            <a:ext cx="1"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 name="Oval 103"/>
          <xdr:cNvSpPr>
            <a:spLocks/>
          </xdr:cNvSpPr>
        </xdr:nvSpPr>
        <xdr:spPr>
          <a:xfrm>
            <a:off x="752" y="1337"/>
            <a:ext cx="5" cy="7"/>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 name="Line 107"/>
          <xdr:cNvSpPr>
            <a:spLocks/>
          </xdr:cNvSpPr>
        </xdr:nvSpPr>
        <xdr:spPr>
          <a:xfrm flipH="1" flipV="1">
            <a:off x="754" y="1248"/>
            <a:ext cx="1" cy="89"/>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28" name="TextBox 119"/>
          <xdr:cNvSpPr txBox="1">
            <a:spLocks noChangeAspect="1" noChangeArrowheads="1"/>
          </xdr:cNvSpPr>
        </xdr:nvSpPr>
        <xdr:spPr>
          <a:xfrm>
            <a:off x="776" y="1329"/>
            <a:ext cx="73" cy="52"/>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Photo Center</a:t>
            </a:r>
          </a:p>
        </xdr:txBody>
      </xdr:sp>
    </xdr:grpSp>
    <xdr:clientData/>
  </xdr:twoCellAnchor>
  <xdr:twoCellAnchor>
    <xdr:from>
      <xdr:col>8</xdr:col>
      <xdr:colOff>219075</xdr:colOff>
      <xdr:row>46</xdr:row>
      <xdr:rowOff>9525</xdr:rowOff>
    </xdr:from>
    <xdr:to>
      <xdr:col>10</xdr:col>
      <xdr:colOff>752475</xdr:colOff>
      <xdr:row>58</xdr:row>
      <xdr:rowOff>95250</xdr:rowOff>
    </xdr:to>
    <xdr:grpSp>
      <xdr:nvGrpSpPr>
        <xdr:cNvPr id="29" name="Group 178"/>
        <xdr:cNvGrpSpPr>
          <a:grpSpLocks/>
        </xdr:cNvGrpSpPr>
      </xdr:nvGrpSpPr>
      <xdr:grpSpPr>
        <a:xfrm>
          <a:off x="6896100" y="8134350"/>
          <a:ext cx="2266950" cy="2028825"/>
          <a:chOff x="636" y="844"/>
          <a:chExt cx="209" cy="213"/>
        </a:xfrm>
        <a:solidFill>
          <a:srgbClr val="FFFFFF"/>
        </a:solidFill>
      </xdr:grpSpPr>
      <xdr:sp>
        <xdr:nvSpPr>
          <xdr:cNvPr id="30" name="Rectangle 64"/>
          <xdr:cNvSpPr>
            <a:spLocks/>
          </xdr:cNvSpPr>
        </xdr:nvSpPr>
        <xdr:spPr>
          <a:xfrm>
            <a:off x="636" y="844"/>
            <a:ext cx="209" cy="2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 name="Line 66"/>
          <xdr:cNvSpPr>
            <a:spLocks/>
          </xdr:cNvSpPr>
        </xdr:nvSpPr>
        <xdr:spPr>
          <a:xfrm flipV="1">
            <a:off x="637" y="844"/>
            <a:ext cx="208" cy="2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 name="Line 67"/>
          <xdr:cNvSpPr>
            <a:spLocks/>
          </xdr:cNvSpPr>
        </xdr:nvSpPr>
        <xdr:spPr>
          <a:xfrm>
            <a:off x="728" y="951"/>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Line 68"/>
          <xdr:cNvSpPr>
            <a:spLocks/>
          </xdr:cNvSpPr>
        </xdr:nvSpPr>
        <xdr:spPr>
          <a:xfrm>
            <a:off x="741" y="939"/>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 name="Oval 69"/>
          <xdr:cNvSpPr>
            <a:spLocks/>
          </xdr:cNvSpPr>
        </xdr:nvSpPr>
        <xdr:spPr>
          <a:xfrm>
            <a:off x="738" y="948"/>
            <a:ext cx="5" cy="8"/>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 name="TextBox 70"/>
          <xdr:cNvSpPr txBox="1">
            <a:spLocks noChangeArrowheads="1"/>
          </xdr:cNvSpPr>
        </xdr:nvSpPr>
        <xdr:spPr>
          <a:xfrm>
            <a:off x="704" y="973"/>
            <a:ext cx="81" cy="60"/>
          </a:xfrm>
          <a:prstGeom prst="rect">
            <a:avLst/>
          </a:prstGeom>
          <a:noFill/>
          <a:ln w="9525" cmpd="sng">
            <a:noFill/>
          </a:ln>
        </xdr:spPr>
        <xdr:txBody>
          <a:bodyPr vertOverflow="clip" wrap="square"/>
          <a:p>
            <a:pPr algn="ctr">
              <a:defRPr/>
            </a:pPr>
            <a:r>
              <a:rPr lang="en-US" cap="none" sz="1000" b="1" i="0" u="none" baseline="0">
                <a:latin typeface="Geneva"/>
                <a:ea typeface="Geneva"/>
                <a:cs typeface="Geneva"/>
              </a:rPr>
              <a:t>Photo Center
Lat,</a:t>
            </a:r>
            <a:r>
              <a:rPr lang="en-US" cap="none" sz="1000" b="0" i="0" u="none" baseline="0">
                <a:latin typeface="Geneva"/>
                <a:ea typeface="Geneva"/>
                <a:cs typeface="Geneva"/>
              </a:rPr>
              <a:t> </a:t>
            </a:r>
            <a:r>
              <a:rPr lang="en-US" cap="none" sz="1000" b="1" i="0" u="none" baseline="0">
                <a:latin typeface="Geneva"/>
                <a:ea typeface="Geneva"/>
                <a:cs typeface="Geneva"/>
              </a:rPr>
              <a:t>Long</a:t>
            </a:r>
          </a:p>
        </xdr:txBody>
      </xdr:sp>
      <xdr:sp>
        <xdr:nvSpPr>
          <xdr:cNvPr id="36" name="Line 65"/>
          <xdr:cNvSpPr>
            <a:spLocks/>
          </xdr:cNvSpPr>
        </xdr:nvSpPr>
        <xdr:spPr>
          <a:xfrm>
            <a:off x="637" y="846"/>
            <a:ext cx="208" cy="2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342900</xdr:colOff>
      <xdr:row>100</xdr:row>
      <xdr:rowOff>19050</xdr:rowOff>
    </xdr:from>
    <xdr:to>
      <xdr:col>10</xdr:col>
      <xdr:colOff>895350</xdr:colOff>
      <xdr:row>112</xdr:row>
      <xdr:rowOff>95250</xdr:rowOff>
    </xdr:to>
    <xdr:grpSp>
      <xdr:nvGrpSpPr>
        <xdr:cNvPr id="37" name="Group 181"/>
        <xdr:cNvGrpSpPr>
          <a:grpSpLocks/>
        </xdr:cNvGrpSpPr>
      </xdr:nvGrpSpPr>
      <xdr:grpSpPr>
        <a:xfrm>
          <a:off x="7019925" y="17306925"/>
          <a:ext cx="2286000" cy="2019300"/>
          <a:chOff x="648" y="1807"/>
          <a:chExt cx="210" cy="212"/>
        </a:xfrm>
        <a:solidFill>
          <a:srgbClr val="FFFFFF"/>
        </a:solidFill>
      </xdr:grpSpPr>
      <xdr:sp>
        <xdr:nvSpPr>
          <xdr:cNvPr id="38" name="Rectangle 125"/>
          <xdr:cNvSpPr>
            <a:spLocks/>
          </xdr:cNvSpPr>
        </xdr:nvSpPr>
        <xdr:spPr>
          <a:xfrm>
            <a:off x="649" y="1835"/>
            <a:ext cx="209" cy="18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TextBox 52"/>
          <xdr:cNvSpPr txBox="1">
            <a:spLocks noChangeArrowheads="1"/>
          </xdr:cNvSpPr>
        </xdr:nvSpPr>
        <xdr:spPr>
          <a:xfrm>
            <a:off x="659" y="1874"/>
            <a:ext cx="78" cy="63"/>
          </a:xfrm>
          <a:prstGeom prst="rect">
            <a:avLst/>
          </a:prstGeom>
          <a:solidFill>
            <a:srgbClr val="FFFFFF"/>
          </a:solidFill>
          <a:ln w="9525" cmpd="sng">
            <a:noFill/>
          </a:ln>
        </xdr:spPr>
        <xdr:txBody>
          <a:bodyPr vertOverflow="clip" wrap="square"/>
          <a:p>
            <a:pPr algn="ctr">
              <a:defRPr/>
            </a:pPr>
            <a:r>
              <a:rPr lang="en-US" cap="none" sz="1000" b="1" i="0" u="none" baseline="0">
                <a:solidFill>
                  <a:srgbClr val="1FB714"/>
                </a:solidFill>
                <a:latin typeface="Geneva"/>
                <a:ea typeface="Geneva"/>
                <a:cs typeface="Geneva"/>
              </a:rPr>
              <a:t>Deflection
Angle</a:t>
            </a:r>
          </a:p>
        </xdr:txBody>
      </xdr:sp>
      <xdr:sp>
        <xdr:nvSpPr>
          <xdr:cNvPr id="40" name="AutoShape 51"/>
          <xdr:cNvSpPr>
            <a:spLocks/>
          </xdr:cNvSpPr>
        </xdr:nvSpPr>
        <xdr:spPr>
          <a:xfrm>
            <a:off x="715" y="1881"/>
            <a:ext cx="36" cy="71"/>
          </a:xfrm>
          <a:custGeom>
            <a:pathLst>
              <a:path h="50" w="34">
                <a:moveTo>
                  <a:pt x="34" y="0"/>
                </a:moveTo>
                <a:cubicBezTo>
                  <a:pt x="28" y="0"/>
                  <a:pt x="22" y="0"/>
                  <a:pt x="17" y="6"/>
                </a:cubicBezTo>
                <a:cubicBezTo>
                  <a:pt x="11" y="11"/>
                  <a:pt x="5" y="24"/>
                  <a:pt x="3" y="32"/>
                </a:cubicBezTo>
                <a:cubicBezTo>
                  <a:pt x="0" y="39"/>
                  <a:pt x="3" y="47"/>
                  <a:pt x="3" y="50"/>
                </a:cubicBezTo>
              </a:path>
            </a:pathLst>
          </a:custGeom>
          <a:solidFill>
            <a:srgbClr val="FFFFFF"/>
          </a:solidFill>
          <a:ln w="19050" cmpd="sng">
            <a:solidFill>
              <a:srgbClr val="1FB714"/>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41" name="Oval 126"/>
          <xdr:cNvSpPr>
            <a:spLocks noChangeAspect="1"/>
          </xdr:cNvSpPr>
        </xdr:nvSpPr>
        <xdr:spPr>
          <a:xfrm>
            <a:off x="682" y="1980"/>
            <a:ext cx="7" cy="9"/>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TextBox 127"/>
          <xdr:cNvSpPr txBox="1">
            <a:spLocks noChangeAspect="1" noChangeArrowheads="1"/>
          </xdr:cNvSpPr>
        </xdr:nvSpPr>
        <xdr:spPr>
          <a:xfrm>
            <a:off x="693" y="1979"/>
            <a:ext cx="48" cy="22"/>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Aux Pt</a:t>
            </a:r>
          </a:p>
        </xdr:txBody>
      </xdr:sp>
      <xdr:sp>
        <xdr:nvSpPr>
          <xdr:cNvPr id="43" name="TextBox 128"/>
          <xdr:cNvSpPr txBox="1">
            <a:spLocks noChangeArrowheads="1"/>
          </xdr:cNvSpPr>
        </xdr:nvSpPr>
        <xdr:spPr>
          <a:xfrm>
            <a:off x="715" y="1807"/>
            <a:ext cx="90"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Geneva"/>
                <a:ea typeface="Geneva"/>
                <a:cs typeface="Geneva"/>
              </a:rPr>
              <a:t>Top of Photo</a:t>
            </a:r>
          </a:p>
        </xdr:txBody>
      </xdr:sp>
      <xdr:sp>
        <xdr:nvSpPr>
          <xdr:cNvPr id="44" name="Line 129"/>
          <xdr:cNvSpPr>
            <a:spLocks/>
          </xdr:cNvSpPr>
        </xdr:nvSpPr>
        <xdr:spPr>
          <a:xfrm>
            <a:off x="741" y="1928"/>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 name="Line 130"/>
          <xdr:cNvSpPr>
            <a:spLocks/>
          </xdr:cNvSpPr>
        </xdr:nvSpPr>
        <xdr:spPr>
          <a:xfrm>
            <a:off x="754" y="1917"/>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 name="Oval 131"/>
          <xdr:cNvSpPr>
            <a:spLocks/>
          </xdr:cNvSpPr>
        </xdr:nvSpPr>
        <xdr:spPr>
          <a:xfrm>
            <a:off x="751" y="1925"/>
            <a:ext cx="5" cy="7"/>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 name="Line 134"/>
          <xdr:cNvSpPr>
            <a:spLocks/>
          </xdr:cNvSpPr>
        </xdr:nvSpPr>
        <xdr:spPr>
          <a:xfrm flipH="1" flipV="1">
            <a:off x="753" y="1832"/>
            <a:ext cx="0" cy="92"/>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48" name="TextBox 135"/>
          <xdr:cNvSpPr txBox="1">
            <a:spLocks noChangeAspect="1" noChangeArrowheads="1"/>
          </xdr:cNvSpPr>
        </xdr:nvSpPr>
        <xdr:spPr>
          <a:xfrm>
            <a:off x="769" y="1920"/>
            <a:ext cx="73" cy="38"/>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Photo Center</a:t>
            </a:r>
          </a:p>
        </xdr:txBody>
      </xdr:sp>
      <xdr:sp>
        <xdr:nvSpPr>
          <xdr:cNvPr id="49" name="Line 136"/>
          <xdr:cNvSpPr>
            <a:spLocks/>
          </xdr:cNvSpPr>
        </xdr:nvSpPr>
        <xdr:spPr>
          <a:xfrm flipH="1">
            <a:off x="648" y="1928"/>
            <a:ext cx="105" cy="87"/>
          </a:xfrm>
          <a:prstGeom prst="line">
            <a:avLst/>
          </a:prstGeom>
          <a:noFill/>
          <a:ln w="19050" cmpd="sng">
            <a:solidFill>
              <a:srgbClr val="DD0806"/>
            </a:solidFill>
            <a:headEnd type="none"/>
            <a:tailEnd type="stealth"/>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104775</xdr:colOff>
      <xdr:row>24</xdr:row>
      <xdr:rowOff>95250</xdr:rowOff>
    </xdr:from>
    <xdr:to>
      <xdr:col>11</xdr:col>
      <xdr:colOff>447675</xdr:colOff>
      <xdr:row>42</xdr:row>
      <xdr:rowOff>0</xdr:rowOff>
    </xdr:to>
    <xdr:grpSp>
      <xdr:nvGrpSpPr>
        <xdr:cNvPr id="50" name="Group 183"/>
        <xdr:cNvGrpSpPr>
          <a:grpSpLocks/>
        </xdr:cNvGrpSpPr>
      </xdr:nvGrpSpPr>
      <xdr:grpSpPr>
        <a:xfrm>
          <a:off x="6781800" y="4657725"/>
          <a:ext cx="3057525" cy="2819400"/>
          <a:chOff x="626" y="479"/>
          <a:chExt cx="282" cy="296"/>
        </a:xfrm>
        <a:solidFill>
          <a:srgbClr val="FFFFFF"/>
        </a:solidFill>
      </xdr:grpSpPr>
      <xdr:sp>
        <xdr:nvSpPr>
          <xdr:cNvPr id="51" name="TextBox 139"/>
          <xdr:cNvSpPr txBox="1">
            <a:spLocks noChangeArrowheads="1"/>
          </xdr:cNvSpPr>
        </xdr:nvSpPr>
        <xdr:spPr>
          <a:xfrm>
            <a:off x="746" y="479"/>
            <a:ext cx="69" cy="20"/>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Top Width</a:t>
            </a:r>
          </a:p>
        </xdr:txBody>
      </xdr:sp>
      <xdr:sp>
        <xdr:nvSpPr>
          <xdr:cNvPr id="52" name="Line 140"/>
          <xdr:cNvSpPr>
            <a:spLocks/>
          </xdr:cNvSpPr>
        </xdr:nvSpPr>
        <xdr:spPr>
          <a:xfrm>
            <a:off x="814" y="489"/>
            <a:ext cx="31" cy="0"/>
          </a:xfrm>
          <a:prstGeom prst="line">
            <a:avLst/>
          </a:prstGeom>
          <a:noFill/>
          <a:ln w="22225"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53" name="Line 141"/>
          <xdr:cNvSpPr>
            <a:spLocks/>
          </xdr:cNvSpPr>
        </xdr:nvSpPr>
        <xdr:spPr>
          <a:xfrm flipH="1">
            <a:off x="702" y="489"/>
            <a:ext cx="42" cy="0"/>
          </a:xfrm>
          <a:prstGeom prst="line">
            <a:avLst/>
          </a:prstGeom>
          <a:noFill/>
          <a:ln w="22225"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54" name="Line 142"/>
          <xdr:cNvSpPr>
            <a:spLocks/>
          </xdr:cNvSpPr>
        </xdr:nvSpPr>
        <xdr:spPr>
          <a:xfrm flipV="1">
            <a:off x="676" y="499"/>
            <a:ext cx="0" cy="132"/>
          </a:xfrm>
          <a:prstGeom prst="line">
            <a:avLst/>
          </a:prstGeom>
          <a:noFill/>
          <a:ln w="22225"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55" name="Line 143"/>
          <xdr:cNvSpPr>
            <a:spLocks/>
          </xdr:cNvSpPr>
        </xdr:nvSpPr>
        <xdr:spPr>
          <a:xfrm flipH="1">
            <a:off x="676" y="661"/>
            <a:ext cx="0" cy="109"/>
          </a:xfrm>
          <a:prstGeom prst="line">
            <a:avLst/>
          </a:prstGeom>
          <a:noFill/>
          <a:ln w="22225"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56" name="TextBox 144"/>
          <xdr:cNvSpPr txBox="1">
            <a:spLocks noChangeArrowheads="1"/>
          </xdr:cNvSpPr>
        </xdr:nvSpPr>
        <xdr:spPr>
          <a:xfrm>
            <a:off x="626" y="632"/>
            <a:ext cx="86" cy="27"/>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Side Height</a:t>
            </a:r>
          </a:p>
        </xdr:txBody>
      </xdr:sp>
      <xdr:sp>
        <xdr:nvSpPr>
          <xdr:cNvPr id="57" name="Rectangle 145"/>
          <xdr:cNvSpPr>
            <a:spLocks/>
          </xdr:cNvSpPr>
        </xdr:nvSpPr>
        <xdr:spPr>
          <a:xfrm rot="5400000">
            <a:off x="634" y="567"/>
            <a:ext cx="274" cy="14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381000</xdr:colOff>
      <xdr:row>82</xdr:row>
      <xdr:rowOff>47625</xdr:rowOff>
    </xdr:from>
    <xdr:to>
      <xdr:col>10</xdr:col>
      <xdr:colOff>914400</xdr:colOff>
      <xdr:row>94</xdr:row>
      <xdr:rowOff>114300</xdr:rowOff>
    </xdr:to>
    <xdr:grpSp>
      <xdr:nvGrpSpPr>
        <xdr:cNvPr id="58" name="Group 180"/>
        <xdr:cNvGrpSpPr>
          <a:grpSpLocks/>
        </xdr:cNvGrpSpPr>
      </xdr:nvGrpSpPr>
      <xdr:grpSpPr>
        <a:xfrm>
          <a:off x="7058025" y="14087475"/>
          <a:ext cx="2266950" cy="2009775"/>
          <a:chOff x="651" y="1469"/>
          <a:chExt cx="209" cy="211"/>
        </a:xfrm>
        <a:solidFill>
          <a:srgbClr val="FFFFFF"/>
        </a:solidFill>
      </xdr:grpSpPr>
      <xdr:sp>
        <xdr:nvSpPr>
          <xdr:cNvPr id="59" name="Rectangle 157"/>
          <xdr:cNvSpPr>
            <a:spLocks/>
          </xdr:cNvSpPr>
        </xdr:nvSpPr>
        <xdr:spPr>
          <a:xfrm>
            <a:off x="651" y="1495"/>
            <a:ext cx="209" cy="18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 name="Oval 160"/>
          <xdr:cNvSpPr>
            <a:spLocks noChangeAspect="1"/>
          </xdr:cNvSpPr>
        </xdr:nvSpPr>
        <xdr:spPr>
          <a:xfrm>
            <a:off x="684" y="1641"/>
            <a:ext cx="7" cy="9"/>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1" name="TextBox 161"/>
          <xdr:cNvSpPr txBox="1">
            <a:spLocks noChangeAspect="1" noChangeArrowheads="1"/>
          </xdr:cNvSpPr>
        </xdr:nvSpPr>
        <xdr:spPr>
          <a:xfrm>
            <a:off x="695" y="1639"/>
            <a:ext cx="48" cy="23"/>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Aux Pt</a:t>
            </a:r>
          </a:p>
        </xdr:txBody>
      </xdr:sp>
      <xdr:sp>
        <xdr:nvSpPr>
          <xdr:cNvPr id="62" name="TextBox 162"/>
          <xdr:cNvSpPr txBox="1">
            <a:spLocks noChangeArrowheads="1"/>
          </xdr:cNvSpPr>
        </xdr:nvSpPr>
        <xdr:spPr>
          <a:xfrm>
            <a:off x="717" y="1469"/>
            <a:ext cx="90"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Geneva"/>
                <a:ea typeface="Geneva"/>
                <a:cs typeface="Geneva"/>
              </a:rPr>
              <a:t>Top of Photo</a:t>
            </a:r>
          </a:p>
        </xdr:txBody>
      </xdr:sp>
      <xdr:sp>
        <xdr:nvSpPr>
          <xdr:cNvPr id="63" name="Line 163"/>
          <xdr:cNvSpPr>
            <a:spLocks/>
          </xdr:cNvSpPr>
        </xdr:nvSpPr>
        <xdr:spPr>
          <a:xfrm>
            <a:off x="743" y="1588"/>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4" name="Line 164"/>
          <xdr:cNvSpPr>
            <a:spLocks/>
          </xdr:cNvSpPr>
        </xdr:nvSpPr>
        <xdr:spPr>
          <a:xfrm>
            <a:off x="756" y="1578"/>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5" name="Oval 165"/>
          <xdr:cNvSpPr>
            <a:spLocks/>
          </xdr:cNvSpPr>
        </xdr:nvSpPr>
        <xdr:spPr>
          <a:xfrm>
            <a:off x="753" y="1586"/>
            <a:ext cx="5" cy="6"/>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6" name="Line 166"/>
          <xdr:cNvSpPr>
            <a:spLocks/>
          </xdr:cNvSpPr>
        </xdr:nvSpPr>
        <xdr:spPr>
          <a:xfrm flipH="1" flipV="1">
            <a:off x="755" y="1493"/>
            <a:ext cx="0" cy="91"/>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67" name="TextBox 167"/>
          <xdr:cNvSpPr txBox="1">
            <a:spLocks noChangeAspect="1" noChangeArrowheads="1"/>
          </xdr:cNvSpPr>
        </xdr:nvSpPr>
        <xdr:spPr>
          <a:xfrm>
            <a:off x="771" y="1580"/>
            <a:ext cx="73" cy="37"/>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Photo Center</a:t>
            </a:r>
          </a:p>
        </xdr:txBody>
      </xdr:sp>
    </xdr:grpSp>
    <xdr:clientData/>
  </xdr:twoCellAnchor>
  <xdr:twoCellAnchor>
    <xdr:from>
      <xdr:col>7</xdr:col>
      <xdr:colOff>838200</xdr:colOff>
      <xdr:row>118</xdr:row>
      <xdr:rowOff>19050</xdr:rowOff>
    </xdr:from>
    <xdr:to>
      <xdr:col>12</xdr:col>
      <xdr:colOff>847725</xdr:colOff>
      <xdr:row>155</xdr:row>
      <xdr:rowOff>104775</xdr:rowOff>
    </xdr:to>
    <xdr:grpSp>
      <xdr:nvGrpSpPr>
        <xdr:cNvPr id="68" name="Group 184"/>
        <xdr:cNvGrpSpPr>
          <a:grpSpLocks/>
        </xdr:cNvGrpSpPr>
      </xdr:nvGrpSpPr>
      <xdr:grpSpPr>
        <a:xfrm>
          <a:off x="6648450" y="20221575"/>
          <a:ext cx="4352925" cy="6153150"/>
          <a:chOff x="29" y="2860"/>
          <a:chExt cx="401" cy="646"/>
        </a:xfrm>
        <a:solidFill>
          <a:srgbClr val="FFFFFF"/>
        </a:solidFill>
      </xdr:grpSpPr>
      <xdr:sp>
        <xdr:nvSpPr>
          <xdr:cNvPr id="69" name="TextBox 185"/>
          <xdr:cNvSpPr txBox="1">
            <a:spLocks noChangeArrowheads="1"/>
          </xdr:cNvSpPr>
        </xdr:nvSpPr>
        <xdr:spPr>
          <a:xfrm>
            <a:off x="29" y="2860"/>
            <a:ext cx="401" cy="646"/>
          </a:xfrm>
          <a:prstGeom prst="rect">
            <a:avLst/>
          </a:prstGeom>
          <a:gradFill rotWithShape="1">
            <a:gsLst>
              <a:gs pos="0">
                <a:srgbClr val="69FFFF"/>
              </a:gs>
              <a:gs pos="100000">
                <a:srgbClr val="FFFF99"/>
              </a:gs>
            </a:gsLst>
            <a:lin ang="2700000" scaled="1"/>
          </a:gradFill>
          <a:ln w="34925" cmpd="sng">
            <a:solidFill>
              <a:srgbClr val="DD0806"/>
            </a:solidFill>
            <a:headEnd type="none"/>
            <a:tailEnd type="none"/>
          </a:ln>
        </xdr:spPr>
        <xdr:txBody>
          <a:bodyPr vertOverflow="clip" wrap="square" lIns="91440" tIns="45720" rIns="91440" bIns="45720"/>
          <a:p>
            <a:pPr algn="l">
              <a:defRPr/>
            </a:pPr>
            <a:r>
              <a:rPr lang="en-US" cap="none" sz="1000" b="1" i="0" u="none" baseline="0">
                <a:latin typeface="Geneva"/>
                <a:ea typeface="Geneva"/>
                <a:cs typeface="Geneva"/>
              </a:rPr>
              <a:t>A complete guide to the use of Astronaut Photography for Remote Sensing is contained in the following paper:</a:t>
            </a:r>
            <a:r>
              <a:rPr lang="en-US" cap="none" sz="1000" b="0" i="0" u="none" baseline="0">
                <a:latin typeface="Geneva"/>
                <a:ea typeface="Geneva"/>
                <a:cs typeface="Geneva"/>
              </a:rPr>
              <a:t>
</a:t>
            </a:r>
            <a:r>
              <a:rPr lang="en-US" cap="none" sz="1000" b="1" i="0" u="none" baseline="0">
                <a:latin typeface="Geneva"/>
                <a:ea typeface="Geneva"/>
                <a:cs typeface="Geneva"/>
              </a:rPr>
              <a:t>Questions or Problems Should be Emailed to: </a:t>
            </a:r>
            <a:r>
              <a:rPr lang="en-US" cap="none" sz="1000" b="0" i="0" u="none" baseline="0">
                <a:latin typeface="Geneva"/>
                <a:ea typeface="Geneva"/>
                <a:cs typeface="Geneva"/>
              </a:rPr>
              <a:t>
</a:t>
            </a:r>
            <a:r>
              <a:rPr lang="en-US" cap="none" sz="1000" b="1" i="0" u="none" baseline="0">
                <a:latin typeface="Geneva"/>
                <a:ea typeface="Geneva"/>
                <a:cs typeface="Geneva"/>
              </a:rPr>
              <a:t>Software Updates can be Obtained from the Web Site</a:t>
            </a:r>
            <a:r>
              <a:rPr lang="en-US" cap="none" sz="1000" b="0" i="0" u="none" baseline="0">
                <a:latin typeface="Geneva"/>
                <a:ea typeface="Geneva"/>
                <a:cs typeface="Geneva"/>
              </a:rPr>
              <a:t>:  </a:t>
            </a:r>
          </a:p>
        </xdr:txBody>
      </xdr:sp>
      <xdr:sp textlink="Introduction!C131">
        <xdr:nvSpPr>
          <xdr:cNvPr id="70" name="E-mail"/>
          <xdr:cNvSpPr txBox="1">
            <a:spLocks noChangeArrowheads="1"/>
          </xdr:cNvSpPr>
        </xdr:nvSpPr>
        <xdr:spPr>
          <a:xfrm>
            <a:off x="61" y="3187"/>
            <a:ext cx="352" cy="29"/>
          </a:xfrm>
          <a:prstGeom prst="rect">
            <a:avLst/>
          </a:prstGeom>
          <a:noFill/>
          <a:ln w="9525" cmpd="sng">
            <a:noFill/>
          </a:ln>
        </xdr:spPr>
        <xdr:txBody>
          <a:bodyPr vertOverflow="clip" wrap="square" anchor="ctr"/>
          <a:p>
            <a:pPr algn="l">
              <a:defRPr/>
            </a:pPr>
            <a:fld id="{94b8f372-4fb7-49ff-9303-e4d3403b6faf}" type="TxLink">
              <a:rPr lang="en-US" cap="none" sz="1000" b="0" i="0" u="sng" baseline="0">
                <a:solidFill>
                  <a:srgbClr val="0000D4"/>
                </a:solidFill>
                <a:latin typeface="Geneva"/>
                <a:ea typeface="Geneva"/>
                <a:cs typeface="Geneva"/>
              </a:rPr>
              <a:t>earthweb@ems.jsc.nasa.gov</a:t>
            </a:fld>
          </a:p>
        </xdr:txBody>
      </xdr:sp>
      <xdr:sp textlink="Introduction!B135">
        <xdr:nvSpPr>
          <xdr:cNvPr id="71" name="Rectangle 187"/>
          <xdr:cNvSpPr>
            <a:spLocks/>
          </xdr:cNvSpPr>
        </xdr:nvSpPr>
        <xdr:spPr>
          <a:xfrm>
            <a:off x="60" y="3262"/>
            <a:ext cx="360" cy="46"/>
          </a:xfrm>
          <a:prstGeom prst="rect">
            <a:avLst/>
          </a:prstGeom>
          <a:noFill/>
          <a:ln w="9525" cmpd="sng">
            <a:noFill/>
          </a:ln>
        </xdr:spPr>
        <xdr:txBody>
          <a:bodyPr vertOverflow="clip" wrap="square"/>
          <a:p>
            <a:pPr algn="l">
              <a:defRPr/>
            </a:pPr>
            <a:r>
              <a:rPr lang="en-US" cap="none" sz="1000" b="0" i="0" u="sng" baseline="0">
                <a:solidFill>
                  <a:srgbClr val="0000D4"/>
                </a:solidFill>
                <a:latin typeface="Geneva"/>
                <a:ea typeface="Geneva"/>
                <a:cs typeface="Geneva"/>
              </a:rPr>
              <a:t>http://eol.jsc.nasa.gov/sseop/FootprintCalculator.xls</a:t>
            </a:r>
          </a:p>
        </xdr:txBody>
      </xdr:sp>
      <xdr:sp textlink="Introduction!B126">
        <xdr:nvSpPr>
          <xdr:cNvPr id="72" name="TextBox 188"/>
          <xdr:cNvSpPr txBox="1">
            <a:spLocks noChangeArrowheads="1"/>
          </xdr:cNvSpPr>
        </xdr:nvSpPr>
        <xdr:spPr>
          <a:xfrm>
            <a:off x="41" y="3039"/>
            <a:ext cx="320" cy="106"/>
          </a:xfrm>
          <a:prstGeom prst="rect">
            <a:avLst/>
          </a:prstGeom>
          <a:noFill/>
          <a:ln w="9525" cmpd="sng">
            <a:noFill/>
          </a:ln>
        </xdr:spPr>
        <xdr:txBody>
          <a:bodyPr vertOverflow="clip" wrap="square" anchor="ctr"/>
          <a:p>
            <a:pPr algn="l">
              <a:defRPr/>
            </a:pPr>
            <a:fld id="{4cbc87cd-306e-4f91-beb6-b5c1631cc66a}" type="TxLink">
              <a:rPr lang="en-US" cap="none" sz="1000" b="1" i="0" u="none" baseline="0">
                <a:latin typeface="Geneva"/>
                <a:ea typeface="Geneva"/>
                <a:cs typeface="Geneva"/>
              </a:rPr>
              <a:t>The mathematical technique and this Excel based calculator were developed by:  Donn A. Liddle, Lockheed Martin Space Operations,  The Earth Sciences and Image Analysis Laboratory /SX3, NASA - Johnson Space Center, Houston, Texas, 77058</a:t>
            </a:fld>
          </a:p>
        </xdr:txBody>
      </xdr:sp>
      <xdr:sp>
        <xdr:nvSpPr>
          <xdr:cNvPr id="73" name="TextBox 189"/>
          <xdr:cNvSpPr txBox="1">
            <a:spLocks noChangeArrowheads="1"/>
          </xdr:cNvSpPr>
        </xdr:nvSpPr>
        <xdr:spPr>
          <a:xfrm>
            <a:off x="47" y="3306"/>
            <a:ext cx="376" cy="101"/>
          </a:xfrm>
          <a:prstGeom prst="rect">
            <a:avLst/>
          </a:prstGeom>
          <a:noFill/>
          <a:ln w="9525" cmpd="sng">
            <a:noFill/>
          </a:ln>
        </xdr:spPr>
        <xdr:txBody>
          <a:bodyPr vertOverflow="clip" wrap="square"/>
          <a:p>
            <a:pPr algn="l">
              <a:defRPr/>
            </a:pPr>
            <a:r>
              <a:rPr lang="en-US" cap="none" sz="1200" b="1" i="0" u="sng" baseline="0">
                <a:solidFill>
                  <a:srgbClr val="DD0806"/>
                </a:solidFill>
                <a:latin typeface="Geneva"/>
                <a:ea typeface="Geneva"/>
                <a:cs typeface="Geneva"/>
              </a:rPr>
              <a:t>Copyright Infomation</a:t>
            </a:r>
            <a:r>
              <a:rPr lang="en-US" cap="none" sz="1200" b="1" i="0" u="none" baseline="0">
                <a:solidFill>
                  <a:srgbClr val="DD0806"/>
                </a:solidFill>
                <a:latin typeface="Geneva"/>
                <a:ea typeface="Geneva"/>
                <a:cs typeface="Geneva"/>
              </a:rPr>
              <a:t>
Low Oblique Space Photo Footprint Calculator     ©, 2002, Lockheed Martin Corporation, All Rights Reserved</a:t>
            </a:r>
          </a:p>
        </xdr:txBody>
      </xdr:sp>
      <xdr:sp>
        <xdr:nvSpPr>
          <xdr:cNvPr id="74" name="TextBox 190"/>
          <xdr:cNvSpPr txBox="1">
            <a:spLocks noChangeArrowheads="1"/>
          </xdr:cNvSpPr>
        </xdr:nvSpPr>
        <xdr:spPr>
          <a:xfrm>
            <a:off x="45" y="2911"/>
            <a:ext cx="346" cy="102"/>
          </a:xfrm>
          <a:prstGeom prst="rect">
            <a:avLst/>
          </a:prstGeom>
          <a:noFill/>
          <a:ln w="9525" cmpd="sng">
            <a:noFill/>
          </a:ln>
        </xdr:spPr>
        <xdr:txBody>
          <a:bodyPr vertOverflow="clip" wrap="square"/>
          <a:p>
            <a:pPr algn="l">
              <a:defRPr/>
            </a:pPr>
            <a:r>
              <a:rPr lang="en-US" cap="none" sz="1000" b="1" i="0" u="none" baseline="0">
                <a:solidFill>
                  <a:srgbClr val="900000"/>
                </a:solidFill>
                <a:latin typeface="Geneva"/>
                <a:ea typeface="Geneva"/>
                <a:cs typeface="Geneva"/>
              </a:rPr>
              <a:t>Robinson, Julie A.; Amsbury, David L.; Liddle, Donn A., Evans, Cynthia A.; "Astronaut-acquired Orbital Photographs as Digital Data for Remote Sensing: Spatial Resolution", International Journal of Remote Sensing, Vol 23 No.20, Oct 20, 2002, P. 4403-4438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9525</xdr:rowOff>
    </xdr:from>
    <xdr:to>
      <xdr:col>3</xdr:col>
      <xdr:colOff>933450</xdr:colOff>
      <xdr:row>53</xdr:row>
      <xdr:rowOff>295275</xdr:rowOff>
    </xdr:to>
    <xdr:sp>
      <xdr:nvSpPr>
        <xdr:cNvPr id="1" name="Rectangle 23"/>
        <xdr:cNvSpPr>
          <a:spLocks/>
        </xdr:cNvSpPr>
      </xdr:nvSpPr>
      <xdr:spPr>
        <a:xfrm>
          <a:off x="9525" y="11458575"/>
          <a:ext cx="4029075" cy="285750"/>
        </a:xfrm>
        <a:prstGeom prst="rect">
          <a:avLst/>
        </a:prstGeom>
        <a:pattFill prst="dkUpDiag">
          <a:fgClr>
            <a:srgbClr val="000000"/>
          </a:fgClr>
          <a:bgClr>
            <a:srgbClr val="FFFFFF"/>
          </a:bgClr>
        </a:pattFill>
        <a:ln w="1"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400050</xdr:colOff>
      <xdr:row>53</xdr:row>
      <xdr:rowOff>9525</xdr:rowOff>
    </xdr:from>
    <xdr:to>
      <xdr:col>23</xdr:col>
      <xdr:colOff>66675</xdr:colOff>
      <xdr:row>53</xdr:row>
      <xdr:rowOff>295275</xdr:rowOff>
    </xdr:to>
    <xdr:sp>
      <xdr:nvSpPr>
        <xdr:cNvPr id="2" name="Rectangle 24"/>
        <xdr:cNvSpPr>
          <a:spLocks/>
        </xdr:cNvSpPr>
      </xdr:nvSpPr>
      <xdr:spPr>
        <a:xfrm>
          <a:off x="8220075" y="11458575"/>
          <a:ext cx="14239875" cy="285750"/>
        </a:xfrm>
        <a:prstGeom prst="rect">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752475</xdr:colOff>
      <xdr:row>76</xdr:row>
      <xdr:rowOff>76200</xdr:rowOff>
    </xdr:from>
    <xdr:to>
      <xdr:col>10</xdr:col>
      <xdr:colOff>238125</xdr:colOff>
      <xdr:row>97</xdr:row>
      <xdr:rowOff>152400</xdr:rowOff>
    </xdr:to>
    <xdr:grpSp>
      <xdr:nvGrpSpPr>
        <xdr:cNvPr id="3" name="Group 146"/>
        <xdr:cNvGrpSpPr>
          <a:grpSpLocks/>
        </xdr:cNvGrpSpPr>
      </xdr:nvGrpSpPr>
      <xdr:grpSpPr>
        <a:xfrm>
          <a:off x="7477125" y="15878175"/>
          <a:ext cx="3695700" cy="3276600"/>
          <a:chOff x="573" y="1243"/>
          <a:chExt cx="324" cy="322"/>
        </a:xfrm>
        <a:solidFill>
          <a:srgbClr val="FFFFFF"/>
        </a:solidFill>
      </xdr:grpSpPr>
      <xdr:sp>
        <xdr:nvSpPr>
          <xdr:cNvPr id="4" name="Line 63"/>
          <xdr:cNvSpPr>
            <a:spLocks/>
          </xdr:cNvSpPr>
        </xdr:nvSpPr>
        <xdr:spPr>
          <a:xfrm>
            <a:off x="578" y="1404"/>
            <a:ext cx="310" cy="0"/>
          </a:xfrm>
          <a:prstGeom prst="line">
            <a:avLst/>
          </a:prstGeom>
          <a:solidFill>
            <a:srgbClr val="FFFFFF"/>
          </a:solidFill>
          <a:ln w="12700"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 name="Oval 72"/>
          <xdr:cNvSpPr>
            <a:spLocks/>
          </xdr:cNvSpPr>
        </xdr:nvSpPr>
        <xdr:spPr>
          <a:xfrm>
            <a:off x="573" y="1243"/>
            <a:ext cx="14"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 name="Oval 73"/>
          <xdr:cNvSpPr>
            <a:spLocks/>
          </xdr:cNvSpPr>
        </xdr:nvSpPr>
        <xdr:spPr>
          <a:xfrm>
            <a:off x="581" y="1250"/>
            <a:ext cx="309" cy="307"/>
          </a:xfrm>
          <a:prstGeom prst="ellipse">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 name="Line 74"/>
          <xdr:cNvSpPr>
            <a:spLocks/>
          </xdr:cNvSpPr>
        </xdr:nvSpPr>
        <xdr:spPr>
          <a:xfrm>
            <a:off x="731" y="1250"/>
            <a:ext cx="0" cy="57"/>
          </a:xfrm>
          <a:prstGeom prst="line">
            <a:avLst/>
          </a:prstGeom>
          <a:noFill/>
          <a:ln w="12700"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 name="Line 75"/>
          <xdr:cNvSpPr>
            <a:spLocks/>
          </xdr:cNvSpPr>
        </xdr:nvSpPr>
        <xdr:spPr>
          <a:xfrm>
            <a:off x="731" y="1328"/>
            <a:ext cx="0" cy="128"/>
          </a:xfrm>
          <a:prstGeom prst="line">
            <a:avLst/>
          </a:prstGeom>
          <a:noFill/>
          <a:ln w="12700"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 name="Line 76"/>
          <xdr:cNvSpPr>
            <a:spLocks/>
          </xdr:cNvSpPr>
        </xdr:nvSpPr>
        <xdr:spPr>
          <a:xfrm flipH="1">
            <a:off x="731" y="1482"/>
            <a:ext cx="0" cy="78"/>
          </a:xfrm>
          <a:prstGeom prst="line">
            <a:avLst/>
          </a:prstGeom>
          <a:noFill/>
          <a:ln w="12700"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 name="Line 83"/>
          <xdr:cNvSpPr>
            <a:spLocks/>
          </xdr:cNvSpPr>
        </xdr:nvSpPr>
        <xdr:spPr>
          <a:xfrm flipV="1">
            <a:off x="581" y="1503"/>
            <a:ext cx="0" cy="53"/>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 name="Line 84"/>
          <xdr:cNvSpPr>
            <a:spLocks/>
          </xdr:cNvSpPr>
        </xdr:nvSpPr>
        <xdr:spPr>
          <a:xfrm flipV="1">
            <a:off x="580" y="1328"/>
            <a:ext cx="0" cy="146"/>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 name="Line 85"/>
          <xdr:cNvSpPr>
            <a:spLocks/>
          </xdr:cNvSpPr>
        </xdr:nvSpPr>
        <xdr:spPr>
          <a:xfrm flipV="1">
            <a:off x="579" y="1253"/>
            <a:ext cx="1" cy="55"/>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 name="Line 86"/>
          <xdr:cNvSpPr>
            <a:spLocks/>
          </xdr:cNvSpPr>
        </xdr:nvSpPr>
        <xdr:spPr>
          <a:xfrm flipV="1">
            <a:off x="891" y="1502"/>
            <a:ext cx="0" cy="53"/>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 name="Line 87"/>
          <xdr:cNvSpPr>
            <a:spLocks/>
          </xdr:cNvSpPr>
        </xdr:nvSpPr>
        <xdr:spPr>
          <a:xfrm flipV="1">
            <a:off x="889" y="1330"/>
            <a:ext cx="0" cy="142"/>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 name="Line 88"/>
          <xdr:cNvSpPr>
            <a:spLocks/>
          </xdr:cNvSpPr>
        </xdr:nvSpPr>
        <xdr:spPr>
          <a:xfrm flipV="1">
            <a:off x="889" y="1251"/>
            <a:ext cx="0" cy="57"/>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 name="Line 89"/>
          <xdr:cNvSpPr>
            <a:spLocks/>
          </xdr:cNvSpPr>
        </xdr:nvSpPr>
        <xdr:spPr>
          <a:xfrm>
            <a:off x="581" y="1558"/>
            <a:ext cx="310" cy="0"/>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 name="Line 90"/>
          <xdr:cNvSpPr>
            <a:spLocks/>
          </xdr:cNvSpPr>
        </xdr:nvSpPr>
        <xdr:spPr>
          <a:xfrm>
            <a:off x="576" y="1250"/>
            <a:ext cx="311" cy="0"/>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 name="Oval 120"/>
          <xdr:cNvSpPr>
            <a:spLocks/>
          </xdr:cNvSpPr>
        </xdr:nvSpPr>
        <xdr:spPr>
          <a:xfrm>
            <a:off x="724" y="1245"/>
            <a:ext cx="13"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 name="Oval 121"/>
          <xdr:cNvSpPr>
            <a:spLocks/>
          </xdr:cNvSpPr>
        </xdr:nvSpPr>
        <xdr:spPr>
          <a:xfrm>
            <a:off x="881" y="1245"/>
            <a:ext cx="14"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 name="Oval 122"/>
          <xdr:cNvSpPr>
            <a:spLocks/>
          </xdr:cNvSpPr>
        </xdr:nvSpPr>
        <xdr:spPr>
          <a:xfrm>
            <a:off x="573" y="1396"/>
            <a:ext cx="14"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 name="Oval 123"/>
          <xdr:cNvSpPr>
            <a:spLocks/>
          </xdr:cNvSpPr>
        </xdr:nvSpPr>
        <xdr:spPr>
          <a:xfrm>
            <a:off x="724" y="1397"/>
            <a:ext cx="13"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 name="Oval 124"/>
          <xdr:cNvSpPr>
            <a:spLocks/>
          </xdr:cNvSpPr>
        </xdr:nvSpPr>
        <xdr:spPr>
          <a:xfrm>
            <a:off x="882" y="1397"/>
            <a:ext cx="14"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 name="Oval 125"/>
          <xdr:cNvSpPr>
            <a:spLocks/>
          </xdr:cNvSpPr>
        </xdr:nvSpPr>
        <xdr:spPr>
          <a:xfrm>
            <a:off x="575" y="1551"/>
            <a:ext cx="14"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 name="Oval 126"/>
          <xdr:cNvSpPr>
            <a:spLocks/>
          </xdr:cNvSpPr>
        </xdr:nvSpPr>
        <xdr:spPr>
          <a:xfrm>
            <a:off x="725" y="1549"/>
            <a:ext cx="13"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 name="Oval 127"/>
          <xdr:cNvSpPr>
            <a:spLocks/>
          </xdr:cNvSpPr>
        </xdr:nvSpPr>
        <xdr:spPr>
          <a:xfrm>
            <a:off x="884" y="1549"/>
            <a:ext cx="13"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85725</xdr:colOff>
      <xdr:row>97</xdr:row>
      <xdr:rowOff>0</xdr:rowOff>
    </xdr:from>
    <xdr:to>
      <xdr:col>4</xdr:col>
      <xdr:colOff>914400</xdr:colOff>
      <xdr:row>118</xdr:row>
      <xdr:rowOff>114300</xdr:rowOff>
    </xdr:to>
    <xdr:grpSp>
      <xdr:nvGrpSpPr>
        <xdr:cNvPr id="26" name="Group 161"/>
        <xdr:cNvGrpSpPr>
          <a:grpSpLocks/>
        </xdr:cNvGrpSpPr>
      </xdr:nvGrpSpPr>
      <xdr:grpSpPr>
        <a:xfrm>
          <a:off x="1200150" y="19002375"/>
          <a:ext cx="3762375" cy="3362325"/>
          <a:chOff x="92" y="1644"/>
          <a:chExt cx="313" cy="301"/>
        </a:xfrm>
        <a:solidFill>
          <a:srgbClr val="FFFFFF"/>
        </a:solidFill>
      </xdr:grpSpPr>
      <xdr:sp>
        <xdr:nvSpPr>
          <xdr:cNvPr id="27" name="Line 115"/>
          <xdr:cNvSpPr>
            <a:spLocks/>
          </xdr:cNvSpPr>
        </xdr:nvSpPr>
        <xdr:spPr>
          <a:xfrm>
            <a:off x="101" y="1795"/>
            <a:ext cx="296" cy="0"/>
          </a:xfrm>
          <a:prstGeom prst="line">
            <a:avLst/>
          </a:prstGeom>
          <a:no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Oval 98"/>
          <xdr:cNvSpPr>
            <a:spLocks/>
          </xdr:cNvSpPr>
        </xdr:nvSpPr>
        <xdr:spPr>
          <a:xfrm>
            <a:off x="101" y="1651"/>
            <a:ext cx="297" cy="288"/>
          </a:xfrm>
          <a:prstGeom prst="ellipse">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 name="Line 100"/>
          <xdr:cNvSpPr>
            <a:spLocks/>
          </xdr:cNvSpPr>
        </xdr:nvSpPr>
        <xdr:spPr>
          <a:xfrm>
            <a:off x="245" y="1651"/>
            <a:ext cx="0" cy="286"/>
          </a:xfrm>
          <a:prstGeom prst="line">
            <a:avLst/>
          </a:prstGeom>
          <a:no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 name="Line 108"/>
          <xdr:cNvSpPr>
            <a:spLocks/>
          </xdr:cNvSpPr>
        </xdr:nvSpPr>
        <xdr:spPr>
          <a:xfrm flipH="1" flipV="1">
            <a:off x="100" y="1654"/>
            <a:ext cx="0" cy="286"/>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 name="Line 111"/>
          <xdr:cNvSpPr>
            <a:spLocks/>
          </xdr:cNvSpPr>
        </xdr:nvSpPr>
        <xdr:spPr>
          <a:xfrm flipH="1" flipV="1">
            <a:off x="396" y="1651"/>
            <a:ext cx="1" cy="287"/>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 name="Line 113"/>
          <xdr:cNvSpPr>
            <a:spLocks/>
          </xdr:cNvSpPr>
        </xdr:nvSpPr>
        <xdr:spPr>
          <a:xfrm>
            <a:off x="101" y="1940"/>
            <a:ext cx="298" cy="0"/>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Line 114"/>
          <xdr:cNvSpPr>
            <a:spLocks/>
          </xdr:cNvSpPr>
        </xdr:nvSpPr>
        <xdr:spPr>
          <a:xfrm>
            <a:off x="96" y="1651"/>
            <a:ext cx="299" cy="0"/>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 name="Oval 128"/>
          <xdr:cNvSpPr>
            <a:spLocks/>
          </xdr:cNvSpPr>
        </xdr:nvSpPr>
        <xdr:spPr>
          <a:xfrm>
            <a:off x="388" y="1645"/>
            <a:ext cx="13"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 name="Oval 130"/>
          <xdr:cNvSpPr>
            <a:spLocks/>
          </xdr:cNvSpPr>
        </xdr:nvSpPr>
        <xdr:spPr>
          <a:xfrm>
            <a:off x="239" y="1645"/>
            <a:ext cx="14"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Oval 131"/>
          <xdr:cNvSpPr>
            <a:spLocks/>
          </xdr:cNvSpPr>
        </xdr:nvSpPr>
        <xdr:spPr>
          <a:xfrm>
            <a:off x="92" y="1644"/>
            <a:ext cx="13"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 name="Oval 132"/>
          <xdr:cNvSpPr>
            <a:spLocks/>
          </xdr:cNvSpPr>
        </xdr:nvSpPr>
        <xdr:spPr>
          <a:xfrm>
            <a:off x="94" y="1787"/>
            <a:ext cx="13"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 name="Oval 133"/>
          <xdr:cNvSpPr>
            <a:spLocks/>
          </xdr:cNvSpPr>
        </xdr:nvSpPr>
        <xdr:spPr>
          <a:xfrm>
            <a:off x="239" y="1789"/>
            <a:ext cx="13"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Oval 134"/>
          <xdr:cNvSpPr>
            <a:spLocks/>
          </xdr:cNvSpPr>
        </xdr:nvSpPr>
        <xdr:spPr>
          <a:xfrm>
            <a:off x="392" y="1789"/>
            <a:ext cx="13"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 name="Oval 135"/>
          <xdr:cNvSpPr>
            <a:spLocks/>
          </xdr:cNvSpPr>
        </xdr:nvSpPr>
        <xdr:spPr>
          <a:xfrm>
            <a:off x="390" y="1928"/>
            <a:ext cx="13" cy="16"/>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 name="Oval 136"/>
          <xdr:cNvSpPr>
            <a:spLocks/>
          </xdr:cNvSpPr>
        </xdr:nvSpPr>
        <xdr:spPr>
          <a:xfrm>
            <a:off x="93" y="1929"/>
            <a:ext cx="14" cy="16"/>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Oval 137"/>
          <xdr:cNvSpPr>
            <a:spLocks/>
          </xdr:cNvSpPr>
        </xdr:nvSpPr>
        <xdr:spPr>
          <a:xfrm>
            <a:off x="239" y="1928"/>
            <a:ext cx="13" cy="15"/>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47625</xdr:colOff>
      <xdr:row>106</xdr:row>
      <xdr:rowOff>76200</xdr:rowOff>
    </xdr:from>
    <xdr:to>
      <xdr:col>7</xdr:col>
      <xdr:colOff>171450</xdr:colOff>
      <xdr:row>107</xdr:row>
      <xdr:rowOff>104775</xdr:rowOff>
    </xdr:to>
    <xdr:sp>
      <xdr:nvSpPr>
        <xdr:cNvPr id="43" name="AutoShape 198"/>
        <xdr:cNvSpPr>
          <a:spLocks/>
        </xdr:cNvSpPr>
      </xdr:nvSpPr>
      <xdr:spPr>
        <a:xfrm>
          <a:off x="6772275" y="20497800"/>
          <a:ext cx="1219200" cy="180975"/>
        </a:xfrm>
        <a:prstGeom prst="wedgeRectCallout">
          <a:avLst>
            <a:gd name="adj1" fmla="val 1430"/>
            <a:gd name="adj2" fmla="val 176666"/>
          </a:avLst>
        </a:prstGeom>
        <a:solidFill>
          <a:srgbClr val="FFFFFF"/>
        </a:solidFill>
        <a:ln w="1587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Central Image Pixel</a:t>
          </a:r>
        </a:p>
      </xdr:txBody>
    </xdr:sp>
    <xdr:clientData/>
  </xdr:twoCellAnchor>
  <xdr:twoCellAnchor>
    <xdr:from>
      <xdr:col>6</xdr:col>
      <xdr:colOff>190500</xdr:colOff>
      <xdr:row>107</xdr:row>
      <xdr:rowOff>9525</xdr:rowOff>
    </xdr:from>
    <xdr:to>
      <xdr:col>8</xdr:col>
      <xdr:colOff>314325</xdr:colOff>
      <xdr:row>121</xdr:row>
      <xdr:rowOff>123825</xdr:rowOff>
    </xdr:to>
    <xdr:grpSp>
      <xdr:nvGrpSpPr>
        <xdr:cNvPr id="44" name="Group 238"/>
        <xdr:cNvGrpSpPr>
          <a:grpSpLocks/>
        </xdr:cNvGrpSpPr>
      </xdr:nvGrpSpPr>
      <xdr:grpSpPr>
        <a:xfrm>
          <a:off x="6915150" y="20583525"/>
          <a:ext cx="2333625" cy="2257425"/>
          <a:chOff x="522" y="1748"/>
          <a:chExt cx="198" cy="216"/>
        </a:xfrm>
        <a:solidFill>
          <a:srgbClr val="FFFFFF"/>
        </a:solidFill>
      </xdr:grpSpPr>
      <xdr:sp>
        <xdr:nvSpPr>
          <xdr:cNvPr id="45" name="Line 162"/>
          <xdr:cNvSpPr>
            <a:spLocks/>
          </xdr:cNvSpPr>
        </xdr:nvSpPr>
        <xdr:spPr>
          <a:xfrm>
            <a:off x="522" y="1831"/>
            <a:ext cx="169" cy="1"/>
          </a:xfrm>
          <a:prstGeom prst="line">
            <a:avLst/>
          </a:prstGeom>
          <a:noFill/>
          <a:ln w="19050"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 name="Line 163"/>
          <xdr:cNvSpPr>
            <a:spLocks/>
          </xdr:cNvSpPr>
        </xdr:nvSpPr>
        <xdr:spPr>
          <a:xfrm>
            <a:off x="600" y="1748"/>
            <a:ext cx="1" cy="171"/>
          </a:xfrm>
          <a:prstGeom prst="line">
            <a:avLst/>
          </a:prstGeom>
          <a:noFill/>
          <a:ln w="19050"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 name="Rectangle 165"/>
          <xdr:cNvSpPr>
            <a:spLocks/>
          </xdr:cNvSpPr>
        </xdr:nvSpPr>
        <xdr:spPr>
          <a:xfrm>
            <a:off x="542" y="1775"/>
            <a:ext cx="116" cy="113"/>
          </a:xfrm>
          <a:prstGeom prst="rect">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48" name="Group 225"/>
          <xdr:cNvGrpSpPr>
            <a:grpSpLocks/>
          </xdr:cNvGrpSpPr>
        </xdr:nvGrpSpPr>
        <xdr:grpSpPr>
          <a:xfrm>
            <a:off x="544" y="1820"/>
            <a:ext cx="111" cy="144"/>
            <a:chOff x="544" y="1820"/>
            <a:chExt cx="111" cy="144"/>
          </a:xfrm>
          <a:solidFill>
            <a:srgbClr val="FFFFFF"/>
          </a:solidFill>
        </xdr:grpSpPr>
        <xdr:sp>
          <xdr:nvSpPr>
            <xdr:cNvPr id="49" name="Oval 164"/>
            <xdr:cNvSpPr>
              <a:spLocks/>
            </xdr:cNvSpPr>
          </xdr:nvSpPr>
          <xdr:spPr>
            <a:xfrm>
              <a:off x="590" y="1820"/>
              <a:ext cx="21" cy="23"/>
            </a:xfrm>
            <a:prstGeom prst="ellipse">
              <a:avLst/>
            </a:prstGeom>
            <a:solidFill>
              <a:srgbClr val="DD0806"/>
            </a:solidFill>
            <a:ln w="158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0" name="Arc 210"/>
            <xdr:cNvSpPr>
              <a:spLocks/>
            </xdr:cNvSpPr>
          </xdr:nvSpPr>
          <xdr:spPr>
            <a:xfrm rot="5400000">
              <a:off x="610" y="1887"/>
              <a:ext cx="36" cy="15"/>
            </a:xfrm>
            <a:prstGeom prst="arc">
              <a:avLst/>
            </a:prstGeom>
            <a:noFill/>
            <a:ln w="2540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1" name="Line 211"/>
            <xdr:cNvSpPr>
              <a:spLocks/>
            </xdr:cNvSpPr>
          </xdr:nvSpPr>
          <xdr:spPr>
            <a:xfrm rot="5400000">
              <a:off x="615" y="1907"/>
              <a:ext cx="1" cy="13"/>
            </a:xfrm>
            <a:prstGeom prst="line">
              <a:avLst/>
            </a:prstGeom>
            <a:solidFill>
              <a:srgbClr val="FFFFFF"/>
            </a:solidFill>
            <a:ln w="2540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 name="Arc 212"/>
            <xdr:cNvSpPr>
              <a:spLocks/>
            </xdr:cNvSpPr>
          </xdr:nvSpPr>
          <xdr:spPr>
            <a:xfrm rot="5400000" flipH="1" flipV="1">
              <a:off x="589" y="1926"/>
              <a:ext cx="34" cy="10"/>
            </a:xfrm>
            <a:prstGeom prst="arc">
              <a:avLst/>
            </a:prstGeom>
            <a:noFill/>
            <a:ln w="2540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 name="Arc 213"/>
            <xdr:cNvSpPr>
              <a:spLocks/>
            </xdr:cNvSpPr>
          </xdr:nvSpPr>
          <xdr:spPr>
            <a:xfrm rot="5400000" flipV="1">
              <a:off x="555" y="1888"/>
              <a:ext cx="37" cy="14"/>
            </a:xfrm>
            <a:prstGeom prst="arc">
              <a:avLst/>
            </a:prstGeom>
            <a:noFill/>
            <a:ln w="2540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 name="Line 214"/>
            <xdr:cNvSpPr>
              <a:spLocks/>
            </xdr:cNvSpPr>
          </xdr:nvSpPr>
          <xdr:spPr>
            <a:xfrm rot="5400000" flipV="1">
              <a:off x="584" y="1909"/>
              <a:ext cx="1" cy="11"/>
            </a:xfrm>
            <a:prstGeom prst="line">
              <a:avLst/>
            </a:prstGeom>
            <a:solidFill>
              <a:srgbClr val="FFFFFF"/>
            </a:solidFill>
            <a:ln w="2540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 name="Arc 215"/>
            <xdr:cNvSpPr>
              <a:spLocks/>
            </xdr:cNvSpPr>
          </xdr:nvSpPr>
          <xdr:spPr>
            <a:xfrm rot="5400000" flipH="1">
              <a:off x="579" y="1927"/>
              <a:ext cx="34" cy="9"/>
            </a:xfrm>
            <a:prstGeom prst="arc">
              <a:avLst/>
            </a:prstGeom>
            <a:noFill/>
            <a:ln w="2540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 name="AutoShape 216"/>
            <xdr:cNvSpPr>
              <a:spLocks/>
            </xdr:cNvSpPr>
          </xdr:nvSpPr>
          <xdr:spPr>
            <a:xfrm rot="5400000">
              <a:off x="535" y="1843"/>
              <a:ext cx="43" cy="22"/>
            </a:xfrm>
            <a:custGeom>
              <a:pathLst>
                <a:path h="14" w="57">
                  <a:moveTo>
                    <a:pt x="0" y="14"/>
                  </a:moveTo>
                  <a:cubicBezTo>
                    <a:pt x="2" y="9"/>
                    <a:pt x="5" y="4"/>
                    <a:pt x="8" y="2"/>
                  </a:cubicBezTo>
                  <a:cubicBezTo>
                    <a:pt x="11" y="0"/>
                    <a:pt x="9" y="0"/>
                    <a:pt x="17" y="0"/>
                  </a:cubicBezTo>
                  <a:cubicBezTo>
                    <a:pt x="25" y="0"/>
                    <a:pt x="50" y="0"/>
                    <a:pt x="57" y="0"/>
                  </a:cubicBezTo>
                </a:path>
              </a:pathLst>
            </a:custGeom>
            <a:noFill/>
            <a:ln w="25400" cmpd="sng">
              <a:solidFill>
                <a:srgbClr val="00ABEA"/>
              </a:solidFill>
              <a:headEnd type="stealth"/>
              <a:tailEnd type="none"/>
            </a:ln>
          </xdr:spPr>
          <xdr:txBody>
            <a:bodyPr vertOverflow="clip" wrap="square"/>
            <a:p>
              <a:pPr algn="l">
                <a:defRPr/>
              </a:pPr>
              <a:r>
                <a:rPr lang="en-US" cap="none" u="none" baseline="0">
                  <a:latin typeface="Geneva"/>
                  <a:ea typeface="Geneva"/>
                  <a:cs typeface="Geneva"/>
                </a:rPr>
                <a:t/>
              </a:r>
            </a:p>
          </xdr:txBody>
        </xdr:sp>
        <xdr:sp>
          <xdr:nvSpPr>
            <xdr:cNvPr id="57" name="AutoShape 217"/>
            <xdr:cNvSpPr>
              <a:spLocks/>
            </xdr:cNvSpPr>
          </xdr:nvSpPr>
          <xdr:spPr>
            <a:xfrm rot="5400000" flipV="1">
              <a:off x="622" y="1846"/>
              <a:ext cx="46" cy="20"/>
            </a:xfrm>
            <a:custGeom>
              <a:pathLst>
                <a:path h="14" w="57">
                  <a:moveTo>
                    <a:pt x="0" y="14"/>
                  </a:moveTo>
                  <a:cubicBezTo>
                    <a:pt x="2" y="9"/>
                    <a:pt x="5" y="4"/>
                    <a:pt x="8" y="2"/>
                  </a:cubicBezTo>
                  <a:cubicBezTo>
                    <a:pt x="11" y="0"/>
                    <a:pt x="9" y="0"/>
                    <a:pt x="17" y="0"/>
                  </a:cubicBezTo>
                  <a:cubicBezTo>
                    <a:pt x="25" y="0"/>
                    <a:pt x="50" y="0"/>
                    <a:pt x="57" y="0"/>
                  </a:cubicBezTo>
                </a:path>
              </a:pathLst>
            </a:custGeom>
            <a:noFill/>
            <a:ln w="25400" cmpd="sng">
              <a:solidFill>
                <a:srgbClr val="00ABEA"/>
              </a:solidFill>
              <a:headEnd type="stealth"/>
              <a:tailEnd type="none"/>
            </a:ln>
          </xdr:spPr>
          <xdr:txBody>
            <a:bodyPr vertOverflow="clip" wrap="square"/>
            <a:p>
              <a:pPr algn="l">
                <a:defRPr/>
              </a:pPr>
              <a:r>
                <a:rPr lang="en-US" cap="none" u="none" baseline="0">
                  <a:latin typeface="Geneva"/>
                  <a:ea typeface="Geneva"/>
                  <a:cs typeface="Geneva"/>
                </a:rPr>
                <a:t/>
              </a:r>
            </a:p>
          </xdr:txBody>
        </xdr:sp>
        <xdr:sp>
          <xdr:nvSpPr>
            <xdr:cNvPr id="58" name="AutoShape 218"/>
            <xdr:cNvSpPr>
              <a:spLocks/>
            </xdr:cNvSpPr>
          </xdr:nvSpPr>
          <xdr:spPr>
            <a:xfrm>
              <a:off x="600" y="1947"/>
              <a:ext cx="25" cy="17"/>
            </a:xfrm>
            <a:custGeom>
              <a:pathLst>
                <a:path h="19" w="32">
                  <a:moveTo>
                    <a:pt x="2" y="0"/>
                  </a:moveTo>
                  <a:cubicBezTo>
                    <a:pt x="1" y="2"/>
                    <a:pt x="0" y="5"/>
                    <a:pt x="2" y="8"/>
                  </a:cubicBezTo>
                  <a:cubicBezTo>
                    <a:pt x="4" y="11"/>
                    <a:pt x="12" y="17"/>
                    <a:pt x="17" y="18"/>
                  </a:cubicBezTo>
                  <a:cubicBezTo>
                    <a:pt x="22" y="19"/>
                    <a:pt x="27" y="18"/>
                    <a:pt x="32" y="17"/>
                  </a:cubicBezTo>
                </a:path>
              </a:pathLst>
            </a:custGeom>
            <a:noFill/>
            <a:ln w="2540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59" name="Group 237"/>
          <xdr:cNvGrpSpPr>
            <a:grpSpLocks/>
          </xdr:cNvGrpSpPr>
        </xdr:nvGrpSpPr>
        <xdr:grpSpPr>
          <a:xfrm>
            <a:off x="604" y="1777"/>
            <a:ext cx="116" cy="112"/>
            <a:chOff x="604" y="1777"/>
            <a:chExt cx="116" cy="112"/>
          </a:xfrm>
          <a:solidFill>
            <a:srgbClr val="FFFFFF"/>
          </a:solidFill>
        </xdr:grpSpPr>
        <xdr:sp>
          <xdr:nvSpPr>
            <xdr:cNvPr id="60" name="Arc 228"/>
            <xdr:cNvSpPr>
              <a:spLocks/>
            </xdr:cNvSpPr>
          </xdr:nvSpPr>
          <xdr:spPr>
            <a:xfrm>
              <a:off x="648" y="1797"/>
              <a:ext cx="36" cy="15"/>
            </a:xfrm>
            <a:prstGeom prst="arc">
              <a:avLst/>
            </a:prstGeom>
            <a:noFill/>
            <a:ln w="25400" cmpd="sng">
              <a:solidFill>
                <a:srgbClr val="9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1" name="Line 229"/>
            <xdr:cNvSpPr>
              <a:spLocks/>
            </xdr:cNvSpPr>
          </xdr:nvSpPr>
          <xdr:spPr>
            <a:xfrm>
              <a:off x="684" y="1810"/>
              <a:ext cx="1" cy="13"/>
            </a:xfrm>
            <a:prstGeom prst="line">
              <a:avLst/>
            </a:prstGeom>
            <a:solidFill>
              <a:srgbClr val="FFFFFF"/>
            </a:solidFill>
            <a:ln w="25400" cmpd="sng">
              <a:solidFill>
                <a:srgbClr val="9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2" name="Arc 230"/>
            <xdr:cNvSpPr>
              <a:spLocks/>
            </xdr:cNvSpPr>
          </xdr:nvSpPr>
          <xdr:spPr>
            <a:xfrm flipH="1" flipV="1">
              <a:off x="685" y="1822"/>
              <a:ext cx="34" cy="10"/>
            </a:xfrm>
            <a:prstGeom prst="arc">
              <a:avLst/>
            </a:prstGeom>
            <a:noFill/>
            <a:ln w="25400" cmpd="sng">
              <a:solidFill>
                <a:srgbClr val="9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3" name="Arc 231"/>
            <xdr:cNvSpPr>
              <a:spLocks/>
            </xdr:cNvSpPr>
          </xdr:nvSpPr>
          <xdr:spPr>
            <a:xfrm flipV="1">
              <a:off x="648" y="1853"/>
              <a:ext cx="37" cy="14"/>
            </a:xfrm>
            <a:prstGeom prst="arc">
              <a:avLst/>
            </a:prstGeom>
            <a:noFill/>
            <a:ln w="25400" cmpd="sng">
              <a:solidFill>
                <a:srgbClr val="9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4" name="Line 232"/>
            <xdr:cNvSpPr>
              <a:spLocks/>
            </xdr:cNvSpPr>
          </xdr:nvSpPr>
          <xdr:spPr>
            <a:xfrm flipV="1">
              <a:off x="685" y="1842"/>
              <a:ext cx="1" cy="11"/>
            </a:xfrm>
            <a:prstGeom prst="line">
              <a:avLst/>
            </a:prstGeom>
            <a:solidFill>
              <a:srgbClr val="FFFFFF"/>
            </a:solidFill>
            <a:ln w="25400" cmpd="sng">
              <a:solidFill>
                <a:srgbClr val="9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5" name="Arc 233"/>
            <xdr:cNvSpPr>
              <a:spLocks/>
            </xdr:cNvSpPr>
          </xdr:nvSpPr>
          <xdr:spPr>
            <a:xfrm flipH="1">
              <a:off x="686" y="1832"/>
              <a:ext cx="34" cy="9"/>
            </a:xfrm>
            <a:prstGeom prst="arc">
              <a:avLst/>
            </a:prstGeom>
            <a:noFill/>
            <a:ln w="25400" cmpd="sng">
              <a:solidFill>
                <a:srgbClr val="9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6" name="AutoShape 234"/>
            <xdr:cNvSpPr>
              <a:spLocks/>
            </xdr:cNvSpPr>
          </xdr:nvSpPr>
          <xdr:spPr>
            <a:xfrm>
              <a:off x="604" y="1867"/>
              <a:ext cx="43" cy="22"/>
            </a:xfrm>
            <a:custGeom>
              <a:pathLst>
                <a:path h="14" w="57">
                  <a:moveTo>
                    <a:pt x="0" y="14"/>
                  </a:moveTo>
                  <a:cubicBezTo>
                    <a:pt x="2" y="9"/>
                    <a:pt x="5" y="4"/>
                    <a:pt x="8" y="2"/>
                  </a:cubicBezTo>
                  <a:cubicBezTo>
                    <a:pt x="11" y="0"/>
                    <a:pt x="9" y="0"/>
                    <a:pt x="17" y="0"/>
                  </a:cubicBezTo>
                  <a:cubicBezTo>
                    <a:pt x="25" y="0"/>
                    <a:pt x="50" y="0"/>
                    <a:pt x="57" y="0"/>
                  </a:cubicBezTo>
                </a:path>
              </a:pathLst>
            </a:custGeom>
            <a:noFill/>
            <a:ln w="25400" cmpd="sng">
              <a:solidFill>
                <a:srgbClr val="900000"/>
              </a:solidFill>
              <a:headEnd type="stealth"/>
              <a:tailEnd type="none"/>
            </a:ln>
          </xdr:spPr>
          <xdr:txBody>
            <a:bodyPr vertOverflow="clip" wrap="square"/>
            <a:p>
              <a:pPr algn="l">
                <a:defRPr/>
              </a:pPr>
              <a:r>
                <a:rPr lang="en-US" cap="none" u="none" baseline="0">
                  <a:latin typeface="Geneva"/>
                  <a:ea typeface="Geneva"/>
                  <a:cs typeface="Geneva"/>
                </a:rPr>
                <a:t/>
              </a:r>
            </a:p>
          </xdr:txBody>
        </xdr:sp>
        <xdr:sp>
          <xdr:nvSpPr>
            <xdr:cNvPr id="67" name="AutoShape 235"/>
            <xdr:cNvSpPr>
              <a:spLocks/>
            </xdr:cNvSpPr>
          </xdr:nvSpPr>
          <xdr:spPr>
            <a:xfrm flipV="1">
              <a:off x="605" y="1777"/>
              <a:ext cx="49" cy="20"/>
            </a:xfrm>
            <a:custGeom>
              <a:pathLst>
                <a:path h="14" w="57">
                  <a:moveTo>
                    <a:pt x="0" y="14"/>
                  </a:moveTo>
                  <a:cubicBezTo>
                    <a:pt x="2" y="9"/>
                    <a:pt x="5" y="4"/>
                    <a:pt x="8" y="2"/>
                  </a:cubicBezTo>
                  <a:cubicBezTo>
                    <a:pt x="11" y="0"/>
                    <a:pt x="9" y="0"/>
                    <a:pt x="17" y="0"/>
                  </a:cubicBezTo>
                  <a:cubicBezTo>
                    <a:pt x="25" y="0"/>
                    <a:pt x="50" y="0"/>
                    <a:pt x="57" y="0"/>
                  </a:cubicBezTo>
                </a:path>
              </a:pathLst>
            </a:custGeom>
            <a:noFill/>
            <a:ln w="25400" cmpd="sng">
              <a:solidFill>
                <a:srgbClr val="900000"/>
              </a:solidFill>
              <a:headEnd type="stealth"/>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0</xdr:col>
      <xdr:colOff>314325</xdr:colOff>
      <xdr:row>132</xdr:row>
      <xdr:rowOff>19050</xdr:rowOff>
    </xdr:from>
    <xdr:to>
      <xdr:col>5</xdr:col>
      <xdr:colOff>95250</xdr:colOff>
      <xdr:row>170</xdr:row>
      <xdr:rowOff>19050</xdr:rowOff>
    </xdr:to>
    <xdr:grpSp>
      <xdr:nvGrpSpPr>
        <xdr:cNvPr id="68" name="Group 253"/>
        <xdr:cNvGrpSpPr>
          <a:grpSpLocks/>
        </xdr:cNvGrpSpPr>
      </xdr:nvGrpSpPr>
      <xdr:grpSpPr>
        <a:xfrm>
          <a:off x="314325" y="24555450"/>
          <a:ext cx="5229225" cy="6153150"/>
          <a:chOff x="29" y="2860"/>
          <a:chExt cx="401" cy="646"/>
        </a:xfrm>
        <a:solidFill>
          <a:srgbClr val="FFFFFF"/>
        </a:solidFill>
      </xdr:grpSpPr>
      <xdr:sp>
        <xdr:nvSpPr>
          <xdr:cNvPr id="69" name="TextBox 247"/>
          <xdr:cNvSpPr txBox="1">
            <a:spLocks noChangeArrowheads="1"/>
          </xdr:cNvSpPr>
        </xdr:nvSpPr>
        <xdr:spPr>
          <a:xfrm>
            <a:off x="29" y="2860"/>
            <a:ext cx="401" cy="646"/>
          </a:xfrm>
          <a:prstGeom prst="rect">
            <a:avLst/>
          </a:prstGeom>
          <a:gradFill rotWithShape="1">
            <a:gsLst>
              <a:gs pos="0">
                <a:srgbClr val="69FFFF"/>
              </a:gs>
              <a:gs pos="100000">
                <a:srgbClr val="FFFF99"/>
              </a:gs>
            </a:gsLst>
            <a:lin ang="2700000" scaled="1"/>
          </a:gradFill>
          <a:ln w="34925" cmpd="sng">
            <a:solidFill>
              <a:srgbClr val="DD0806"/>
            </a:solidFill>
            <a:headEnd type="none"/>
            <a:tailEnd type="none"/>
          </a:ln>
        </xdr:spPr>
        <xdr:txBody>
          <a:bodyPr vertOverflow="clip" wrap="square" lIns="91440" tIns="45720" rIns="91440" bIns="45720"/>
          <a:p>
            <a:pPr algn="l">
              <a:defRPr/>
            </a:pPr>
            <a:r>
              <a:rPr lang="en-US" cap="none" sz="1000" b="1" i="0" u="none" baseline="0">
                <a:latin typeface="Geneva"/>
                <a:ea typeface="Geneva"/>
                <a:cs typeface="Geneva"/>
              </a:rPr>
              <a:t>A complete guide to the use of Astronaut Photography for Remote Sensing is contained in the following paper:</a:t>
            </a:r>
            <a:r>
              <a:rPr lang="en-US" cap="none" sz="1000" b="0" i="0" u="none" baseline="0">
                <a:latin typeface="Geneva"/>
                <a:ea typeface="Geneva"/>
                <a:cs typeface="Geneva"/>
              </a:rPr>
              <a:t>
</a:t>
            </a:r>
            <a:r>
              <a:rPr lang="en-US" cap="none" sz="1000" b="1" i="0" u="none" baseline="0">
                <a:latin typeface="Geneva"/>
                <a:ea typeface="Geneva"/>
                <a:cs typeface="Geneva"/>
              </a:rPr>
              <a:t>Questions or Problems Should be Emailed to: </a:t>
            </a:r>
            <a:r>
              <a:rPr lang="en-US" cap="none" sz="1000" b="0" i="0" u="none" baseline="0">
                <a:latin typeface="Geneva"/>
                <a:ea typeface="Geneva"/>
                <a:cs typeface="Geneva"/>
              </a:rPr>
              <a:t>
</a:t>
            </a:r>
            <a:r>
              <a:rPr lang="en-US" cap="none" sz="1000" b="1" i="0" u="none" baseline="0">
                <a:latin typeface="Geneva"/>
                <a:ea typeface="Geneva"/>
                <a:cs typeface="Geneva"/>
              </a:rPr>
              <a:t>Software Updates can be Obtained from the Web Site</a:t>
            </a:r>
            <a:r>
              <a:rPr lang="en-US" cap="none" sz="1000" b="0" i="0" u="none" baseline="0">
                <a:latin typeface="Geneva"/>
                <a:ea typeface="Geneva"/>
                <a:cs typeface="Geneva"/>
              </a:rPr>
              <a:t>:  </a:t>
            </a:r>
          </a:p>
        </xdr:txBody>
      </xdr:sp>
      <xdr:sp textlink="Introduction!C131">
        <xdr:nvSpPr>
          <xdr:cNvPr id="70" name="E-mail"/>
          <xdr:cNvSpPr txBox="1">
            <a:spLocks noChangeArrowheads="1"/>
          </xdr:cNvSpPr>
        </xdr:nvSpPr>
        <xdr:spPr>
          <a:xfrm>
            <a:off x="61" y="3187"/>
            <a:ext cx="352" cy="29"/>
          </a:xfrm>
          <a:prstGeom prst="rect">
            <a:avLst/>
          </a:prstGeom>
          <a:noFill/>
          <a:ln w="9525" cmpd="sng">
            <a:noFill/>
          </a:ln>
        </xdr:spPr>
        <xdr:txBody>
          <a:bodyPr vertOverflow="clip" wrap="square" anchor="ctr"/>
          <a:p>
            <a:pPr algn="l">
              <a:defRPr/>
            </a:pPr>
            <a:fld id="{66bfe160-9b41-401b-91f2-a05eb940475d}" type="TxLink">
              <a:rPr lang="en-US" cap="none" sz="1000" b="0" i="0" u="sng" baseline="0">
                <a:solidFill>
                  <a:srgbClr val="0000D4"/>
                </a:solidFill>
                <a:latin typeface="Geneva"/>
                <a:ea typeface="Geneva"/>
                <a:cs typeface="Geneva"/>
              </a:rPr>
              <a:t>earthweb@ems.jsc.nasa.gov</a:t>
            </a:fld>
          </a:p>
        </xdr:txBody>
      </xdr:sp>
      <xdr:sp textlink="Introduction!B135">
        <xdr:nvSpPr>
          <xdr:cNvPr id="71" name="Rectangle 249"/>
          <xdr:cNvSpPr>
            <a:spLocks/>
          </xdr:cNvSpPr>
        </xdr:nvSpPr>
        <xdr:spPr>
          <a:xfrm>
            <a:off x="60" y="3262"/>
            <a:ext cx="360" cy="46"/>
          </a:xfrm>
          <a:prstGeom prst="rect">
            <a:avLst/>
          </a:prstGeom>
          <a:noFill/>
          <a:ln w="9525" cmpd="sng">
            <a:noFill/>
          </a:ln>
        </xdr:spPr>
        <xdr:txBody>
          <a:bodyPr vertOverflow="clip" wrap="square"/>
          <a:p>
            <a:pPr algn="l">
              <a:defRPr/>
            </a:pPr>
            <a:r>
              <a:rPr lang="en-US" cap="none" sz="1000" b="0" i="0" u="sng" baseline="0">
                <a:solidFill>
                  <a:srgbClr val="0000D4"/>
                </a:solidFill>
                <a:latin typeface="Geneva"/>
                <a:ea typeface="Geneva"/>
                <a:cs typeface="Geneva"/>
              </a:rPr>
              <a:t>http://eol.jsc.nasa.gov/sseop/FootprintCalculator.xls</a:t>
            </a:r>
          </a:p>
        </xdr:txBody>
      </xdr:sp>
      <xdr:sp textlink="Introduction!B126">
        <xdr:nvSpPr>
          <xdr:cNvPr id="72" name="TextBox 250"/>
          <xdr:cNvSpPr txBox="1">
            <a:spLocks noChangeArrowheads="1"/>
          </xdr:cNvSpPr>
        </xdr:nvSpPr>
        <xdr:spPr>
          <a:xfrm>
            <a:off x="41" y="3039"/>
            <a:ext cx="320" cy="106"/>
          </a:xfrm>
          <a:prstGeom prst="rect">
            <a:avLst/>
          </a:prstGeom>
          <a:noFill/>
          <a:ln w="9525" cmpd="sng">
            <a:noFill/>
          </a:ln>
        </xdr:spPr>
        <xdr:txBody>
          <a:bodyPr vertOverflow="clip" wrap="square" anchor="ctr"/>
          <a:p>
            <a:pPr algn="l">
              <a:defRPr/>
            </a:pPr>
            <a:fld id="{57cb6a86-0ea0-4b14-a60d-734b652e64b9}" type="TxLink">
              <a:rPr lang="en-US" cap="none" sz="1000" b="1" i="0" u="none" baseline="0">
                <a:latin typeface="Geneva"/>
                <a:ea typeface="Geneva"/>
                <a:cs typeface="Geneva"/>
              </a:rPr>
              <a:t>The mathematical technique and this Excel based calculator were developed by:  Donn A. Liddle, Lockheed Martin Space Operations,  The Earth Sciences and Image Analysis Laboratory /SX3, NASA - Johnson Space Center, Houston, Texas, 77058</a:t>
            </a:fld>
          </a:p>
        </xdr:txBody>
      </xdr:sp>
      <xdr:sp>
        <xdr:nvSpPr>
          <xdr:cNvPr id="73" name="TextBox 251"/>
          <xdr:cNvSpPr txBox="1">
            <a:spLocks noChangeArrowheads="1"/>
          </xdr:cNvSpPr>
        </xdr:nvSpPr>
        <xdr:spPr>
          <a:xfrm>
            <a:off x="47" y="3306"/>
            <a:ext cx="376" cy="101"/>
          </a:xfrm>
          <a:prstGeom prst="rect">
            <a:avLst/>
          </a:prstGeom>
          <a:noFill/>
          <a:ln w="9525" cmpd="sng">
            <a:noFill/>
          </a:ln>
        </xdr:spPr>
        <xdr:txBody>
          <a:bodyPr vertOverflow="clip" wrap="square"/>
          <a:p>
            <a:pPr algn="l">
              <a:defRPr/>
            </a:pPr>
            <a:r>
              <a:rPr lang="en-US" cap="none" sz="1200" b="1" i="0" u="sng" baseline="0">
                <a:solidFill>
                  <a:srgbClr val="DD0806"/>
                </a:solidFill>
                <a:latin typeface="Geneva"/>
                <a:ea typeface="Geneva"/>
                <a:cs typeface="Geneva"/>
              </a:rPr>
              <a:t>Copyright Infomation</a:t>
            </a:r>
            <a:r>
              <a:rPr lang="en-US" cap="none" sz="1200" b="1" i="0" u="none" baseline="0">
                <a:solidFill>
                  <a:srgbClr val="DD0806"/>
                </a:solidFill>
                <a:latin typeface="Geneva"/>
                <a:ea typeface="Geneva"/>
                <a:cs typeface="Geneva"/>
              </a:rPr>
              <a:t>
Low Oblique Space Photo Footprint Calculator     ©, 2002, Lockheed Martin Corporation, All Rights Reserved</a:t>
            </a:r>
          </a:p>
        </xdr:txBody>
      </xdr:sp>
      <xdr:sp>
        <xdr:nvSpPr>
          <xdr:cNvPr id="74" name="TextBox 252"/>
          <xdr:cNvSpPr txBox="1">
            <a:spLocks noChangeArrowheads="1"/>
          </xdr:cNvSpPr>
        </xdr:nvSpPr>
        <xdr:spPr>
          <a:xfrm>
            <a:off x="45" y="2911"/>
            <a:ext cx="346" cy="102"/>
          </a:xfrm>
          <a:prstGeom prst="rect">
            <a:avLst/>
          </a:prstGeom>
          <a:noFill/>
          <a:ln w="9525" cmpd="sng">
            <a:noFill/>
          </a:ln>
        </xdr:spPr>
        <xdr:txBody>
          <a:bodyPr vertOverflow="clip" wrap="square"/>
          <a:p>
            <a:pPr algn="l">
              <a:defRPr/>
            </a:pPr>
            <a:r>
              <a:rPr lang="en-US" cap="none" sz="1000" b="1" i="0" u="none" baseline="0">
                <a:solidFill>
                  <a:srgbClr val="900000"/>
                </a:solidFill>
                <a:latin typeface="Geneva"/>
                <a:ea typeface="Geneva"/>
                <a:cs typeface="Geneva"/>
              </a:rPr>
              <a:t>Robinson, Julie A.; Amsbury, David L.; Liddle, Donn A., Evans, Cynthia A.; "Astronaut-acquired Orbital Photographs as Digital Data for Remote Sensing: Spatial Resolution", International Journal of Remote Sensing, Vol 23 No.20, Oct 20, 2002, P. 4403-4438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31</xdr:row>
      <xdr:rowOff>76200</xdr:rowOff>
    </xdr:from>
    <xdr:to>
      <xdr:col>6</xdr:col>
      <xdr:colOff>152400</xdr:colOff>
      <xdr:row>50</xdr:row>
      <xdr:rowOff>9525</xdr:rowOff>
    </xdr:to>
    <xdr:grpSp>
      <xdr:nvGrpSpPr>
        <xdr:cNvPr id="1" name="Group 115"/>
        <xdr:cNvGrpSpPr>
          <a:grpSpLocks/>
        </xdr:cNvGrpSpPr>
      </xdr:nvGrpSpPr>
      <xdr:grpSpPr>
        <a:xfrm>
          <a:off x="2686050" y="6000750"/>
          <a:ext cx="3248025" cy="3009900"/>
          <a:chOff x="-1261" y="-567"/>
          <a:chExt cx="16848" cy="19595"/>
        </a:xfrm>
        <a:solidFill>
          <a:srgbClr val="FFFFFF"/>
        </a:solidFill>
      </xdr:grpSpPr>
      <xdr:sp>
        <xdr:nvSpPr>
          <xdr:cNvPr id="2" name="Line 91"/>
          <xdr:cNvSpPr>
            <a:spLocks/>
          </xdr:cNvSpPr>
        </xdr:nvSpPr>
        <xdr:spPr>
          <a:xfrm flipV="1">
            <a:off x="-1261" y="10445"/>
            <a:ext cx="16848"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 name="Oval 90"/>
          <xdr:cNvSpPr>
            <a:spLocks/>
          </xdr:cNvSpPr>
        </xdr:nvSpPr>
        <xdr:spPr>
          <a:xfrm>
            <a:off x="230" y="6399"/>
            <a:ext cx="14784" cy="7206"/>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 name="Line 92"/>
          <xdr:cNvSpPr>
            <a:spLocks/>
          </xdr:cNvSpPr>
        </xdr:nvSpPr>
        <xdr:spPr>
          <a:xfrm flipH="1">
            <a:off x="3953" y="6477"/>
            <a:ext cx="6019" cy="7853"/>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 name="Line 93"/>
          <xdr:cNvSpPr>
            <a:spLocks/>
          </xdr:cNvSpPr>
        </xdr:nvSpPr>
        <xdr:spPr>
          <a:xfrm flipV="1">
            <a:off x="6990" y="-567"/>
            <a:ext cx="0" cy="10929"/>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6" name="Group 94"/>
          <xdr:cNvGrpSpPr>
            <a:grpSpLocks/>
          </xdr:cNvGrpSpPr>
        </xdr:nvGrpSpPr>
        <xdr:grpSpPr>
          <a:xfrm>
            <a:off x="230" y="1618"/>
            <a:ext cx="14784" cy="17004"/>
            <a:chOff x="229" y="1619"/>
            <a:chExt cx="14785" cy="17004"/>
          </a:xfrm>
          <a:solidFill>
            <a:srgbClr val="FFFFFF"/>
          </a:solidFill>
        </xdr:grpSpPr>
        <xdr:grpSp>
          <xdr:nvGrpSpPr>
            <xdr:cNvPr id="7" name="Group 95"/>
            <xdr:cNvGrpSpPr>
              <a:grpSpLocks/>
            </xdr:cNvGrpSpPr>
          </xdr:nvGrpSpPr>
          <xdr:grpSpPr>
            <a:xfrm>
              <a:off x="229" y="1619"/>
              <a:ext cx="14785" cy="8098"/>
              <a:chOff x="229" y="1619"/>
              <a:chExt cx="14785" cy="8098"/>
            </a:xfrm>
            <a:solidFill>
              <a:srgbClr val="FFFFFF"/>
            </a:solidFill>
          </xdr:grpSpPr>
          <xdr:sp>
            <xdr:nvSpPr>
              <xdr:cNvPr id="8" name="Arc 96"/>
              <xdr:cNvSpPr>
                <a:spLocks/>
              </xdr:cNvSpPr>
            </xdr:nvSpPr>
            <xdr:spPr>
              <a:xfrm flipH="1">
                <a:off x="229" y="1619"/>
                <a:ext cx="6990" cy="8098"/>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 name="Arc 97"/>
              <xdr:cNvSpPr>
                <a:spLocks/>
              </xdr:cNvSpPr>
            </xdr:nvSpPr>
            <xdr:spPr>
              <a:xfrm>
                <a:off x="7163" y="1619"/>
                <a:ext cx="7851" cy="8098"/>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0" name="Group 98"/>
            <xdr:cNvGrpSpPr>
              <a:grpSpLocks/>
            </xdr:cNvGrpSpPr>
          </xdr:nvGrpSpPr>
          <xdr:grpSpPr>
            <a:xfrm>
              <a:off x="229" y="10040"/>
              <a:ext cx="14785" cy="8583"/>
              <a:chOff x="229" y="10040"/>
              <a:chExt cx="14785" cy="8583"/>
            </a:xfrm>
            <a:solidFill>
              <a:srgbClr val="FFFFFF"/>
            </a:solidFill>
          </xdr:grpSpPr>
          <xdr:sp>
            <xdr:nvSpPr>
              <xdr:cNvPr id="11" name="Arc 99"/>
              <xdr:cNvSpPr>
                <a:spLocks/>
              </xdr:cNvSpPr>
            </xdr:nvSpPr>
            <xdr:spPr>
              <a:xfrm flipH="1" flipV="1">
                <a:off x="229" y="10040"/>
                <a:ext cx="7049" cy="8583"/>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 name="Arc 100"/>
              <xdr:cNvSpPr>
                <a:spLocks/>
              </xdr:cNvSpPr>
            </xdr:nvSpPr>
            <xdr:spPr>
              <a:xfrm flipV="1">
                <a:off x="7219" y="10122"/>
                <a:ext cx="7795" cy="8501"/>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3" name="Arc 101"/>
            <xdr:cNvSpPr>
              <a:spLocks/>
            </xdr:cNvSpPr>
          </xdr:nvSpPr>
          <xdr:spPr>
            <a:xfrm flipH="1">
              <a:off x="4757" y="1619"/>
              <a:ext cx="2521" cy="11741"/>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4" name="Arc 102"/>
          <xdr:cNvSpPr>
            <a:spLocks/>
          </xdr:cNvSpPr>
        </xdr:nvSpPr>
        <xdr:spPr>
          <a:xfrm>
            <a:off x="7049" y="1701"/>
            <a:ext cx="3669" cy="11742"/>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 name="Line 103"/>
          <xdr:cNvSpPr>
            <a:spLocks/>
          </xdr:cNvSpPr>
        </xdr:nvSpPr>
        <xdr:spPr>
          <a:xfrm flipV="1">
            <a:off x="6936" y="4616"/>
            <a:ext cx="2523" cy="583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 name="Line 104"/>
          <xdr:cNvSpPr>
            <a:spLocks/>
          </xdr:cNvSpPr>
        </xdr:nvSpPr>
        <xdr:spPr>
          <a:xfrm>
            <a:off x="7049" y="10362"/>
            <a:ext cx="3723" cy="2998"/>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17" name="Group 111"/>
          <xdr:cNvGrpSpPr>
            <a:grpSpLocks/>
          </xdr:cNvGrpSpPr>
        </xdr:nvGrpSpPr>
        <xdr:grpSpPr>
          <a:xfrm>
            <a:off x="6131" y="11175"/>
            <a:ext cx="1891" cy="485"/>
            <a:chOff x="6132" y="11174"/>
            <a:chExt cx="1891" cy="486"/>
          </a:xfrm>
          <a:solidFill>
            <a:srgbClr val="FFFFFF"/>
          </a:solidFill>
        </xdr:grpSpPr>
        <xdr:sp>
          <xdr:nvSpPr>
            <xdr:cNvPr id="18" name="Arc 105"/>
            <xdr:cNvSpPr>
              <a:spLocks/>
            </xdr:cNvSpPr>
          </xdr:nvSpPr>
          <xdr:spPr>
            <a:xfrm flipV="1">
              <a:off x="6132" y="11255"/>
              <a:ext cx="1833" cy="243"/>
            </a:xfrm>
            <a:prstGeom prst="arc">
              <a:avLst/>
            </a:prstGeom>
            <a:no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 name="Line 107"/>
            <xdr:cNvSpPr>
              <a:spLocks/>
            </xdr:cNvSpPr>
          </xdr:nvSpPr>
          <xdr:spPr>
            <a:xfrm flipH="1" flipV="1">
              <a:off x="7679" y="11174"/>
              <a:ext cx="286" cy="81"/>
            </a:xfrm>
            <a:prstGeom prst="line">
              <a:avLst/>
            </a:prstGeom>
            <a:solidFill>
              <a:srgbClr val="FFFFFF"/>
            </a:solid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 name="Line 108"/>
            <xdr:cNvSpPr>
              <a:spLocks/>
            </xdr:cNvSpPr>
          </xdr:nvSpPr>
          <xdr:spPr>
            <a:xfrm flipV="1">
              <a:off x="7851" y="11255"/>
              <a:ext cx="172" cy="405"/>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21" name="Group 112"/>
          <xdr:cNvGrpSpPr>
            <a:grpSpLocks/>
          </xdr:cNvGrpSpPr>
        </xdr:nvGrpSpPr>
        <xdr:grpSpPr>
          <a:xfrm>
            <a:off x="8022" y="7937"/>
            <a:ext cx="746" cy="2508"/>
            <a:chOff x="8023" y="7935"/>
            <a:chExt cx="745" cy="2510"/>
          </a:xfrm>
          <a:solidFill>
            <a:srgbClr val="FFFFFF"/>
          </a:solidFill>
        </xdr:grpSpPr>
        <xdr:sp>
          <xdr:nvSpPr>
            <xdr:cNvPr id="22" name="Arc 106"/>
            <xdr:cNvSpPr>
              <a:spLocks/>
            </xdr:cNvSpPr>
          </xdr:nvSpPr>
          <xdr:spPr>
            <a:xfrm>
              <a:off x="8023" y="7935"/>
              <a:ext cx="745" cy="2510"/>
            </a:xfrm>
            <a:prstGeom prst="arc">
              <a:avLst/>
            </a:prstGeom>
            <a:no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 name="Line 109"/>
            <xdr:cNvSpPr>
              <a:spLocks/>
            </xdr:cNvSpPr>
          </xdr:nvSpPr>
          <xdr:spPr>
            <a:xfrm>
              <a:off x="8023" y="7935"/>
              <a:ext cx="516" cy="81"/>
            </a:xfrm>
            <a:prstGeom prst="line">
              <a:avLst/>
            </a:prstGeom>
            <a:solidFill>
              <a:srgbClr val="FFFFFF"/>
            </a:solid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 name="Line 110"/>
            <xdr:cNvSpPr>
              <a:spLocks/>
            </xdr:cNvSpPr>
          </xdr:nvSpPr>
          <xdr:spPr>
            <a:xfrm>
              <a:off x="8023" y="8016"/>
              <a:ext cx="172" cy="567"/>
            </a:xfrm>
            <a:prstGeom prst="line">
              <a:avLst/>
            </a:prstGeom>
            <a:solidFill>
              <a:srgbClr val="FFFFFF"/>
            </a:solidFill>
            <a:ln w="1714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5" name="Oval 113"/>
          <xdr:cNvSpPr>
            <a:spLocks/>
          </xdr:cNvSpPr>
        </xdr:nvSpPr>
        <xdr:spPr>
          <a:xfrm>
            <a:off x="9286" y="4371"/>
            <a:ext cx="341" cy="40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 name="Line 114"/>
          <xdr:cNvSpPr>
            <a:spLocks/>
          </xdr:cNvSpPr>
        </xdr:nvSpPr>
        <xdr:spPr>
          <a:xfrm>
            <a:off x="6990" y="10445"/>
            <a:ext cx="0" cy="8583"/>
          </a:xfrm>
          <a:prstGeom prst="line">
            <a:avLst/>
          </a:prstGeom>
          <a:solidFill>
            <a:srgbClr val="FFFFFF"/>
          </a:solidFill>
          <a:ln w="1"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4</xdr:col>
      <xdr:colOff>238125</xdr:colOff>
      <xdr:row>159</xdr:row>
      <xdr:rowOff>161925</xdr:rowOff>
    </xdr:from>
    <xdr:to>
      <xdr:col>7</xdr:col>
      <xdr:colOff>133350</xdr:colOff>
      <xdr:row>166</xdr:row>
      <xdr:rowOff>38100</xdr:rowOff>
    </xdr:to>
    <xdr:sp>
      <xdr:nvSpPr>
        <xdr:cNvPr id="27" name="Oval 116"/>
        <xdr:cNvSpPr>
          <a:spLocks/>
        </xdr:cNvSpPr>
      </xdr:nvSpPr>
      <xdr:spPr>
        <a:xfrm>
          <a:off x="4029075" y="27984450"/>
          <a:ext cx="2876550" cy="1009650"/>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238125</xdr:colOff>
      <xdr:row>154</xdr:row>
      <xdr:rowOff>85725</xdr:rowOff>
    </xdr:from>
    <xdr:to>
      <xdr:col>7</xdr:col>
      <xdr:colOff>142875</xdr:colOff>
      <xdr:row>162</xdr:row>
      <xdr:rowOff>133350</xdr:rowOff>
    </xdr:to>
    <xdr:grpSp>
      <xdr:nvGrpSpPr>
        <xdr:cNvPr id="28" name="Group 118"/>
        <xdr:cNvGrpSpPr>
          <a:grpSpLocks/>
        </xdr:cNvGrpSpPr>
      </xdr:nvGrpSpPr>
      <xdr:grpSpPr>
        <a:xfrm>
          <a:off x="4029075" y="27098625"/>
          <a:ext cx="2886075" cy="1343025"/>
          <a:chOff x="-5154" y="-1154"/>
          <a:chExt cx="20308" cy="20769"/>
        </a:xfrm>
        <a:solidFill>
          <a:srgbClr val="FFFFFF"/>
        </a:solidFill>
      </xdr:grpSpPr>
      <xdr:sp>
        <xdr:nvSpPr>
          <xdr:cNvPr id="29" name="Arc 119"/>
          <xdr:cNvSpPr>
            <a:spLocks/>
          </xdr:cNvSpPr>
        </xdr:nvSpPr>
        <xdr:spPr>
          <a:xfrm flipH="1">
            <a:off x="-5154" y="-1154"/>
            <a:ext cx="9616" cy="20769"/>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 name="Arc 120"/>
          <xdr:cNvSpPr>
            <a:spLocks/>
          </xdr:cNvSpPr>
        </xdr:nvSpPr>
        <xdr:spPr>
          <a:xfrm>
            <a:off x="4386" y="-1154"/>
            <a:ext cx="10768" cy="20385"/>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4</xdr:col>
      <xdr:colOff>238125</xdr:colOff>
      <xdr:row>163</xdr:row>
      <xdr:rowOff>9525</xdr:rowOff>
    </xdr:from>
    <xdr:to>
      <xdr:col>7</xdr:col>
      <xdr:colOff>152400</xdr:colOff>
      <xdr:row>171</xdr:row>
      <xdr:rowOff>76200</xdr:rowOff>
    </xdr:to>
    <xdr:grpSp>
      <xdr:nvGrpSpPr>
        <xdr:cNvPr id="31" name="Group 121"/>
        <xdr:cNvGrpSpPr>
          <a:grpSpLocks/>
        </xdr:cNvGrpSpPr>
      </xdr:nvGrpSpPr>
      <xdr:grpSpPr>
        <a:xfrm>
          <a:off x="4029075" y="28479750"/>
          <a:ext cx="2895600" cy="1362075"/>
          <a:chOff x="-5154" y="-2308"/>
          <a:chExt cx="20385" cy="20962"/>
        </a:xfrm>
        <a:solidFill>
          <a:srgbClr val="FFFFFF"/>
        </a:solidFill>
      </xdr:grpSpPr>
      <xdr:sp>
        <xdr:nvSpPr>
          <xdr:cNvPr id="32" name="Arc 122"/>
          <xdr:cNvSpPr>
            <a:spLocks/>
          </xdr:cNvSpPr>
        </xdr:nvSpPr>
        <xdr:spPr>
          <a:xfrm flipH="1" flipV="1">
            <a:off x="-5154" y="-2308"/>
            <a:ext cx="9617" cy="20962"/>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Arc 123"/>
          <xdr:cNvSpPr>
            <a:spLocks/>
          </xdr:cNvSpPr>
        </xdr:nvSpPr>
        <xdr:spPr>
          <a:xfrm flipV="1">
            <a:off x="4463" y="-2308"/>
            <a:ext cx="10768" cy="20962"/>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5</xdr:col>
      <xdr:colOff>28575</xdr:colOff>
      <xdr:row>154</xdr:row>
      <xdr:rowOff>85725</xdr:rowOff>
    </xdr:from>
    <xdr:to>
      <xdr:col>5</xdr:col>
      <xdr:colOff>628650</xdr:colOff>
      <xdr:row>165</xdr:row>
      <xdr:rowOff>133350</xdr:rowOff>
    </xdr:to>
    <xdr:sp>
      <xdr:nvSpPr>
        <xdr:cNvPr id="34" name="Arc 124"/>
        <xdr:cNvSpPr>
          <a:spLocks/>
        </xdr:cNvSpPr>
      </xdr:nvSpPr>
      <xdr:spPr>
        <a:xfrm flipH="1">
          <a:off x="4791075" y="27098625"/>
          <a:ext cx="600075" cy="182880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838200</xdr:colOff>
      <xdr:row>163</xdr:row>
      <xdr:rowOff>0</xdr:rowOff>
    </xdr:from>
    <xdr:to>
      <xdr:col>8</xdr:col>
      <xdr:colOff>219075</xdr:colOff>
      <xdr:row>163</xdr:row>
      <xdr:rowOff>0</xdr:rowOff>
    </xdr:to>
    <xdr:sp>
      <xdr:nvSpPr>
        <xdr:cNvPr id="35" name="Line 125"/>
        <xdr:cNvSpPr>
          <a:spLocks/>
        </xdr:cNvSpPr>
      </xdr:nvSpPr>
      <xdr:spPr>
        <a:xfrm flipV="1">
          <a:off x="3762375" y="28470225"/>
          <a:ext cx="4095750" cy="0"/>
        </a:xfrm>
        <a:prstGeom prst="line">
          <a:avLst/>
        </a:prstGeom>
        <a:solidFill>
          <a:srgbClr val="FFFFFF"/>
        </a:solidFill>
        <a:ln w="9525"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590550</xdr:colOff>
      <xdr:row>159</xdr:row>
      <xdr:rowOff>133350</xdr:rowOff>
    </xdr:from>
    <xdr:to>
      <xdr:col>6</xdr:col>
      <xdr:colOff>161925</xdr:colOff>
      <xdr:row>167</xdr:row>
      <xdr:rowOff>123825</xdr:rowOff>
    </xdr:to>
    <xdr:sp>
      <xdr:nvSpPr>
        <xdr:cNvPr id="36" name="Line 126"/>
        <xdr:cNvSpPr>
          <a:spLocks/>
        </xdr:cNvSpPr>
      </xdr:nvSpPr>
      <xdr:spPr>
        <a:xfrm flipH="1">
          <a:off x="4381500" y="27955875"/>
          <a:ext cx="1562100" cy="1285875"/>
        </a:xfrm>
        <a:prstGeom prst="line">
          <a:avLst/>
        </a:prstGeom>
        <a:solidFill>
          <a:srgbClr val="FFFFFF"/>
        </a:solidFill>
        <a:ln w="9525"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581025</xdr:colOff>
      <xdr:row>151</xdr:row>
      <xdr:rowOff>9525</xdr:rowOff>
    </xdr:from>
    <xdr:to>
      <xdr:col>5</xdr:col>
      <xdr:colOff>581025</xdr:colOff>
      <xdr:row>163</xdr:row>
      <xdr:rowOff>0</xdr:rowOff>
    </xdr:to>
    <xdr:sp>
      <xdr:nvSpPr>
        <xdr:cNvPr id="37" name="Line 127"/>
        <xdr:cNvSpPr>
          <a:spLocks/>
        </xdr:cNvSpPr>
      </xdr:nvSpPr>
      <xdr:spPr>
        <a:xfrm flipV="1">
          <a:off x="5343525" y="26536650"/>
          <a:ext cx="0" cy="1933575"/>
        </a:xfrm>
        <a:prstGeom prst="line">
          <a:avLst/>
        </a:prstGeom>
        <a:solidFill>
          <a:srgbClr val="FFFFFF"/>
        </a:solidFill>
        <a:ln w="9525"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581025</xdr:colOff>
      <xdr:row>163</xdr:row>
      <xdr:rowOff>0</xdr:rowOff>
    </xdr:from>
    <xdr:to>
      <xdr:col>5</xdr:col>
      <xdr:colOff>581025</xdr:colOff>
      <xdr:row>172</xdr:row>
      <xdr:rowOff>85725</xdr:rowOff>
    </xdr:to>
    <xdr:sp>
      <xdr:nvSpPr>
        <xdr:cNvPr id="38" name="Line 128"/>
        <xdr:cNvSpPr>
          <a:spLocks/>
        </xdr:cNvSpPr>
      </xdr:nvSpPr>
      <xdr:spPr>
        <a:xfrm>
          <a:off x="5343525" y="28470225"/>
          <a:ext cx="0" cy="1543050"/>
        </a:xfrm>
        <a:prstGeom prst="line">
          <a:avLst/>
        </a:prstGeom>
        <a:solidFill>
          <a:srgbClr val="FFFFFF"/>
        </a:solidFill>
        <a:ln w="1"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581025</xdr:colOff>
      <xdr:row>154</xdr:row>
      <xdr:rowOff>85725</xdr:rowOff>
    </xdr:from>
    <xdr:to>
      <xdr:col>6</xdr:col>
      <xdr:colOff>457200</xdr:colOff>
      <xdr:row>165</xdr:row>
      <xdr:rowOff>114300</xdr:rowOff>
    </xdr:to>
    <xdr:grpSp>
      <xdr:nvGrpSpPr>
        <xdr:cNvPr id="39" name="Group 138"/>
        <xdr:cNvGrpSpPr>
          <a:grpSpLocks/>
        </xdr:cNvGrpSpPr>
      </xdr:nvGrpSpPr>
      <xdr:grpSpPr>
        <a:xfrm>
          <a:off x="5343525" y="27098625"/>
          <a:ext cx="895350" cy="1809750"/>
          <a:chOff x="-8791" y="-839"/>
          <a:chExt cx="18022" cy="20280"/>
        </a:xfrm>
        <a:solidFill>
          <a:srgbClr val="FFFFFF"/>
        </a:solidFill>
      </xdr:grpSpPr>
      <xdr:sp>
        <xdr:nvSpPr>
          <xdr:cNvPr id="40" name="Arc 129"/>
          <xdr:cNvSpPr>
            <a:spLocks/>
          </xdr:cNvSpPr>
        </xdr:nvSpPr>
        <xdr:spPr>
          <a:xfrm>
            <a:off x="-8570" y="-839"/>
            <a:ext cx="17801" cy="20280"/>
          </a:xfrm>
          <a:prstGeom prst="arc">
            <a:avLst/>
          </a:prstGeom>
          <a:noFill/>
          <a:ln w="1714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 name="Line 130"/>
          <xdr:cNvSpPr>
            <a:spLocks/>
          </xdr:cNvSpPr>
        </xdr:nvSpPr>
        <xdr:spPr>
          <a:xfrm>
            <a:off x="-8791" y="14685"/>
            <a:ext cx="18022" cy="4756"/>
          </a:xfrm>
          <a:prstGeom prst="line">
            <a:avLst/>
          </a:prstGeom>
          <a:solidFill>
            <a:srgbClr val="FFFFFF"/>
          </a:solidFill>
          <a:ln w="1714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Line 131"/>
          <xdr:cNvSpPr>
            <a:spLocks/>
          </xdr:cNvSpPr>
        </xdr:nvSpPr>
        <xdr:spPr>
          <a:xfrm flipV="1">
            <a:off x="-8570" y="4337"/>
            <a:ext cx="11867" cy="10348"/>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5</xdr:col>
      <xdr:colOff>247650</xdr:colOff>
      <xdr:row>157</xdr:row>
      <xdr:rowOff>66675</xdr:rowOff>
    </xdr:from>
    <xdr:to>
      <xdr:col>6</xdr:col>
      <xdr:colOff>485775</xdr:colOff>
      <xdr:row>164</xdr:row>
      <xdr:rowOff>133350</xdr:rowOff>
    </xdr:to>
    <xdr:grpSp>
      <xdr:nvGrpSpPr>
        <xdr:cNvPr id="43" name="Group 137"/>
        <xdr:cNvGrpSpPr>
          <a:grpSpLocks/>
        </xdr:cNvGrpSpPr>
      </xdr:nvGrpSpPr>
      <xdr:grpSpPr>
        <a:xfrm>
          <a:off x="5010150" y="27565350"/>
          <a:ext cx="1257300" cy="1200150"/>
          <a:chOff x="-15604" y="-1758"/>
          <a:chExt cx="25494" cy="21318"/>
        </a:xfrm>
        <a:solidFill>
          <a:srgbClr val="FFFFFF"/>
        </a:solidFill>
      </xdr:grpSpPr>
      <xdr:sp>
        <xdr:nvSpPr>
          <xdr:cNvPr id="44" name="Line 133"/>
          <xdr:cNvSpPr>
            <a:spLocks/>
          </xdr:cNvSpPr>
        </xdr:nvSpPr>
        <xdr:spPr>
          <a:xfrm flipH="1">
            <a:off x="3300" y="14284"/>
            <a:ext cx="6590" cy="5052"/>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 name="Line 134"/>
          <xdr:cNvSpPr>
            <a:spLocks/>
          </xdr:cNvSpPr>
        </xdr:nvSpPr>
        <xdr:spPr>
          <a:xfrm flipV="1">
            <a:off x="-15604" y="19560"/>
            <a:ext cx="18681" cy="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 name="Line 135"/>
          <xdr:cNvSpPr>
            <a:spLocks/>
          </xdr:cNvSpPr>
        </xdr:nvSpPr>
        <xdr:spPr>
          <a:xfrm flipV="1">
            <a:off x="3077" y="-1758"/>
            <a:ext cx="0" cy="21318"/>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104775</xdr:colOff>
      <xdr:row>157</xdr:row>
      <xdr:rowOff>9525</xdr:rowOff>
    </xdr:from>
    <xdr:to>
      <xdr:col>6</xdr:col>
      <xdr:colOff>200025</xdr:colOff>
      <xdr:row>157</xdr:row>
      <xdr:rowOff>104775</xdr:rowOff>
    </xdr:to>
    <xdr:sp>
      <xdr:nvSpPr>
        <xdr:cNvPr id="47" name="Oval 132"/>
        <xdr:cNvSpPr>
          <a:spLocks/>
        </xdr:cNvSpPr>
      </xdr:nvSpPr>
      <xdr:spPr>
        <a:xfrm>
          <a:off x="5886450" y="27508200"/>
          <a:ext cx="85725" cy="95250"/>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89</xdr:row>
      <xdr:rowOff>66675</xdr:rowOff>
    </xdr:from>
    <xdr:to>
      <xdr:col>5</xdr:col>
      <xdr:colOff>28575</xdr:colOff>
      <xdr:row>93</xdr:row>
      <xdr:rowOff>66675</xdr:rowOff>
    </xdr:to>
    <xdr:grpSp>
      <xdr:nvGrpSpPr>
        <xdr:cNvPr id="1" name="Group 103"/>
        <xdr:cNvGrpSpPr>
          <a:grpSpLocks/>
        </xdr:cNvGrpSpPr>
      </xdr:nvGrpSpPr>
      <xdr:grpSpPr>
        <a:xfrm>
          <a:off x="3886200" y="15535275"/>
          <a:ext cx="200025" cy="647700"/>
          <a:chOff x="-9412" y="-3077"/>
          <a:chExt cx="11177" cy="20000"/>
        </a:xfrm>
        <a:solidFill>
          <a:srgbClr val="FFFFFF"/>
        </a:solidFill>
      </xdr:grpSpPr>
      <xdr:sp>
        <xdr:nvSpPr>
          <xdr:cNvPr id="2" name="Line 96"/>
          <xdr:cNvSpPr>
            <a:spLocks/>
          </xdr:cNvSpPr>
        </xdr:nvSpPr>
        <xdr:spPr>
          <a:xfrm>
            <a:off x="-9412"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 name="Line 98"/>
          <xdr:cNvSpPr>
            <a:spLocks/>
          </xdr:cNvSpPr>
        </xdr:nvSpPr>
        <xdr:spPr>
          <a:xfrm>
            <a:off x="-9412" y="-2692"/>
            <a:ext cx="94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 name="Line 99"/>
          <xdr:cNvSpPr>
            <a:spLocks/>
          </xdr:cNvSpPr>
        </xdr:nvSpPr>
        <xdr:spPr>
          <a:xfrm>
            <a:off x="-9412" y="16923"/>
            <a:ext cx="1117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866775</xdr:colOff>
      <xdr:row>89</xdr:row>
      <xdr:rowOff>76200</xdr:rowOff>
    </xdr:from>
    <xdr:to>
      <xdr:col>8</xdr:col>
      <xdr:colOff>66675</xdr:colOff>
      <xdr:row>93</xdr:row>
      <xdr:rowOff>85725</xdr:rowOff>
    </xdr:to>
    <xdr:grpSp>
      <xdr:nvGrpSpPr>
        <xdr:cNvPr id="5" name="Group 102"/>
        <xdr:cNvGrpSpPr>
          <a:grpSpLocks/>
        </xdr:cNvGrpSpPr>
      </xdr:nvGrpSpPr>
      <xdr:grpSpPr>
        <a:xfrm>
          <a:off x="7029450" y="15544800"/>
          <a:ext cx="123825" cy="657225"/>
          <a:chOff x="-1408" y="-2692"/>
          <a:chExt cx="3098" cy="20384"/>
        </a:xfrm>
        <a:solidFill>
          <a:srgbClr val="FFFFFF"/>
        </a:solidFill>
      </xdr:grpSpPr>
      <xdr:sp>
        <xdr:nvSpPr>
          <xdr:cNvPr id="6" name="Line 97"/>
          <xdr:cNvSpPr>
            <a:spLocks/>
          </xdr:cNvSpPr>
        </xdr:nvSpPr>
        <xdr:spPr>
          <a:xfrm>
            <a:off x="1690"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 name="Line 100"/>
          <xdr:cNvSpPr>
            <a:spLocks/>
          </xdr:cNvSpPr>
        </xdr:nvSpPr>
        <xdr:spPr>
          <a:xfrm flipH="1">
            <a:off x="-1408" y="-2692"/>
            <a:ext cx="2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 name="Line 101"/>
          <xdr:cNvSpPr>
            <a:spLocks/>
          </xdr:cNvSpPr>
        </xdr:nvSpPr>
        <xdr:spPr>
          <a:xfrm flipH="1">
            <a:off x="-1408" y="17692"/>
            <a:ext cx="253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866775</xdr:colOff>
      <xdr:row>101</xdr:row>
      <xdr:rowOff>85725</xdr:rowOff>
    </xdr:from>
    <xdr:to>
      <xdr:col>8</xdr:col>
      <xdr:colOff>28575</xdr:colOff>
      <xdr:row>105</xdr:row>
      <xdr:rowOff>85725</xdr:rowOff>
    </xdr:to>
    <xdr:grpSp>
      <xdr:nvGrpSpPr>
        <xdr:cNvPr id="9" name="Group 104"/>
        <xdr:cNvGrpSpPr>
          <a:grpSpLocks/>
        </xdr:cNvGrpSpPr>
      </xdr:nvGrpSpPr>
      <xdr:grpSpPr>
        <a:xfrm>
          <a:off x="7029450" y="17497425"/>
          <a:ext cx="85725" cy="647700"/>
          <a:chOff x="-2778" y="-2308"/>
          <a:chExt cx="4444" cy="20000"/>
        </a:xfrm>
        <a:solidFill>
          <a:srgbClr val="FFFFFF"/>
        </a:solidFill>
      </xdr:grpSpPr>
      <xdr:sp>
        <xdr:nvSpPr>
          <xdr:cNvPr id="10" name="Line 105"/>
          <xdr:cNvSpPr>
            <a:spLocks/>
          </xdr:cNvSpPr>
        </xdr:nvSpPr>
        <xdr:spPr>
          <a:xfrm>
            <a:off x="-277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 name="Line 106"/>
          <xdr:cNvSpPr>
            <a:spLocks/>
          </xdr:cNvSpPr>
        </xdr:nvSpPr>
        <xdr:spPr>
          <a:xfrm>
            <a:off x="-2778" y="-1923"/>
            <a:ext cx="388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 name="Line 107"/>
          <xdr:cNvSpPr>
            <a:spLocks/>
          </xdr:cNvSpPr>
        </xdr:nvSpPr>
        <xdr:spPr>
          <a:xfrm>
            <a:off x="-2778" y="17692"/>
            <a:ext cx="444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762000</xdr:colOff>
      <xdr:row>101</xdr:row>
      <xdr:rowOff>76200</xdr:rowOff>
    </xdr:from>
    <xdr:to>
      <xdr:col>11</xdr:col>
      <xdr:colOff>66675</xdr:colOff>
      <xdr:row>105</xdr:row>
      <xdr:rowOff>85725</xdr:rowOff>
    </xdr:to>
    <xdr:grpSp>
      <xdr:nvGrpSpPr>
        <xdr:cNvPr id="13" name="Group 108"/>
        <xdr:cNvGrpSpPr>
          <a:grpSpLocks/>
        </xdr:cNvGrpSpPr>
      </xdr:nvGrpSpPr>
      <xdr:grpSpPr>
        <a:xfrm>
          <a:off x="9696450" y="17487900"/>
          <a:ext cx="857250" cy="657225"/>
          <a:chOff x="-6667" y="-2692"/>
          <a:chExt cx="9167" cy="20384"/>
        </a:xfrm>
        <a:solidFill>
          <a:srgbClr val="FFFFFF"/>
        </a:solidFill>
      </xdr:grpSpPr>
      <xdr:sp>
        <xdr:nvSpPr>
          <xdr:cNvPr id="14" name="Line 109"/>
          <xdr:cNvSpPr>
            <a:spLocks/>
          </xdr:cNvSpPr>
        </xdr:nvSpPr>
        <xdr:spPr>
          <a:xfrm>
            <a:off x="2500"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 name="Line 110"/>
          <xdr:cNvSpPr>
            <a:spLocks/>
          </xdr:cNvSpPr>
        </xdr:nvSpPr>
        <xdr:spPr>
          <a:xfrm flipH="1">
            <a:off x="-6667" y="-2692"/>
            <a:ext cx="833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 name="Line 111"/>
          <xdr:cNvSpPr>
            <a:spLocks/>
          </xdr:cNvSpPr>
        </xdr:nvSpPr>
        <xdr:spPr>
          <a:xfrm flipH="1">
            <a:off x="-6667" y="17692"/>
            <a:ext cx="750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4</xdr:col>
      <xdr:colOff>981075</xdr:colOff>
      <xdr:row>115</xdr:row>
      <xdr:rowOff>66675</xdr:rowOff>
    </xdr:from>
    <xdr:to>
      <xdr:col>5</xdr:col>
      <xdr:colOff>28575</xdr:colOff>
      <xdr:row>119</xdr:row>
      <xdr:rowOff>66675</xdr:rowOff>
    </xdr:to>
    <xdr:grpSp>
      <xdr:nvGrpSpPr>
        <xdr:cNvPr id="17" name="Group 112"/>
        <xdr:cNvGrpSpPr>
          <a:grpSpLocks/>
        </xdr:cNvGrpSpPr>
      </xdr:nvGrpSpPr>
      <xdr:grpSpPr>
        <a:xfrm>
          <a:off x="3886200" y="19764375"/>
          <a:ext cx="200025" cy="647700"/>
          <a:chOff x="-9412" y="-3077"/>
          <a:chExt cx="11177" cy="20000"/>
        </a:xfrm>
        <a:solidFill>
          <a:srgbClr val="FFFFFF"/>
        </a:solidFill>
      </xdr:grpSpPr>
      <xdr:sp>
        <xdr:nvSpPr>
          <xdr:cNvPr id="18" name="Line 113"/>
          <xdr:cNvSpPr>
            <a:spLocks/>
          </xdr:cNvSpPr>
        </xdr:nvSpPr>
        <xdr:spPr>
          <a:xfrm>
            <a:off x="-9412"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 name="Line 114"/>
          <xdr:cNvSpPr>
            <a:spLocks/>
          </xdr:cNvSpPr>
        </xdr:nvSpPr>
        <xdr:spPr>
          <a:xfrm>
            <a:off x="-9412" y="-2692"/>
            <a:ext cx="94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 name="Line 115"/>
          <xdr:cNvSpPr>
            <a:spLocks/>
          </xdr:cNvSpPr>
        </xdr:nvSpPr>
        <xdr:spPr>
          <a:xfrm>
            <a:off x="-9412" y="16923"/>
            <a:ext cx="1117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857250</xdr:colOff>
      <xdr:row>115</xdr:row>
      <xdr:rowOff>76200</xdr:rowOff>
    </xdr:from>
    <xdr:to>
      <xdr:col>8</xdr:col>
      <xdr:colOff>57150</xdr:colOff>
      <xdr:row>119</xdr:row>
      <xdr:rowOff>85725</xdr:rowOff>
    </xdr:to>
    <xdr:grpSp>
      <xdr:nvGrpSpPr>
        <xdr:cNvPr id="21" name="Group 116"/>
        <xdr:cNvGrpSpPr>
          <a:grpSpLocks/>
        </xdr:cNvGrpSpPr>
      </xdr:nvGrpSpPr>
      <xdr:grpSpPr>
        <a:xfrm>
          <a:off x="7019925" y="19773900"/>
          <a:ext cx="123825" cy="657225"/>
          <a:chOff x="-2000" y="-2692"/>
          <a:chExt cx="3667" cy="20384"/>
        </a:xfrm>
        <a:solidFill>
          <a:srgbClr val="FFFFFF"/>
        </a:solidFill>
      </xdr:grpSpPr>
      <xdr:sp>
        <xdr:nvSpPr>
          <xdr:cNvPr id="22" name="Line 117"/>
          <xdr:cNvSpPr>
            <a:spLocks/>
          </xdr:cNvSpPr>
        </xdr:nvSpPr>
        <xdr:spPr>
          <a:xfrm>
            <a:off x="1667"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 name="Line 118"/>
          <xdr:cNvSpPr>
            <a:spLocks/>
          </xdr:cNvSpPr>
        </xdr:nvSpPr>
        <xdr:spPr>
          <a:xfrm flipH="1">
            <a:off x="-2000" y="-2692"/>
            <a:ext cx="33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 name="Line 119"/>
          <xdr:cNvSpPr>
            <a:spLocks/>
          </xdr:cNvSpPr>
        </xdr:nvSpPr>
        <xdr:spPr>
          <a:xfrm flipH="1">
            <a:off x="-2000" y="17692"/>
            <a:ext cx="3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866775</xdr:colOff>
      <xdr:row>127</xdr:row>
      <xdr:rowOff>85725</xdr:rowOff>
    </xdr:from>
    <xdr:to>
      <xdr:col>8</xdr:col>
      <xdr:colOff>28575</xdr:colOff>
      <xdr:row>131</xdr:row>
      <xdr:rowOff>85725</xdr:rowOff>
    </xdr:to>
    <xdr:grpSp>
      <xdr:nvGrpSpPr>
        <xdr:cNvPr id="25" name="Group 120"/>
        <xdr:cNvGrpSpPr>
          <a:grpSpLocks/>
        </xdr:cNvGrpSpPr>
      </xdr:nvGrpSpPr>
      <xdr:grpSpPr>
        <a:xfrm>
          <a:off x="7029450" y="21726525"/>
          <a:ext cx="85725" cy="647700"/>
          <a:chOff x="-2778" y="-2308"/>
          <a:chExt cx="4444" cy="20000"/>
        </a:xfrm>
        <a:solidFill>
          <a:srgbClr val="FFFFFF"/>
        </a:solidFill>
      </xdr:grpSpPr>
      <xdr:sp>
        <xdr:nvSpPr>
          <xdr:cNvPr id="26" name="Line 121"/>
          <xdr:cNvSpPr>
            <a:spLocks/>
          </xdr:cNvSpPr>
        </xdr:nvSpPr>
        <xdr:spPr>
          <a:xfrm>
            <a:off x="-277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 name="Line 122"/>
          <xdr:cNvSpPr>
            <a:spLocks/>
          </xdr:cNvSpPr>
        </xdr:nvSpPr>
        <xdr:spPr>
          <a:xfrm>
            <a:off x="-2778" y="-1923"/>
            <a:ext cx="388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Line 123"/>
          <xdr:cNvSpPr>
            <a:spLocks/>
          </xdr:cNvSpPr>
        </xdr:nvSpPr>
        <xdr:spPr>
          <a:xfrm>
            <a:off x="-2778" y="17692"/>
            <a:ext cx="444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762000</xdr:colOff>
      <xdr:row>127</xdr:row>
      <xdr:rowOff>76200</xdr:rowOff>
    </xdr:from>
    <xdr:to>
      <xdr:col>11</xdr:col>
      <xdr:colOff>66675</xdr:colOff>
      <xdr:row>131</xdr:row>
      <xdr:rowOff>85725</xdr:rowOff>
    </xdr:to>
    <xdr:grpSp>
      <xdr:nvGrpSpPr>
        <xdr:cNvPr id="29" name="Group 124"/>
        <xdr:cNvGrpSpPr>
          <a:grpSpLocks/>
        </xdr:cNvGrpSpPr>
      </xdr:nvGrpSpPr>
      <xdr:grpSpPr>
        <a:xfrm>
          <a:off x="9696450" y="21717000"/>
          <a:ext cx="857250" cy="657225"/>
          <a:chOff x="-6667" y="-2692"/>
          <a:chExt cx="9167" cy="20384"/>
        </a:xfrm>
        <a:solidFill>
          <a:srgbClr val="FFFFFF"/>
        </a:solidFill>
      </xdr:grpSpPr>
      <xdr:sp>
        <xdr:nvSpPr>
          <xdr:cNvPr id="30" name="Line 125"/>
          <xdr:cNvSpPr>
            <a:spLocks/>
          </xdr:cNvSpPr>
        </xdr:nvSpPr>
        <xdr:spPr>
          <a:xfrm>
            <a:off x="2500"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 name="Line 126"/>
          <xdr:cNvSpPr>
            <a:spLocks/>
          </xdr:cNvSpPr>
        </xdr:nvSpPr>
        <xdr:spPr>
          <a:xfrm flipH="1">
            <a:off x="-6667" y="-2692"/>
            <a:ext cx="833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 name="Line 127"/>
          <xdr:cNvSpPr>
            <a:spLocks/>
          </xdr:cNvSpPr>
        </xdr:nvSpPr>
        <xdr:spPr>
          <a:xfrm flipH="1">
            <a:off x="-6667" y="17692"/>
            <a:ext cx="750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4</xdr:col>
      <xdr:colOff>971550</xdr:colOff>
      <xdr:row>253</xdr:row>
      <xdr:rowOff>66675</xdr:rowOff>
    </xdr:from>
    <xdr:to>
      <xdr:col>5</xdr:col>
      <xdr:colOff>19050</xdr:colOff>
      <xdr:row>257</xdr:row>
      <xdr:rowOff>66675</xdr:rowOff>
    </xdr:to>
    <xdr:grpSp>
      <xdr:nvGrpSpPr>
        <xdr:cNvPr id="33" name="Group 160"/>
        <xdr:cNvGrpSpPr>
          <a:grpSpLocks/>
        </xdr:cNvGrpSpPr>
      </xdr:nvGrpSpPr>
      <xdr:grpSpPr>
        <a:xfrm>
          <a:off x="3876675" y="42386250"/>
          <a:ext cx="200025" cy="647700"/>
          <a:chOff x="-14783" y="-3077"/>
          <a:chExt cx="16522" cy="20000"/>
        </a:xfrm>
        <a:solidFill>
          <a:srgbClr val="FFFFFF"/>
        </a:solidFill>
      </xdr:grpSpPr>
      <xdr:sp>
        <xdr:nvSpPr>
          <xdr:cNvPr id="34" name="Line 161"/>
          <xdr:cNvSpPr>
            <a:spLocks/>
          </xdr:cNvSpPr>
        </xdr:nvSpPr>
        <xdr:spPr>
          <a:xfrm>
            <a:off x="-14783"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 name="Line 162"/>
          <xdr:cNvSpPr>
            <a:spLocks/>
          </xdr:cNvSpPr>
        </xdr:nvSpPr>
        <xdr:spPr>
          <a:xfrm>
            <a:off x="-14783" y="-2692"/>
            <a:ext cx="139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Line 163"/>
          <xdr:cNvSpPr>
            <a:spLocks/>
          </xdr:cNvSpPr>
        </xdr:nvSpPr>
        <xdr:spPr>
          <a:xfrm>
            <a:off x="-14783" y="16923"/>
            <a:ext cx="1652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876300</xdr:colOff>
      <xdr:row>253</xdr:row>
      <xdr:rowOff>85725</xdr:rowOff>
    </xdr:from>
    <xdr:to>
      <xdr:col>8</xdr:col>
      <xdr:colOff>76200</xdr:colOff>
      <xdr:row>257</xdr:row>
      <xdr:rowOff>95250</xdr:rowOff>
    </xdr:to>
    <xdr:grpSp>
      <xdr:nvGrpSpPr>
        <xdr:cNvPr id="37" name="Group 164"/>
        <xdr:cNvGrpSpPr>
          <a:grpSpLocks/>
        </xdr:cNvGrpSpPr>
      </xdr:nvGrpSpPr>
      <xdr:grpSpPr>
        <a:xfrm>
          <a:off x="7038975" y="42405300"/>
          <a:ext cx="123825" cy="657225"/>
          <a:chOff x="-964" y="-2308"/>
          <a:chExt cx="2651" cy="20385"/>
        </a:xfrm>
        <a:solidFill>
          <a:srgbClr val="FFFFFF"/>
        </a:solidFill>
      </xdr:grpSpPr>
      <xdr:sp>
        <xdr:nvSpPr>
          <xdr:cNvPr id="38" name="Line 165"/>
          <xdr:cNvSpPr>
            <a:spLocks/>
          </xdr:cNvSpPr>
        </xdr:nvSpPr>
        <xdr:spPr>
          <a:xfrm>
            <a:off x="1687"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Line 166"/>
          <xdr:cNvSpPr>
            <a:spLocks/>
          </xdr:cNvSpPr>
        </xdr:nvSpPr>
        <xdr:spPr>
          <a:xfrm flipH="1">
            <a:off x="-964" y="-2308"/>
            <a:ext cx="241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 name="Line 167"/>
          <xdr:cNvSpPr>
            <a:spLocks/>
          </xdr:cNvSpPr>
        </xdr:nvSpPr>
        <xdr:spPr>
          <a:xfrm flipH="1">
            <a:off x="-964" y="18077"/>
            <a:ext cx="216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876300</xdr:colOff>
      <xdr:row>259</xdr:row>
      <xdr:rowOff>114300</xdr:rowOff>
    </xdr:from>
    <xdr:to>
      <xdr:col>8</xdr:col>
      <xdr:colOff>47625</xdr:colOff>
      <xdr:row>263</xdr:row>
      <xdr:rowOff>47625</xdr:rowOff>
    </xdr:to>
    <xdr:grpSp>
      <xdr:nvGrpSpPr>
        <xdr:cNvPr id="41" name="Group 168"/>
        <xdr:cNvGrpSpPr>
          <a:grpSpLocks/>
        </xdr:cNvGrpSpPr>
      </xdr:nvGrpSpPr>
      <xdr:grpSpPr>
        <a:xfrm>
          <a:off x="7038975" y="43405425"/>
          <a:ext cx="95250" cy="581025"/>
          <a:chOff x="-1667" y="-1538"/>
          <a:chExt cx="3333" cy="18077"/>
        </a:xfrm>
        <a:solidFill>
          <a:srgbClr val="FFFFFF"/>
        </a:solidFill>
      </xdr:grpSpPr>
      <xdr:sp>
        <xdr:nvSpPr>
          <xdr:cNvPr id="42" name="Line 169"/>
          <xdr:cNvSpPr>
            <a:spLocks/>
          </xdr:cNvSpPr>
        </xdr:nvSpPr>
        <xdr:spPr>
          <a:xfrm>
            <a:off x="-1667" y="-1538"/>
            <a:ext cx="0" cy="1807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 name="Line 170"/>
          <xdr:cNvSpPr>
            <a:spLocks/>
          </xdr:cNvSpPr>
        </xdr:nvSpPr>
        <xdr:spPr>
          <a:xfrm>
            <a:off x="-1667" y="-1154"/>
            <a:ext cx="29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 name="Line 171"/>
          <xdr:cNvSpPr>
            <a:spLocks/>
          </xdr:cNvSpPr>
        </xdr:nvSpPr>
        <xdr:spPr>
          <a:xfrm>
            <a:off x="-1667" y="16539"/>
            <a:ext cx="33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857250</xdr:colOff>
      <xdr:row>259</xdr:row>
      <xdr:rowOff>114300</xdr:rowOff>
    </xdr:from>
    <xdr:to>
      <xdr:col>11</xdr:col>
      <xdr:colOff>66675</xdr:colOff>
      <xdr:row>263</xdr:row>
      <xdr:rowOff>47625</xdr:rowOff>
    </xdr:to>
    <xdr:grpSp>
      <xdr:nvGrpSpPr>
        <xdr:cNvPr id="45" name="Group 172"/>
        <xdr:cNvGrpSpPr>
          <a:grpSpLocks/>
        </xdr:cNvGrpSpPr>
      </xdr:nvGrpSpPr>
      <xdr:grpSpPr>
        <a:xfrm>
          <a:off x="9791700" y="43405425"/>
          <a:ext cx="762000" cy="581025"/>
          <a:chOff x="-2917" y="-1538"/>
          <a:chExt cx="5417" cy="18077"/>
        </a:xfrm>
        <a:solidFill>
          <a:srgbClr val="FFFFFF"/>
        </a:solidFill>
      </xdr:grpSpPr>
      <xdr:sp>
        <xdr:nvSpPr>
          <xdr:cNvPr id="46" name="Line 173"/>
          <xdr:cNvSpPr>
            <a:spLocks/>
          </xdr:cNvSpPr>
        </xdr:nvSpPr>
        <xdr:spPr>
          <a:xfrm>
            <a:off x="2500" y="-1538"/>
            <a:ext cx="0" cy="1807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 name="Line 174"/>
          <xdr:cNvSpPr>
            <a:spLocks/>
          </xdr:cNvSpPr>
        </xdr:nvSpPr>
        <xdr:spPr>
          <a:xfrm flipH="1">
            <a:off x="-2917" y="-1538"/>
            <a:ext cx="5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 name="Line 175"/>
          <xdr:cNvSpPr>
            <a:spLocks/>
          </xdr:cNvSpPr>
        </xdr:nvSpPr>
        <xdr:spPr>
          <a:xfrm flipH="1">
            <a:off x="-2917" y="16539"/>
            <a:ext cx="458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800100</xdr:colOff>
      <xdr:row>282</xdr:row>
      <xdr:rowOff>95250</xdr:rowOff>
    </xdr:from>
    <xdr:to>
      <xdr:col>2</xdr:col>
      <xdr:colOff>19050</xdr:colOff>
      <xdr:row>286</xdr:row>
      <xdr:rowOff>95250</xdr:rowOff>
    </xdr:to>
    <xdr:grpSp>
      <xdr:nvGrpSpPr>
        <xdr:cNvPr id="49" name="Group 188"/>
        <xdr:cNvGrpSpPr>
          <a:grpSpLocks/>
        </xdr:cNvGrpSpPr>
      </xdr:nvGrpSpPr>
      <xdr:grpSpPr>
        <a:xfrm>
          <a:off x="962025" y="47196375"/>
          <a:ext cx="85725" cy="647700"/>
          <a:chOff x="-4444" y="-1923"/>
          <a:chExt cx="5926" cy="20000"/>
        </a:xfrm>
        <a:solidFill>
          <a:srgbClr val="FFFFFF"/>
        </a:solidFill>
      </xdr:grpSpPr>
      <xdr:sp>
        <xdr:nvSpPr>
          <xdr:cNvPr id="50" name="Line 189"/>
          <xdr:cNvSpPr>
            <a:spLocks/>
          </xdr:cNvSpPr>
        </xdr:nvSpPr>
        <xdr:spPr>
          <a:xfrm>
            <a:off x="-4444" y="-1923"/>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1" name="Line 190"/>
          <xdr:cNvSpPr>
            <a:spLocks/>
          </xdr:cNvSpPr>
        </xdr:nvSpPr>
        <xdr:spPr>
          <a:xfrm>
            <a:off x="-4444" y="-1538"/>
            <a:ext cx="518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 name="Line 191"/>
          <xdr:cNvSpPr>
            <a:spLocks/>
          </xdr:cNvSpPr>
        </xdr:nvSpPr>
        <xdr:spPr>
          <a:xfrm>
            <a:off x="-4444" y="18077"/>
            <a:ext cx="592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5</xdr:col>
      <xdr:colOff>866775</xdr:colOff>
      <xdr:row>282</xdr:row>
      <xdr:rowOff>114300</xdr:rowOff>
    </xdr:from>
    <xdr:to>
      <xdr:col>6</xdr:col>
      <xdr:colOff>0</xdr:colOff>
      <xdr:row>286</xdr:row>
      <xdr:rowOff>114300</xdr:rowOff>
    </xdr:to>
    <xdr:grpSp>
      <xdr:nvGrpSpPr>
        <xdr:cNvPr id="53" name="Group 196"/>
        <xdr:cNvGrpSpPr>
          <a:grpSpLocks/>
        </xdr:cNvGrpSpPr>
      </xdr:nvGrpSpPr>
      <xdr:grpSpPr>
        <a:xfrm>
          <a:off x="4924425" y="47215425"/>
          <a:ext cx="371475" cy="647700"/>
          <a:chOff x="-10" y="-1538"/>
          <a:chExt cx="11" cy="20000"/>
        </a:xfrm>
        <a:solidFill>
          <a:srgbClr val="FFFFFF"/>
        </a:solidFill>
      </xdr:grpSpPr>
      <xdr:sp>
        <xdr:nvSpPr>
          <xdr:cNvPr id="54" name="Line 197"/>
          <xdr:cNvSpPr>
            <a:spLocks/>
          </xdr:cNvSpPr>
        </xdr:nvSpPr>
        <xdr:spPr>
          <a:xfrm>
            <a:off x="-10" y="-153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 name="Line 198"/>
          <xdr:cNvSpPr>
            <a:spLocks/>
          </xdr:cNvSpPr>
        </xdr:nvSpPr>
        <xdr:spPr>
          <a:xfrm>
            <a:off x="-10" y="-1153"/>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 name="Line 199"/>
          <xdr:cNvSpPr>
            <a:spLocks/>
          </xdr:cNvSpPr>
        </xdr:nvSpPr>
        <xdr:spPr>
          <a:xfrm>
            <a:off x="-10" y="18462"/>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904875</xdr:colOff>
      <xdr:row>282</xdr:row>
      <xdr:rowOff>76200</xdr:rowOff>
    </xdr:from>
    <xdr:to>
      <xdr:col>9</xdr:col>
      <xdr:colOff>85725</xdr:colOff>
      <xdr:row>286</xdr:row>
      <xdr:rowOff>85725</xdr:rowOff>
    </xdr:to>
    <xdr:grpSp>
      <xdr:nvGrpSpPr>
        <xdr:cNvPr id="57" name="Group 200"/>
        <xdr:cNvGrpSpPr>
          <a:grpSpLocks/>
        </xdr:cNvGrpSpPr>
      </xdr:nvGrpSpPr>
      <xdr:grpSpPr>
        <a:xfrm>
          <a:off x="7991475" y="47177325"/>
          <a:ext cx="114300" cy="657225"/>
          <a:chOff x="-714" y="-2692"/>
          <a:chExt cx="2619" cy="20384"/>
        </a:xfrm>
        <a:solidFill>
          <a:srgbClr val="FFFFFF"/>
        </a:solidFill>
      </xdr:grpSpPr>
      <xdr:sp>
        <xdr:nvSpPr>
          <xdr:cNvPr id="58" name="Line 201"/>
          <xdr:cNvSpPr>
            <a:spLocks/>
          </xdr:cNvSpPr>
        </xdr:nvSpPr>
        <xdr:spPr>
          <a:xfrm>
            <a:off x="1905"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9" name="Line 202"/>
          <xdr:cNvSpPr>
            <a:spLocks/>
          </xdr:cNvSpPr>
        </xdr:nvSpPr>
        <xdr:spPr>
          <a:xfrm flipH="1">
            <a:off x="-714" y="-2692"/>
            <a:ext cx="238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 name="Line 203"/>
          <xdr:cNvSpPr>
            <a:spLocks/>
          </xdr:cNvSpPr>
        </xdr:nvSpPr>
        <xdr:spPr>
          <a:xfrm flipH="1">
            <a:off x="-714" y="17692"/>
            <a:ext cx="214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733425</xdr:colOff>
      <xdr:row>290</xdr:row>
      <xdr:rowOff>76200</xdr:rowOff>
    </xdr:from>
    <xdr:to>
      <xdr:col>4</xdr:col>
      <xdr:colOff>0</xdr:colOff>
      <xdr:row>294</xdr:row>
      <xdr:rowOff>76200</xdr:rowOff>
    </xdr:to>
    <xdr:grpSp>
      <xdr:nvGrpSpPr>
        <xdr:cNvPr id="61" name="Group 204"/>
        <xdr:cNvGrpSpPr>
          <a:grpSpLocks/>
        </xdr:cNvGrpSpPr>
      </xdr:nvGrpSpPr>
      <xdr:grpSpPr>
        <a:xfrm>
          <a:off x="2828925" y="48472725"/>
          <a:ext cx="76200" cy="647700"/>
          <a:chOff x="-7" y="-2692"/>
          <a:chExt cx="7" cy="20000"/>
        </a:xfrm>
        <a:solidFill>
          <a:srgbClr val="FFFFFF"/>
        </a:solidFill>
      </xdr:grpSpPr>
      <xdr:sp>
        <xdr:nvSpPr>
          <xdr:cNvPr id="62" name="Line 205"/>
          <xdr:cNvSpPr>
            <a:spLocks/>
          </xdr:cNvSpPr>
        </xdr:nvSpPr>
        <xdr:spPr>
          <a:xfrm>
            <a:off x="-7"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3" name="Line 206"/>
          <xdr:cNvSpPr>
            <a:spLocks/>
          </xdr:cNvSpPr>
        </xdr:nvSpPr>
        <xdr:spPr>
          <a:xfrm>
            <a:off x="-7" y="-2307"/>
            <a:ext cx="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4" name="Line 207"/>
          <xdr:cNvSpPr>
            <a:spLocks/>
          </xdr:cNvSpPr>
        </xdr:nvSpPr>
        <xdr:spPr>
          <a:xfrm>
            <a:off x="-7" y="17308"/>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819150</xdr:colOff>
      <xdr:row>290</xdr:row>
      <xdr:rowOff>76200</xdr:rowOff>
    </xdr:from>
    <xdr:to>
      <xdr:col>7</xdr:col>
      <xdr:colOff>76200</xdr:colOff>
      <xdr:row>294</xdr:row>
      <xdr:rowOff>85725</xdr:rowOff>
    </xdr:to>
    <xdr:grpSp>
      <xdr:nvGrpSpPr>
        <xdr:cNvPr id="65" name="Group 208"/>
        <xdr:cNvGrpSpPr>
          <a:grpSpLocks/>
        </xdr:cNvGrpSpPr>
      </xdr:nvGrpSpPr>
      <xdr:grpSpPr>
        <a:xfrm>
          <a:off x="6115050" y="48472725"/>
          <a:ext cx="123825" cy="657225"/>
          <a:chOff x="-952" y="-2692"/>
          <a:chExt cx="2619" cy="20384"/>
        </a:xfrm>
        <a:solidFill>
          <a:srgbClr val="FFFFFF"/>
        </a:solidFill>
      </xdr:grpSpPr>
      <xdr:sp>
        <xdr:nvSpPr>
          <xdr:cNvPr id="66" name="Line 209"/>
          <xdr:cNvSpPr>
            <a:spLocks/>
          </xdr:cNvSpPr>
        </xdr:nvSpPr>
        <xdr:spPr>
          <a:xfrm>
            <a:off x="1667"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7" name="Line 210"/>
          <xdr:cNvSpPr>
            <a:spLocks/>
          </xdr:cNvSpPr>
        </xdr:nvSpPr>
        <xdr:spPr>
          <a:xfrm flipH="1">
            <a:off x="-952" y="-2692"/>
            <a:ext cx="238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8" name="Line 211"/>
          <xdr:cNvSpPr>
            <a:spLocks/>
          </xdr:cNvSpPr>
        </xdr:nvSpPr>
        <xdr:spPr>
          <a:xfrm flipH="1">
            <a:off x="-952" y="17692"/>
            <a:ext cx="214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838200</xdr:colOff>
      <xdr:row>290</xdr:row>
      <xdr:rowOff>95250</xdr:rowOff>
    </xdr:from>
    <xdr:to>
      <xdr:col>8</xdr:col>
      <xdr:colOff>0</xdr:colOff>
      <xdr:row>294</xdr:row>
      <xdr:rowOff>95250</xdr:rowOff>
    </xdr:to>
    <xdr:grpSp>
      <xdr:nvGrpSpPr>
        <xdr:cNvPr id="69" name="Group 212"/>
        <xdr:cNvGrpSpPr>
          <a:grpSpLocks/>
        </xdr:cNvGrpSpPr>
      </xdr:nvGrpSpPr>
      <xdr:grpSpPr>
        <a:xfrm>
          <a:off x="7000875" y="48491775"/>
          <a:ext cx="85725" cy="647700"/>
          <a:chOff x="-8" y="-1923"/>
          <a:chExt cx="9" cy="20000"/>
        </a:xfrm>
        <a:solidFill>
          <a:srgbClr val="FFFFFF"/>
        </a:solidFill>
      </xdr:grpSpPr>
      <xdr:sp>
        <xdr:nvSpPr>
          <xdr:cNvPr id="70" name="Line 213"/>
          <xdr:cNvSpPr>
            <a:spLocks/>
          </xdr:cNvSpPr>
        </xdr:nvSpPr>
        <xdr:spPr>
          <a:xfrm>
            <a:off x="-8" y="-1923"/>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1" name="Line 214"/>
          <xdr:cNvSpPr>
            <a:spLocks/>
          </xdr:cNvSpPr>
        </xdr:nvSpPr>
        <xdr:spPr>
          <a:xfrm>
            <a:off x="-8" y="-1538"/>
            <a:ext cx="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2" name="Line 215"/>
          <xdr:cNvSpPr>
            <a:spLocks/>
          </xdr:cNvSpPr>
        </xdr:nvSpPr>
        <xdr:spPr>
          <a:xfrm>
            <a:off x="-8" y="18077"/>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5</xdr:col>
      <xdr:colOff>857250</xdr:colOff>
      <xdr:row>298</xdr:row>
      <xdr:rowOff>76200</xdr:rowOff>
    </xdr:from>
    <xdr:to>
      <xdr:col>5</xdr:col>
      <xdr:colOff>942975</xdr:colOff>
      <xdr:row>302</xdr:row>
      <xdr:rowOff>76200</xdr:rowOff>
    </xdr:to>
    <xdr:grpSp>
      <xdr:nvGrpSpPr>
        <xdr:cNvPr id="73" name="Group 220"/>
        <xdr:cNvGrpSpPr>
          <a:grpSpLocks/>
        </xdr:cNvGrpSpPr>
      </xdr:nvGrpSpPr>
      <xdr:grpSpPr>
        <a:xfrm>
          <a:off x="4914900" y="49768125"/>
          <a:ext cx="85725" cy="666750"/>
          <a:chOff x="-11" y="-2593"/>
          <a:chExt cx="9" cy="20000"/>
        </a:xfrm>
        <a:solidFill>
          <a:srgbClr val="FFFFFF"/>
        </a:solidFill>
      </xdr:grpSpPr>
      <xdr:sp>
        <xdr:nvSpPr>
          <xdr:cNvPr id="74" name="Line 221"/>
          <xdr:cNvSpPr>
            <a:spLocks/>
          </xdr:cNvSpPr>
        </xdr:nvSpPr>
        <xdr:spPr>
          <a:xfrm>
            <a:off x="-11" y="-2593"/>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5" name="Line 222"/>
          <xdr:cNvSpPr>
            <a:spLocks/>
          </xdr:cNvSpPr>
        </xdr:nvSpPr>
        <xdr:spPr>
          <a:xfrm>
            <a:off x="-11" y="-222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6" name="Line 223"/>
          <xdr:cNvSpPr>
            <a:spLocks/>
          </xdr:cNvSpPr>
        </xdr:nvSpPr>
        <xdr:spPr>
          <a:xfrm>
            <a:off x="-11" y="17407"/>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904875</xdr:colOff>
      <xdr:row>298</xdr:row>
      <xdr:rowOff>66675</xdr:rowOff>
    </xdr:from>
    <xdr:to>
      <xdr:col>9</xdr:col>
      <xdr:colOff>95250</xdr:colOff>
      <xdr:row>302</xdr:row>
      <xdr:rowOff>76200</xdr:rowOff>
    </xdr:to>
    <xdr:grpSp>
      <xdr:nvGrpSpPr>
        <xdr:cNvPr id="77" name="Group 224"/>
        <xdr:cNvGrpSpPr>
          <a:grpSpLocks/>
        </xdr:cNvGrpSpPr>
      </xdr:nvGrpSpPr>
      <xdr:grpSpPr>
        <a:xfrm>
          <a:off x="7991475" y="49758600"/>
          <a:ext cx="123825" cy="676275"/>
          <a:chOff x="-714" y="-2963"/>
          <a:chExt cx="2857" cy="20370"/>
        </a:xfrm>
        <a:solidFill>
          <a:srgbClr val="FFFFFF"/>
        </a:solidFill>
      </xdr:grpSpPr>
      <xdr:sp>
        <xdr:nvSpPr>
          <xdr:cNvPr id="78" name="Line 225"/>
          <xdr:cNvSpPr>
            <a:spLocks/>
          </xdr:cNvSpPr>
        </xdr:nvSpPr>
        <xdr:spPr>
          <a:xfrm>
            <a:off x="2143" y="-2963"/>
            <a:ext cx="0" cy="2037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9" name="Line 226"/>
          <xdr:cNvSpPr>
            <a:spLocks/>
          </xdr:cNvSpPr>
        </xdr:nvSpPr>
        <xdr:spPr>
          <a:xfrm flipH="1">
            <a:off x="-714" y="-2963"/>
            <a:ext cx="261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0" name="Line 227"/>
          <xdr:cNvSpPr>
            <a:spLocks/>
          </xdr:cNvSpPr>
        </xdr:nvSpPr>
        <xdr:spPr>
          <a:xfrm flipH="1">
            <a:off x="-714" y="17407"/>
            <a:ext cx="238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390525</xdr:colOff>
      <xdr:row>286</xdr:row>
      <xdr:rowOff>95250</xdr:rowOff>
    </xdr:from>
    <xdr:to>
      <xdr:col>5</xdr:col>
      <xdr:colOff>19050</xdr:colOff>
      <xdr:row>290</xdr:row>
      <xdr:rowOff>0</xdr:rowOff>
    </xdr:to>
    <xdr:grpSp>
      <xdr:nvGrpSpPr>
        <xdr:cNvPr id="81" name="Group 232"/>
        <xdr:cNvGrpSpPr>
          <a:grpSpLocks/>
        </xdr:cNvGrpSpPr>
      </xdr:nvGrpSpPr>
      <xdr:grpSpPr>
        <a:xfrm>
          <a:off x="2486025" y="47844075"/>
          <a:ext cx="1590675" cy="552450"/>
          <a:chOff x="-5891" y="-2564"/>
          <a:chExt cx="22635" cy="22564"/>
        </a:xfrm>
        <a:solidFill>
          <a:srgbClr val="FFFFFF"/>
        </a:solidFill>
      </xdr:grpSpPr>
      <xdr:sp>
        <xdr:nvSpPr>
          <xdr:cNvPr id="82" name="Line 228"/>
          <xdr:cNvSpPr>
            <a:spLocks/>
          </xdr:cNvSpPr>
        </xdr:nvSpPr>
        <xdr:spPr>
          <a:xfrm>
            <a:off x="-5891" y="-2564"/>
            <a:ext cx="0" cy="1230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3" name="Line 229"/>
          <xdr:cNvSpPr>
            <a:spLocks/>
          </xdr:cNvSpPr>
        </xdr:nvSpPr>
        <xdr:spPr>
          <a:xfrm>
            <a:off x="-5891" y="9231"/>
            <a:ext cx="2263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4" name="Line 231"/>
          <xdr:cNvSpPr>
            <a:spLocks/>
          </xdr:cNvSpPr>
        </xdr:nvSpPr>
        <xdr:spPr>
          <a:xfrm>
            <a:off x="16591" y="9231"/>
            <a:ext cx="0" cy="10769"/>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5</xdr:col>
      <xdr:colOff>409575</xdr:colOff>
      <xdr:row>294</xdr:row>
      <xdr:rowOff>47625</xdr:rowOff>
    </xdr:from>
    <xdr:to>
      <xdr:col>6</xdr:col>
      <xdr:colOff>838200</xdr:colOff>
      <xdr:row>297</xdr:row>
      <xdr:rowOff>114300</xdr:rowOff>
    </xdr:to>
    <xdr:grpSp>
      <xdr:nvGrpSpPr>
        <xdr:cNvPr id="85" name="Group 233"/>
        <xdr:cNvGrpSpPr>
          <a:grpSpLocks/>
        </xdr:cNvGrpSpPr>
      </xdr:nvGrpSpPr>
      <xdr:grpSpPr>
        <a:xfrm>
          <a:off x="4467225" y="49091850"/>
          <a:ext cx="1666875" cy="552450"/>
          <a:chOff x="-13867" y="-4615"/>
          <a:chExt cx="33067" cy="22564"/>
        </a:xfrm>
        <a:solidFill>
          <a:srgbClr val="FFFFFF"/>
        </a:solidFill>
      </xdr:grpSpPr>
      <xdr:sp>
        <xdr:nvSpPr>
          <xdr:cNvPr id="86" name="Line 234"/>
          <xdr:cNvSpPr>
            <a:spLocks/>
          </xdr:cNvSpPr>
        </xdr:nvSpPr>
        <xdr:spPr>
          <a:xfrm>
            <a:off x="-13867" y="-4615"/>
            <a:ext cx="0" cy="1230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7" name="Line 235"/>
          <xdr:cNvSpPr>
            <a:spLocks/>
          </xdr:cNvSpPr>
        </xdr:nvSpPr>
        <xdr:spPr>
          <a:xfrm>
            <a:off x="-13867" y="7180"/>
            <a:ext cx="3306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8" name="Line 236"/>
          <xdr:cNvSpPr>
            <a:spLocks/>
          </xdr:cNvSpPr>
        </xdr:nvSpPr>
        <xdr:spPr>
          <a:xfrm>
            <a:off x="18935" y="7180"/>
            <a:ext cx="0" cy="10769"/>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5</xdr:col>
      <xdr:colOff>923925</xdr:colOff>
      <xdr:row>286</xdr:row>
      <xdr:rowOff>66675</xdr:rowOff>
    </xdr:from>
    <xdr:to>
      <xdr:col>7</xdr:col>
      <xdr:colOff>533400</xdr:colOff>
      <xdr:row>289</xdr:row>
      <xdr:rowOff>133350</xdr:rowOff>
    </xdr:to>
    <xdr:grpSp>
      <xdr:nvGrpSpPr>
        <xdr:cNvPr id="89" name="Group 237"/>
        <xdr:cNvGrpSpPr>
          <a:grpSpLocks/>
        </xdr:cNvGrpSpPr>
      </xdr:nvGrpSpPr>
      <xdr:grpSpPr>
        <a:xfrm>
          <a:off x="4981575" y="47815500"/>
          <a:ext cx="1714500" cy="552450"/>
          <a:chOff x="-625" y="-4103"/>
          <a:chExt cx="16125" cy="23077"/>
        </a:xfrm>
        <a:solidFill>
          <a:srgbClr val="FFFFFF"/>
        </a:solidFill>
      </xdr:grpSpPr>
      <xdr:sp>
        <xdr:nvSpPr>
          <xdr:cNvPr id="90" name="Line 238"/>
          <xdr:cNvSpPr>
            <a:spLocks/>
          </xdr:cNvSpPr>
        </xdr:nvSpPr>
        <xdr:spPr>
          <a:xfrm>
            <a:off x="15500" y="-4103"/>
            <a:ext cx="0" cy="128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1" name="Line 239"/>
          <xdr:cNvSpPr>
            <a:spLocks/>
          </xdr:cNvSpPr>
        </xdr:nvSpPr>
        <xdr:spPr>
          <a:xfrm flipH="1">
            <a:off x="-625" y="8203"/>
            <a:ext cx="16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2" name="Line 240"/>
          <xdr:cNvSpPr>
            <a:spLocks/>
          </xdr:cNvSpPr>
        </xdr:nvSpPr>
        <xdr:spPr>
          <a:xfrm>
            <a:off x="-500" y="8203"/>
            <a:ext cx="0" cy="10771"/>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895350</xdr:colOff>
      <xdr:row>294</xdr:row>
      <xdr:rowOff>47625</xdr:rowOff>
    </xdr:from>
    <xdr:to>
      <xdr:col>9</xdr:col>
      <xdr:colOff>409575</xdr:colOff>
      <xdr:row>297</xdr:row>
      <xdr:rowOff>123825</xdr:rowOff>
    </xdr:to>
    <xdr:grpSp>
      <xdr:nvGrpSpPr>
        <xdr:cNvPr id="93" name="Group 241"/>
        <xdr:cNvGrpSpPr>
          <a:grpSpLocks/>
        </xdr:cNvGrpSpPr>
      </xdr:nvGrpSpPr>
      <xdr:grpSpPr>
        <a:xfrm>
          <a:off x="7058025" y="49091850"/>
          <a:ext cx="1371600" cy="561975"/>
          <a:chOff x="-353" y="-4615"/>
          <a:chExt cx="14941" cy="23077"/>
        </a:xfrm>
        <a:solidFill>
          <a:srgbClr val="FFFFFF"/>
        </a:solidFill>
      </xdr:grpSpPr>
      <xdr:sp>
        <xdr:nvSpPr>
          <xdr:cNvPr id="94" name="Line 242"/>
          <xdr:cNvSpPr>
            <a:spLocks/>
          </xdr:cNvSpPr>
        </xdr:nvSpPr>
        <xdr:spPr>
          <a:xfrm>
            <a:off x="14588" y="-4615"/>
            <a:ext cx="0" cy="128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5" name="Line 243"/>
          <xdr:cNvSpPr>
            <a:spLocks/>
          </xdr:cNvSpPr>
        </xdr:nvSpPr>
        <xdr:spPr>
          <a:xfrm flipH="1">
            <a:off x="-353" y="7691"/>
            <a:ext cx="1494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6" name="Line 244"/>
          <xdr:cNvSpPr>
            <a:spLocks/>
          </xdr:cNvSpPr>
        </xdr:nvSpPr>
        <xdr:spPr>
          <a:xfrm>
            <a:off x="-233" y="7691"/>
            <a:ext cx="0" cy="10771"/>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819150</xdr:colOff>
      <xdr:row>310</xdr:row>
      <xdr:rowOff>76200</xdr:rowOff>
    </xdr:from>
    <xdr:to>
      <xdr:col>2</xdr:col>
      <xdr:colOff>47625</xdr:colOff>
      <xdr:row>314</xdr:row>
      <xdr:rowOff>76200</xdr:rowOff>
    </xdr:to>
    <xdr:grpSp>
      <xdr:nvGrpSpPr>
        <xdr:cNvPr id="97" name="Group 245"/>
        <xdr:cNvGrpSpPr>
          <a:grpSpLocks/>
        </xdr:cNvGrpSpPr>
      </xdr:nvGrpSpPr>
      <xdr:grpSpPr>
        <a:xfrm>
          <a:off x="981075" y="51787425"/>
          <a:ext cx="95250" cy="647700"/>
          <a:chOff x="-1455" y="-2692"/>
          <a:chExt cx="2909" cy="20000"/>
        </a:xfrm>
        <a:solidFill>
          <a:srgbClr val="FFFFFF"/>
        </a:solidFill>
      </xdr:grpSpPr>
      <xdr:sp>
        <xdr:nvSpPr>
          <xdr:cNvPr id="98" name="Line 246"/>
          <xdr:cNvSpPr>
            <a:spLocks/>
          </xdr:cNvSpPr>
        </xdr:nvSpPr>
        <xdr:spPr>
          <a:xfrm>
            <a:off x="-1455"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9" name="Line 247"/>
          <xdr:cNvSpPr>
            <a:spLocks/>
          </xdr:cNvSpPr>
        </xdr:nvSpPr>
        <xdr:spPr>
          <a:xfrm>
            <a:off x="-1455" y="-2307"/>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0" name="Line 248"/>
          <xdr:cNvSpPr>
            <a:spLocks/>
          </xdr:cNvSpPr>
        </xdr:nvSpPr>
        <xdr:spPr>
          <a:xfrm>
            <a:off x="-1455" y="17308"/>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809625</xdr:colOff>
      <xdr:row>310</xdr:row>
      <xdr:rowOff>66675</xdr:rowOff>
    </xdr:from>
    <xdr:to>
      <xdr:col>3</xdr:col>
      <xdr:colOff>66675</xdr:colOff>
      <xdr:row>314</xdr:row>
      <xdr:rowOff>76200</xdr:rowOff>
    </xdr:to>
    <xdr:grpSp>
      <xdr:nvGrpSpPr>
        <xdr:cNvPr id="101" name="Group 249"/>
        <xdr:cNvGrpSpPr>
          <a:grpSpLocks/>
        </xdr:cNvGrpSpPr>
      </xdr:nvGrpSpPr>
      <xdr:grpSpPr>
        <a:xfrm>
          <a:off x="1838325" y="51777900"/>
          <a:ext cx="323850" cy="657225"/>
          <a:chOff x="-1622" y="-3077"/>
          <a:chExt cx="3244" cy="20385"/>
        </a:xfrm>
        <a:solidFill>
          <a:srgbClr val="FFFFFF"/>
        </a:solidFill>
      </xdr:grpSpPr>
      <xdr:sp>
        <xdr:nvSpPr>
          <xdr:cNvPr id="102" name="Line 250"/>
          <xdr:cNvSpPr>
            <a:spLocks/>
          </xdr:cNvSpPr>
        </xdr:nvSpPr>
        <xdr:spPr>
          <a:xfrm>
            <a:off x="1622"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3" name="Line 251"/>
          <xdr:cNvSpPr>
            <a:spLocks/>
          </xdr:cNvSpPr>
        </xdr:nvSpPr>
        <xdr:spPr>
          <a:xfrm flipH="1">
            <a:off x="-1622" y="-3077"/>
            <a:ext cx="29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4" name="Line 252"/>
          <xdr:cNvSpPr>
            <a:spLocks/>
          </xdr:cNvSpPr>
        </xdr:nvSpPr>
        <xdr:spPr>
          <a:xfrm flipH="1">
            <a:off x="-1622" y="17308"/>
            <a:ext cx="270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742950</xdr:colOff>
      <xdr:row>310</xdr:row>
      <xdr:rowOff>66675</xdr:rowOff>
    </xdr:from>
    <xdr:to>
      <xdr:col>4</xdr:col>
      <xdr:colOff>19050</xdr:colOff>
      <xdr:row>314</xdr:row>
      <xdr:rowOff>66675</xdr:rowOff>
    </xdr:to>
    <xdr:grpSp>
      <xdr:nvGrpSpPr>
        <xdr:cNvPr id="105" name="Group 253"/>
        <xdr:cNvGrpSpPr>
          <a:grpSpLocks/>
        </xdr:cNvGrpSpPr>
      </xdr:nvGrpSpPr>
      <xdr:grpSpPr>
        <a:xfrm>
          <a:off x="2838450" y="51777900"/>
          <a:ext cx="85725" cy="647700"/>
          <a:chOff x="-6316" y="-3077"/>
          <a:chExt cx="8421" cy="20000"/>
        </a:xfrm>
        <a:solidFill>
          <a:srgbClr val="FFFFFF"/>
        </a:solidFill>
      </xdr:grpSpPr>
      <xdr:sp>
        <xdr:nvSpPr>
          <xdr:cNvPr id="106" name="Line 254"/>
          <xdr:cNvSpPr>
            <a:spLocks/>
          </xdr:cNvSpPr>
        </xdr:nvSpPr>
        <xdr:spPr>
          <a:xfrm>
            <a:off x="-6316"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7" name="Line 255"/>
          <xdr:cNvSpPr>
            <a:spLocks/>
          </xdr:cNvSpPr>
        </xdr:nvSpPr>
        <xdr:spPr>
          <a:xfrm>
            <a:off x="-6316" y="-2692"/>
            <a:ext cx="736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8" name="Line 256"/>
          <xdr:cNvSpPr>
            <a:spLocks/>
          </xdr:cNvSpPr>
        </xdr:nvSpPr>
        <xdr:spPr>
          <a:xfrm>
            <a:off x="-6316" y="16923"/>
            <a:ext cx="842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885825</xdr:colOff>
      <xdr:row>310</xdr:row>
      <xdr:rowOff>76200</xdr:rowOff>
    </xdr:from>
    <xdr:to>
      <xdr:col>9</xdr:col>
      <xdr:colOff>47625</xdr:colOff>
      <xdr:row>314</xdr:row>
      <xdr:rowOff>85725</xdr:rowOff>
    </xdr:to>
    <xdr:grpSp>
      <xdr:nvGrpSpPr>
        <xdr:cNvPr id="109" name="Group 257"/>
        <xdr:cNvGrpSpPr>
          <a:grpSpLocks/>
        </xdr:cNvGrpSpPr>
      </xdr:nvGrpSpPr>
      <xdr:grpSpPr>
        <a:xfrm>
          <a:off x="7972425" y="51787425"/>
          <a:ext cx="95250" cy="657225"/>
          <a:chOff x="-1633" y="-2692"/>
          <a:chExt cx="3266" cy="20384"/>
        </a:xfrm>
        <a:solidFill>
          <a:srgbClr val="FFFFFF"/>
        </a:solidFill>
      </xdr:grpSpPr>
      <xdr:sp>
        <xdr:nvSpPr>
          <xdr:cNvPr id="110" name="Line 258"/>
          <xdr:cNvSpPr>
            <a:spLocks/>
          </xdr:cNvSpPr>
        </xdr:nvSpPr>
        <xdr:spPr>
          <a:xfrm>
            <a:off x="1633"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1" name="Line 259"/>
          <xdr:cNvSpPr>
            <a:spLocks/>
          </xdr:cNvSpPr>
        </xdr:nvSpPr>
        <xdr:spPr>
          <a:xfrm flipH="1">
            <a:off x="-1633" y="-2692"/>
            <a:ext cx="285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2" name="Line 260"/>
          <xdr:cNvSpPr>
            <a:spLocks/>
          </xdr:cNvSpPr>
        </xdr:nvSpPr>
        <xdr:spPr>
          <a:xfrm flipH="1">
            <a:off x="-1633" y="17692"/>
            <a:ext cx="244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895350</xdr:colOff>
      <xdr:row>310</xdr:row>
      <xdr:rowOff>76200</xdr:rowOff>
    </xdr:from>
    <xdr:to>
      <xdr:col>8</xdr:col>
      <xdr:colOff>123825</xdr:colOff>
      <xdr:row>314</xdr:row>
      <xdr:rowOff>76200</xdr:rowOff>
    </xdr:to>
    <xdr:grpSp>
      <xdr:nvGrpSpPr>
        <xdr:cNvPr id="113" name="Group 261"/>
        <xdr:cNvGrpSpPr>
          <a:grpSpLocks/>
        </xdr:cNvGrpSpPr>
      </xdr:nvGrpSpPr>
      <xdr:grpSpPr>
        <a:xfrm>
          <a:off x="7058025" y="51787425"/>
          <a:ext cx="152400" cy="647700"/>
          <a:chOff x="-698" y="-2692"/>
          <a:chExt cx="3256" cy="20000"/>
        </a:xfrm>
        <a:solidFill>
          <a:srgbClr val="FFFFFF"/>
        </a:solidFill>
      </xdr:grpSpPr>
      <xdr:sp>
        <xdr:nvSpPr>
          <xdr:cNvPr id="114" name="Line 262"/>
          <xdr:cNvSpPr>
            <a:spLocks/>
          </xdr:cNvSpPr>
        </xdr:nvSpPr>
        <xdr:spPr>
          <a:xfrm>
            <a:off x="-698"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5" name="Line 263"/>
          <xdr:cNvSpPr>
            <a:spLocks/>
          </xdr:cNvSpPr>
        </xdr:nvSpPr>
        <xdr:spPr>
          <a:xfrm>
            <a:off x="-698" y="-2307"/>
            <a:ext cx="255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6" name="Line 264"/>
          <xdr:cNvSpPr>
            <a:spLocks/>
          </xdr:cNvSpPr>
        </xdr:nvSpPr>
        <xdr:spPr>
          <a:xfrm>
            <a:off x="-698" y="17308"/>
            <a:ext cx="325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0</xdr:colOff>
      <xdr:row>310</xdr:row>
      <xdr:rowOff>95250</xdr:rowOff>
    </xdr:from>
    <xdr:to>
      <xdr:col>7</xdr:col>
      <xdr:colOff>47625</xdr:colOff>
      <xdr:row>314</xdr:row>
      <xdr:rowOff>114300</xdr:rowOff>
    </xdr:to>
    <xdr:grpSp>
      <xdr:nvGrpSpPr>
        <xdr:cNvPr id="117" name="Group 265"/>
        <xdr:cNvGrpSpPr>
          <a:grpSpLocks/>
        </xdr:cNvGrpSpPr>
      </xdr:nvGrpSpPr>
      <xdr:grpSpPr>
        <a:xfrm>
          <a:off x="6162675" y="51806475"/>
          <a:ext cx="47625" cy="666750"/>
          <a:chOff x="0" y="-1923"/>
          <a:chExt cx="1667" cy="20385"/>
        </a:xfrm>
        <a:solidFill>
          <a:srgbClr val="FFFFFF"/>
        </a:solidFill>
      </xdr:grpSpPr>
      <xdr:sp>
        <xdr:nvSpPr>
          <xdr:cNvPr id="118" name="Line 266"/>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9" name="Line 267"/>
          <xdr:cNvSpPr>
            <a:spLocks/>
          </xdr:cNvSpPr>
        </xdr:nvSpPr>
        <xdr:spPr>
          <a:xfrm flipH="1">
            <a:off x="0" y="-1923"/>
            <a:ext cx="1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0" name="Line 268"/>
          <xdr:cNvSpPr>
            <a:spLocks/>
          </xdr:cNvSpPr>
        </xdr:nvSpPr>
        <xdr:spPr>
          <a:xfrm flipH="1">
            <a:off x="0" y="18462"/>
            <a:ext cx="8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819150</xdr:colOff>
      <xdr:row>318</xdr:row>
      <xdr:rowOff>76200</xdr:rowOff>
    </xdr:from>
    <xdr:to>
      <xdr:col>2</xdr:col>
      <xdr:colOff>47625</xdr:colOff>
      <xdr:row>322</xdr:row>
      <xdr:rowOff>76200</xdr:rowOff>
    </xdr:to>
    <xdr:grpSp>
      <xdr:nvGrpSpPr>
        <xdr:cNvPr id="121" name="Group 269"/>
        <xdr:cNvGrpSpPr>
          <a:grpSpLocks/>
        </xdr:cNvGrpSpPr>
      </xdr:nvGrpSpPr>
      <xdr:grpSpPr>
        <a:xfrm>
          <a:off x="981075" y="53082825"/>
          <a:ext cx="95250" cy="647700"/>
          <a:chOff x="-1455" y="-2692"/>
          <a:chExt cx="2909" cy="20000"/>
        </a:xfrm>
        <a:solidFill>
          <a:srgbClr val="FFFFFF"/>
        </a:solidFill>
      </xdr:grpSpPr>
      <xdr:sp>
        <xdr:nvSpPr>
          <xdr:cNvPr id="122" name="Line 270"/>
          <xdr:cNvSpPr>
            <a:spLocks/>
          </xdr:cNvSpPr>
        </xdr:nvSpPr>
        <xdr:spPr>
          <a:xfrm>
            <a:off x="-1455"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3" name="Line 271"/>
          <xdr:cNvSpPr>
            <a:spLocks/>
          </xdr:cNvSpPr>
        </xdr:nvSpPr>
        <xdr:spPr>
          <a:xfrm>
            <a:off x="-1455" y="-2307"/>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4" name="Line 272"/>
          <xdr:cNvSpPr>
            <a:spLocks/>
          </xdr:cNvSpPr>
        </xdr:nvSpPr>
        <xdr:spPr>
          <a:xfrm>
            <a:off x="-1455" y="17308"/>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809625</xdr:colOff>
      <xdr:row>318</xdr:row>
      <xdr:rowOff>66675</xdr:rowOff>
    </xdr:from>
    <xdr:to>
      <xdr:col>3</xdr:col>
      <xdr:colOff>66675</xdr:colOff>
      <xdr:row>322</xdr:row>
      <xdr:rowOff>76200</xdr:rowOff>
    </xdr:to>
    <xdr:grpSp>
      <xdr:nvGrpSpPr>
        <xdr:cNvPr id="125" name="Group 273"/>
        <xdr:cNvGrpSpPr>
          <a:grpSpLocks/>
        </xdr:cNvGrpSpPr>
      </xdr:nvGrpSpPr>
      <xdr:grpSpPr>
        <a:xfrm>
          <a:off x="1838325" y="53073300"/>
          <a:ext cx="323850" cy="657225"/>
          <a:chOff x="-1622" y="-3077"/>
          <a:chExt cx="3244" cy="20385"/>
        </a:xfrm>
        <a:solidFill>
          <a:srgbClr val="FFFFFF"/>
        </a:solidFill>
      </xdr:grpSpPr>
      <xdr:sp>
        <xdr:nvSpPr>
          <xdr:cNvPr id="126" name="Line 274"/>
          <xdr:cNvSpPr>
            <a:spLocks/>
          </xdr:cNvSpPr>
        </xdr:nvSpPr>
        <xdr:spPr>
          <a:xfrm>
            <a:off x="1622"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7" name="Line 275"/>
          <xdr:cNvSpPr>
            <a:spLocks/>
          </xdr:cNvSpPr>
        </xdr:nvSpPr>
        <xdr:spPr>
          <a:xfrm flipH="1">
            <a:off x="-1622" y="-3077"/>
            <a:ext cx="29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8" name="Line 276"/>
          <xdr:cNvSpPr>
            <a:spLocks/>
          </xdr:cNvSpPr>
        </xdr:nvSpPr>
        <xdr:spPr>
          <a:xfrm flipH="1">
            <a:off x="-1622" y="17308"/>
            <a:ext cx="270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318</xdr:row>
      <xdr:rowOff>85725</xdr:rowOff>
    </xdr:from>
    <xdr:to>
      <xdr:col>10</xdr:col>
      <xdr:colOff>104775</xdr:colOff>
      <xdr:row>322</xdr:row>
      <xdr:rowOff>85725</xdr:rowOff>
    </xdr:to>
    <xdr:grpSp>
      <xdr:nvGrpSpPr>
        <xdr:cNvPr id="129" name="Group 293"/>
        <xdr:cNvGrpSpPr>
          <a:grpSpLocks/>
        </xdr:cNvGrpSpPr>
      </xdr:nvGrpSpPr>
      <xdr:grpSpPr>
        <a:xfrm>
          <a:off x="8858250" y="53092350"/>
          <a:ext cx="180975" cy="647700"/>
          <a:chOff x="-1628" y="-2308"/>
          <a:chExt cx="3954" cy="20000"/>
        </a:xfrm>
        <a:solidFill>
          <a:srgbClr val="FFFFFF"/>
        </a:solidFill>
      </xdr:grpSpPr>
      <xdr:sp>
        <xdr:nvSpPr>
          <xdr:cNvPr id="130" name="Line 294"/>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1" name="Line 295"/>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2" name="Line 296"/>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866775</xdr:colOff>
      <xdr:row>318</xdr:row>
      <xdr:rowOff>95250</xdr:rowOff>
    </xdr:from>
    <xdr:to>
      <xdr:col>11</xdr:col>
      <xdr:colOff>95250</xdr:colOff>
      <xdr:row>322</xdr:row>
      <xdr:rowOff>114300</xdr:rowOff>
    </xdr:to>
    <xdr:grpSp>
      <xdr:nvGrpSpPr>
        <xdr:cNvPr id="133" name="Group 297"/>
        <xdr:cNvGrpSpPr>
          <a:grpSpLocks/>
        </xdr:cNvGrpSpPr>
      </xdr:nvGrpSpPr>
      <xdr:grpSpPr>
        <a:xfrm>
          <a:off x="9801225" y="53101875"/>
          <a:ext cx="781050" cy="666750"/>
          <a:chOff x="-2500" y="-1923"/>
          <a:chExt cx="6250" cy="20385"/>
        </a:xfrm>
        <a:solidFill>
          <a:srgbClr val="FFFFFF"/>
        </a:solidFill>
      </xdr:grpSpPr>
      <xdr:sp>
        <xdr:nvSpPr>
          <xdr:cNvPr id="134" name="Line 298"/>
          <xdr:cNvSpPr>
            <a:spLocks/>
          </xdr:cNvSpPr>
        </xdr:nvSpPr>
        <xdr:spPr>
          <a:xfrm>
            <a:off x="3750"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5" name="Line 299"/>
          <xdr:cNvSpPr>
            <a:spLocks/>
          </xdr:cNvSpPr>
        </xdr:nvSpPr>
        <xdr:spPr>
          <a:xfrm flipH="1">
            <a:off x="-2500" y="-1923"/>
            <a:ext cx="58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6" name="Line 300"/>
          <xdr:cNvSpPr>
            <a:spLocks/>
          </xdr:cNvSpPr>
        </xdr:nvSpPr>
        <xdr:spPr>
          <a:xfrm flipH="1">
            <a:off x="-2500" y="18462"/>
            <a:ext cx="5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819150</xdr:colOff>
      <xdr:row>328</xdr:row>
      <xdr:rowOff>76200</xdr:rowOff>
    </xdr:from>
    <xdr:to>
      <xdr:col>2</xdr:col>
      <xdr:colOff>47625</xdr:colOff>
      <xdr:row>332</xdr:row>
      <xdr:rowOff>76200</xdr:rowOff>
    </xdr:to>
    <xdr:grpSp>
      <xdr:nvGrpSpPr>
        <xdr:cNvPr id="137" name="Group 301"/>
        <xdr:cNvGrpSpPr>
          <a:grpSpLocks/>
        </xdr:cNvGrpSpPr>
      </xdr:nvGrpSpPr>
      <xdr:grpSpPr>
        <a:xfrm>
          <a:off x="981075" y="54702075"/>
          <a:ext cx="95250" cy="647700"/>
          <a:chOff x="-1455" y="-2692"/>
          <a:chExt cx="2909" cy="20000"/>
        </a:xfrm>
        <a:solidFill>
          <a:srgbClr val="FFFFFF"/>
        </a:solidFill>
      </xdr:grpSpPr>
      <xdr:sp>
        <xdr:nvSpPr>
          <xdr:cNvPr id="138" name="Line 302"/>
          <xdr:cNvSpPr>
            <a:spLocks/>
          </xdr:cNvSpPr>
        </xdr:nvSpPr>
        <xdr:spPr>
          <a:xfrm>
            <a:off x="-1455"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9" name="Line 303"/>
          <xdr:cNvSpPr>
            <a:spLocks/>
          </xdr:cNvSpPr>
        </xdr:nvSpPr>
        <xdr:spPr>
          <a:xfrm>
            <a:off x="-1455" y="-2307"/>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0" name="Line 304"/>
          <xdr:cNvSpPr>
            <a:spLocks/>
          </xdr:cNvSpPr>
        </xdr:nvSpPr>
        <xdr:spPr>
          <a:xfrm>
            <a:off x="-1455" y="17308"/>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809625</xdr:colOff>
      <xdr:row>328</xdr:row>
      <xdr:rowOff>66675</xdr:rowOff>
    </xdr:from>
    <xdr:to>
      <xdr:col>3</xdr:col>
      <xdr:colOff>66675</xdr:colOff>
      <xdr:row>332</xdr:row>
      <xdr:rowOff>76200</xdr:rowOff>
    </xdr:to>
    <xdr:grpSp>
      <xdr:nvGrpSpPr>
        <xdr:cNvPr id="141" name="Group 305"/>
        <xdr:cNvGrpSpPr>
          <a:grpSpLocks/>
        </xdr:cNvGrpSpPr>
      </xdr:nvGrpSpPr>
      <xdr:grpSpPr>
        <a:xfrm>
          <a:off x="1838325" y="54692550"/>
          <a:ext cx="323850" cy="657225"/>
          <a:chOff x="-1622" y="-3077"/>
          <a:chExt cx="3244" cy="20385"/>
        </a:xfrm>
        <a:solidFill>
          <a:srgbClr val="FFFFFF"/>
        </a:solidFill>
      </xdr:grpSpPr>
      <xdr:sp>
        <xdr:nvSpPr>
          <xdr:cNvPr id="142" name="Line 306"/>
          <xdr:cNvSpPr>
            <a:spLocks/>
          </xdr:cNvSpPr>
        </xdr:nvSpPr>
        <xdr:spPr>
          <a:xfrm>
            <a:off x="1622"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3" name="Line 307"/>
          <xdr:cNvSpPr>
            <a:spLocks/>
          </xdr:cNvSpPr>
        </xdr:nvSpPr>
        <xdr:spPr>
          <a:xfrm flipH="1">
            <a:off x="-1622" y="-3077"/>
            <a:ext cx="29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4" name="Line 308"/>
          <xdr:cNvSpPr>
            <a:spLocks/>
          </xdr:cNvSpPr>
        </xdr:nvSpPr>
        <xdr:spPr>
          <a:xfrm flipH="1">
            <a:off x="-1622" y="17308"/>
            <a:ext cx="270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876300</xdr:colOff>
      <xdr:row>328</xdr:row>
      <xdr:rowOff>85725</xdr:rowOff>
    </xdr:from>
    <xdr:to>
      <xdr:col>8</xdr:col>
      <xdr:colOff>95250</xdr:colOff>
      <xdr:row>332</xdr:row>
      <xdr:rowOff>95250</xdr:rowOff>
    </xdr:to>
    <xdr:grpSp>
      <xdr:nvGrpSpPr>
        <xdr:cNvPr id="145" name="Group 309"/>
        <xdr:cNvGrpSpPr>
          <a:grpSpLocks/>
        </xdr:cNvGrpSpPr>
      </xdr:nvGrpSpPr>
      <xdr:grpSpPr>
        <a:xfrm>
          <a:off x="7038975" y="54711600"/>
          <a:ext cx="142875" cy="657225"/>
          <a:chOff x="-930" y="-2308"/>
          <a:chExt cx="3023" cy="20385"/>
        </a:xfrm>
        <a:solidFill>
          <a:srgbClr val="FFFFFF"/>
        </a:solidFill>
      </xdr:grpSpPr>
      <xdr:sp>
        <xdr:nvSpPr>
          <xdr:cNvPr id="146" name="Line 310"/>
          <xdr:cNvSpPr>
            <a:spLocks/>
          </xdr:cNvSpPr>
        </xdr:nvSpPr>
        <xdr:spPr>
          <a:xfrm>
            <a:off x="-93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7" name="Line 311"/>
          <xdr:cNvSpPr>
            <a:spLocks/>
          </xdr:cNvSpPr>
        </xdr:nvSpPr>
        <xdr:spPr>
          <a:xfrm>
            <a:off x="-930" y="-1921"/>
            <a:ext cx="279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8" name="Line 312"/>
          <xdr:cNvSpPr>
            <a:spLocks/>
          </xdr:cNvSpPr>
        </xdr:nvSpPr>
        <xdr:spPr>
          <a:xfrm>
            <a:off x="-930" y="18077"/>
            <a:ext cx="302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0</xdr:colOff>
      <xdr:row>328</xdr:row>
      <xdr:rowOff>85725</xdr:rowOff>
    </xdr:from>
    <xdr:to>
      <xdr:col>9</xdr:col>
      <xdr:colOff>66675</xdr:colOff>
      <xdr:row>332</xdr:row>
      <xdr:rowOff>95250</xdr:rowOff>
    </xdr:to>
    <xdr:grpSp>
      <xdr:nvGrpSpPr>
        <xdr:cNvPr id="149" name="Group 313"/>
        <xdr:cNvGrpSpPr>
          <a:grpSpLocks/>
        </xdr:cNvGrpSpPr>
      </xdr:nvGrpSpPr>
      <xdr:grpSpPr>
        <a:xfrm>
          <a:off x="8020050" y="54711600"/>
          <a:ext cx="66675" cy="657225"/>
          <a:chOff x="0" y="-2308"/>
          <a:chExt cx="1644" cy="20385"/>
        </a:xfrm>
        <a:solidFill>
          <a:srgbClr val="FFFFFF"/>
        </a:solidFill>
      </xdr:grpSpPr>
      <xdr:sp>
        <xdr:nvSpPr>
          <xdr:cNvPr id="150" name="Line 314"/>
          <xdr:cNvSpPr>
            <a:spLocks/>
          </xdr:cNvSpPr>
        </xdr:nvSpPr>
        <xdr:spPr>
          <a:xfrm>
            <a:off x="1644"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1" name="Line 315"/>
          <xdr:cNvSpPr>
            <a:spLocks/>
          </xdr:cNvSpPr>
        </xdr:nvSpPr>
        <xdr:spPr>
          <a:xfrm flipH="1">
            <a:off x="0" y="-2308"/>
            <a:ext cx="137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2" name="Line 316"/>
          <xdr:cNvSpPr>
            <a:spLocks/>
          </xdr:cNvSpPr>
        </xdr:nvSpPr>
        <xdr:spPr>
          <a:xfrm flipH="1">
            <a:off x="0" y="18077"/>
            <a:ext cx="137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752475</xdr:colOff>
      <xdr:row>328</xdr:row>
      <xdr:rowOff>76200</xdr:rowOff>
    </xdr:from>
    <xdr:to>
      <xdr:col>4</xdr:col>
      <xdr:colOff>57150</xdr:colOff>
      <xdr:row>332</xdr:row>
      <xdr:rowOff>76200</xdr:rowOff>
    </xdr:to>
    <xdr:grpSp>
      <xdr:nvGrpSpPr>
        <xdr:cNvPr id="153" name="Group 317"/>
        <xdr:cNvGrpSpPr>
          <a:grpSpLocks/>
        </xdr:cNvGrpSpPr>
      </xdr:nvGrpSpPr>
      <xdr:grpSpPr>
        <a:xfrm>
          <a:off x="2847975" y="54702075"/>
          <a:ext cx="114300" cy="647700"/>
          <a:chOff x="-2083" y="-2692"/>
          <a:chExt cx="4167" cy="20000"/>
        </a:xfrm>
        <a:solidFill>
          <a:srgbClr val="FFFFFF"/>
        </a:solidFill>
      </xdr:grpSpPr>
      <xdr:sp>
        <xdr:nvSpPr>
          <xdr:cNvPr id="154" name="Line 318"/>
          <xdr:cNvSpPr>
            <a:spLocks/>
          </xdr:cNvSpPr>
        </xdr:nvSpPr>
        <xdr:spPr>
          <a:xfrm>
            <a:off x="-2083"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5" name="Line 319"/>
          <xdr:cNvSpPr>
            <a:spLocks/>
          </xdr:cNvSpPr>
        </xdr:nvSpPr>
        <xdr:spPr>
          <a:xfrm>
            <a:off x="-2083" y="-2307"/>
            <a:ext cx="208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6" name="Line 320"/>
          <xdr:cNvSpPr>
            <a:spLocks/>
          </xdr:cNvSpPr>
        </xdr:nvSpPr>
        <xdr:spPr>
          <a:xfrm>
            <a:off x="-2083" y="17308"/>
            <a:ext cx="416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0</xdr:colOff>
      <xdr:row>328</xdr:row>
      <xdr:rowOff>95250</xdr:rowOff>
    </xdr:from>
    <xdr:to>
      <xdr:col>7</xdr:col>
      <xdr:colOff>47625</xdr:colOff>
      <xdr:row>332</xdr:row>
      <xdr:rowOff>114300</xdr:rowOff>
    </xdr:to>
    <xdr:grpSp>
      <xdr:nvGrpSpPr>
        <xdr:cNvPr id="157" name="Group 321"/>
        <xdr:cNvGrpSpPr>
          <a:grpSpLocks/>
        </xdr:cNvGrpSpPr>
      </xdr:nvGrpSpPr>
      <xdr:grpSpPr>
        <a:xfrm>
          <a:off x="6162675" y="54721125"/>
          <a:ext cx="47625" cy="666750"/>
          <a:chOff x="0" y="-1923"/>
          <a:chExt cx="1667" cy="20385"/>
        </a:xfrm>
        <a:solidFill>
          <a:srgbClr val="FFFFFF"/>
        </a:solidFill>
      </xdr:grpSpPr>
      <xdr:sp>
        <xdr:nvSpPr>
          <xdr:cNvPr id="158" name="Line 322"/>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9" name="Line 323"/>
          <xdr:cNvSpPr>
            <a:spLocks/>
          </xdr:cNvSpPr>
        </xdr:nvSpPr>
        <xdr:spPr>
          <a:xfrm flipH="1">
            <a:off x="0" y="-1923"/>
            <a:ext cx="1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0" name="Line 324"/>
          <xdr:cNvSpPr>
            <a:spLocks/>
          </xdr:cNvSpPr>
        </xdr:nvSpPr>
        <xdr:spPr>
          <a:xfrm flipH="1">
            <a:off x="0" y="18462"/>
            <a:ext cx="8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328</xdr:row>
      <xdr:rowOff>85725</xdr:rowOff>
    </xdr:from>
    <xdr:to>
      <xdr:col>10</xdr:col>
      <xdr:colOff>104775</xdr:colOff>
      <xdr:row>332</xdr:row>
      <xdr:rowOff>85725</xdr:rowOff>
    </xdr:to>
    <xdr:grpSp>
      <xdr:nvGrpSpPr>
        <xdr:cNvPr id="161" name="Group 325"/>
        <xdr:cNvGrpSpPr>
          <a:grpSpLocks/>
        </xdr:cNvGrpSpPr>
      </xdr:nvGrpSpPr>
      <xdr:grpSpPr>
        <a:xfrm>
          <a:off x="8858250" y="54711600"/>
          <a:ext cx="180975" cy="647700"/>
          <a:chOff x="-1628" y="-2308"/>
          <a:chExt cx="3954" cy="20000"/>
        </a:xfrm>
        <a:solidFill>
          <a:srgbClr val="FFFFFF"/>
        </a:solidFill>
      </xdr:grpSpPr>
      <xdr:sp>
        <xdr:nvSpPr>
          <xdr:cNvPr id="162" name="Line 326"/>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3" name="Line 327"/>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4" name="Line 328"/>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11</xdr:col>
      <xdr:colOff>9525</xdr:colOff>
      <xdr:row>328</xdr:row>
      <xdr:rowOff>95250</xdr:rowOff>
    </xdr:from>
    <xdr:to>
      <xdr:col>11</xdr:col>
      <xdr:colOff>266700</xdr:colOff>
      <xdr:row>332</xdr:row>
      <xdr:rowOff>114300</xdr:rowOff>
    </xdr:to>
    <xdr:grpSp>
      <xdr:nvGrpSpPr>
        <xdr:cNvPr id="165" name="Group 329"/>
        <xdr:cNvGrpSpPr>
          <a:grpSpLocks/>
        </xdr:cNvGrpSpPr>
      </xdr:nvGrpSpPr>
      <xdr:grpSpPr>
        <a:xfrm>
          <a:off x="10496550" y="54721125"/>
          <a:ext cx="247650" cy="666750"/>
          <a:chOff x="-14815" y="-1923"/>
          <a:chExt cx="17037" cy="20385"/>
        </a:xfrm>
        <a:solidFill>
          <a:srgbClr val="FFFFFF"/>
        </a:solidFill>
      </xdr:grpSpPr>
      <xdr:sp>
        <xdr:nvSpPr>
          <xdr:cNvPr id="166" name="Line 330"/>
          <xdr:cNvSpPr>
            <a:spLocks/>
          </xdr:cNvSpPr>
        </xdr:nvSpPr>
        <xdr:spPr>
          <a:xfrm>
            <a:off x="2222"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7" name="Line 331"/>
          <xdr:cNvSpPr>
            <a:spLocks/>
          </xdr:cNvSpPr>
        </xdr:nvSpPr>
        <xdr:spPr>
          <a:xfrm flipH="1">
            <a:off x="-14815" y="-1923"/>
            <a:ext cx="155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8" name="Line 332"/>
          <xdr:cNvSpPr>
            <a:spLocks/>
          </xdr:cNvSpPr>
        </xdr:nvSpPr>
        <xdr:spPr>
          <a:xfrm flipH="1">
            <a:off x="-14815" y="18462"/>
            <a:ext cx="140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819150</xdr:colOff>
      <xdr:row>338</xdr:row>
      <xdr:rowOff>76200</xdr:rowOff>
    </xdr:from>
    <xdr:to>
      <xdr:col>2</xdr:col>
      <xdr:colOff>47625</xdr:colOff>
      <xdr:row>342</xdr:row>
      <xdr:rowOff>76200</xdr:rowOff>
    </xdr:to>
    <xdr:grpSp>
      <xdr:nvGrpSpPr>
        <xdr:cNvPr id="169" name="Group 341"/>
        <xdr:cNvGrpSpPr>
          <a:grpSpLocks/>
        </xdr:cNvGrpSpPr>
      </xdr:nvGrpSpPr>
      <xdr:grpSpPr>
        <a:xfrm>
          <a:off x="981075" y="56321325"/>
          <a:ext cx="95250" cy="647700"/>
          <a:chOff x="-1455" y="-2692"/>
          <a:chExt cx="2909" cy="20000"/>
        </a:xfrm>
        <a:solidFill>
          <a:srgbClr val="FFFFFF"/>
        </a:solidFill>
      </xdr:grpSpPr>
      <xdr:sp>
        <xdr:nvSpPr>
          <xdr:cNvPr id="170" name="Line 342"/>
          <xdr:cNvSpPr>
            <a:spLocks/>
          </xdr:cNvSpPr>
        </xdr:nvSpPr>
        <xdr:spPr>
          <a:xfrm>
            <a:off x="-1455"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1" name="Line 343"/>
          <xdr:cNvSpPr>
            <a:spLocks/>
          </xdr:cNvSpPr>
        </xdr:nvSpPr>
        <xdr:spPr>
          <a:xfrm>
            <a:off x="-1455" y="-2307"/>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2" name="Line 344"/>
          <xdr:cNvSpPr>
            <a:spLocks/>
          </xdr:cNvSpPr>
        </xdr:nvSpPr>
        <xdr:spPr>
          <a:xfrm>
            <a:off x="-1455" y="17308"/>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809625</xdr:colOff>
      <xdr:row>338</xdr:row>
      <xdr:rowOff>66675</xdr:rowOff>
    </xdr:from>
    <xdr:to>
      <xdr:col>3</xdr:col>
      <xdr:colOff>66675</xdr:colOff>
      <xdr:row>342</xdr:row>
      <xdr:rowOff>76200</xdr:rowOff>
    </xdr:to>
    <xdr:grpSp>
      <xdr:nvGrpSpPr>
        <xdr:cNvPr id="173" name="Group 345"/>
        <xdr:cNvGrpSpPr>
          <a:grpSpLocks/>
        </xdr:cNvGrpSpPr>
      </xdr:nvGrpSpPr>
      <xdr:grpSpPr>
        <a:xfrm>
          <a:off x="1838325" y="56311800"/>
          <a:ext cx="323850" cy="657225"/>
          <a:chOff x="-1622" y="-3077"/>
          <a:chExt cx="3244" cy="20385"/>
        </a:xfrm>
        <a:solidFill>
          <a:srgbClr val="FFFFFF"/>
        </a:solidFill>
      </xdr:grpSpPr>
      <xdr:sp>
        <xdr:nvSpPr>
          <xdr:cNvPr id="174" name="Line 346"/>
          <xdr:cNvSpPr>
            <a:spLocks/>
          </xdr:cNvSpPr>
        </xdr:nvSpPr>
        <xdr:spPr>
          <a:xfrm>
            <a:off x="1622"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5" name="Line 347"/>
          <xdr:cNvSpPr>
            <a:spLocks/>
          </xdr:cNvSpPr>
        </xdr:nvSpPr>
        <xdr:spPr>
          <a:xfrm flipH="1">
            <a:off x="-1622" y="-3077"/>
            <a:ext cx="29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6" name="Line 348"/>
          <xdr:cNvSpPr>
            <a:spLocks/>
          </xdr:cNvSpPr>
        </xdr:nvSpPr>
        <xdr:spPr>
          <a:xfrm flipH="1">
            <a:off x="-1622" y="17308"/>
            <a:ext cx="270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866775</xdr:colOff>
      <xdr:row>338</xdr:row>
      <xdr:rowOff>95250</xdr:rowOff>
    </xdr:from>
    <xdr:to>
      <xdr:col>8</xdr:col>
      <xdr:colOff>76200</xdr:colOff>
      <xdr:row>342</xdr:row>
      <xdr:rowOff>85725</xdr:rowOff>
    </xdr:to>
    <xdr:grpSp>
      <xdr:nvGrpSpPr>
        <xdr:cNvPr id="177" name="Group 349"/>
        <xdr:cNvGrpSpPr>
          <a:grpSpLocks/>
        </xdr:cNvGrpSpPr>
      </xdr:nvGrpSpPr>
      <xdr:grpSpPr>
        <a:xfrm>
          <a:off x="7029450" y="56340375"/>
          <a:ext cx="133350" cy="638175"/>
          <a:chOff x="-1205" y="-1923"/>
          <a:chExt cx="2892" cy="19615"/>
        </a:xfrm>
        <a:solidFill>
          <a:srgbClr val="FFFFFF"/>
        </a:solidFill>
      </xdr:grpSpPr>
      <xdr:sp>
        <xdr:nvSpPr>
          <xdr:cNvPr id="178" name="Line 350"/>
          <xdr:cNvSpPr>
            <a:spLocks/>
          </xdr:cNvSpPr>
        </xdr:nvSpPr>
        <xdr:spPr>
          <a:xfrm>
            <a:off x="-1205" y="-1923"/>
            <a:ext cx="0" cy="1961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9" name="Line 351"/>
          <xdr:cNvSpPr>
            <a:spLocks/>
          </xdr:cNvSpPr>
        </xdr:nvSpPr>
        <xdr:spPr>
          <a:xfrm>
            <a:off x="-1205" y="-1536"/>
            <a:ext cx="265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0" name="Line 352"/>
          <xdr:cNvSpPr>
            <a:spLocks/>
          </xdr:cNvSpPr>
        </xdr:nvSpPr>
        <xdr:spPr>
          <a:xfrm>
            <a:off x="-1205" y="17692"/>
            <a:ext cx="289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152400</xdr:colOff>
      <xdr:row>338</xdr:row>
      <xdr:rowOff>76200</xdr:rowOff>
    </xdr:from>
    <xdr:to>
      <xdr:col>9</xdr:col>
      <xdr:colOff>295275</xdr:colOff>
      <xdr:row>342</xdr:row>
      <xdr:rowOff>85725</xdr:rowOff>
    </xdr:to>
    <xdr:grpSp>
      <xdr:nvGrpSpPr>
        <xdr:cNvPr id="181" name="Group 353"/>
        <xdr:cNvGrpSpPr>
          <a:grpSpLocks/>
        </xdr:cNvGrpSpPr>
      </xdr:nvGrpSpPr>
      <xdr:grpSpPr>
        <a:xfrm>
          <a:off x="8172450" y="56321325"/>
          <a:ext cx="142875" cy="657225"/>
          <a:chOff x="-71" y="-2692"/>
          <a:chExt cx="14" cy="20384"/>
        </a:xfrm>
        <a:solidFill>
          <a:srgbClr val="FFFFFF"/>
        </a:solidFill>
      </xdr:grpSpPr>
      <xdr:sp>
        <xdr:nvSpPr>
          <xdr:cNvPr id="182" name="Line 354"/>
          <xdr:cNvSpPr>
            <a:spLocks/>
          </xdr:cNvSpPr>
        </xdr:nvSpPr>
        <xdr:spPr>
          <a:xfrm>
            <a:off x="-57"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3" name="Line 355"/>
          <xdr:cNvSpPr>
            <a:spLocks/>
          </xdr:cNvSpPr>
        </xdr:nvSpPr>
        <xdr:spPr>
          <a:xfrm flipH="1">
            <a:off x="-71" y="-2692"/>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4" name="Line 356"/>
          <xdr:cNvSpPr>
            <a:spLocks/>
          </xdr:cNvSpPr>
        </xdr:nvSpPr>
        <xdr:spPr>
          <a:xfrm flipH="1">
            <a:off x="-71" y="17692"/>
            <a:ext cx="1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0</xdr:colOff>
      <xdr:row>338</xdr:row>
      <xdr:rowOff>95250</xdr:rowOff>
    </xdr:from>
    <xdr:to>
      <xdr:col>7</xdr:col>
      <xdr:colOff>47625</xdr:colOff>
      <xdr:row>342</xdr:row>
      <xdr:rowOff>114300</xdr:rowOff>
    </xdr:to>
    <xdr:grpSp>
      <xdr:nvGrpSpPr>
        <xdr:cNvPr id="185" name="Group 361"/>
        <xdr:cNvGrpSpPr>
          <a:grpSpLocks/>
        </xdr:cNvGrpSpPr>
      </xdr:nvGrpSpPr>
      <xdr:grpSpPr>
        <a:xfrm>
          <a:off x="6162675" y="56340375"/>
          <a:ext cx="47625" cy="666750"/>
          <a:chOff x="0" y="-1923"/>
          <a:chExt cx="1667" cy="20385"/>
        </a:xfrm>
        <a:solidFill>
          <a:srgbClr val="FFFFFF"/>
        </a:solidFill>
      </xdr:grpSpPr>
      <xdr:sp>
        <xdr:nvSpPr>
          <xdr:cNvPr id="186" name="Line 362"/>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7" name="Line 363"/>
          <xdr:cNvSpPr>
            <a:spLocks/>
          </xdr:cNvSpPr>
        </xdr:nvSpPr>
        <xdr:spPr>
          <a:xfrm flipH="1">
            <a:off x="0" y="-1923"/>
            <a:ext cx="1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8" name="Line 364"/>
          <xdr:cNvSpPr>
            <a:spLocks/>
          </xdr:cNvSpPr>
        </xdr:nvSpPr>
        <xdr:spPr>
          <a:xfrm flipH="1">
            <a:off x="0" y="18462"/>
            <a:ext cx="8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338</xdr:row>
      <xdr:rowOff>85725</xdr:rowOff>
    </xdr:from>
    <xdr:to>
      <xdr:col>10</xdr:col>
      <xdr:colOff>104775</xdr:colOff>
      <xdr:row>342</xdr:row>
      <xdr:rowOff>85725</xdr:rowOff>
    </xdr:to>
    <xdr:grpSp>
      <xdr:nvGrpSpPr>
        <xdr:cNvPr id="189" name="Group 365"/>
        <xdr:cNvGrpSpPr>
          <a:grpSpLocks/>
        </xdr:cNvGrpSpPr>
      </xdr:nvGrpSpPr>
      <xdr:grpSpPr>
        <a:xfrm>
          <a:off x="8858250" y="56330850"/>
          <a:ext cx="180975" cy="647700"/>
          <a:chOff x="-1628" y="-2308"/>
          <a:chExt cx="3954" cy="20000"/>
        </a:xfrm>
        <a:solidFill>
          <a:srgbClr val="FFFFFF"/>
        </a:solidFill>
      </xdr:grpSpPr>
      <xdr:sp>
        <xdr:nvSpPr>
          <xdr:cNvPr id="190" name="Line 366"/>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1" name="Line 367"/>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2" name="Line 368"/>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11</xdr:col>
      <xdr:colOff>9525</xdr:colOff>
      <xdr:row>338</xdr:row>
      <xdr:rowOff>95250</xdr:rowOff>
    </xdr:from>
    <xdr:to>
      <xdr:col>11</xdr:col>
      <xdr:colOff>266700</xdr:colOff>
      <xdr:row>342</xdr:row>
      <xdr:rowOff>114300</xdr:rowOff>
    </xdr:to>
    <xdr:grpSp>
      <xdr:nvGrpSpPr>
        <xdr:cNvPr id="193" name="Group 369"/>
        <xdr:cNvGrpSpPr>
          <a:grpSpLocks/>
        </xdr:cNvGrpSpPr>
      </xdr:nvGrpSpPr>
      <xdr:grpSpPr>
        <a:xfrm>
          <a:off x="10496550" y="56340375"/>
          <a:ext cx="247650" cy="666750"/>
          <a:chOff x="-14815" y="-1923"/>
          <a:chExt cx="17037" cy="20385"/>
        </a:xfrm>
        <a:solidFill>
          <a:srgbClr val="FFFFFF"/>
        </a:solidFill>
      </xdr:grpSpPr>
      <xdr:sp>
        <xdr:nvSpPr>
          <xdr:cNvPr id="194" name="Line 370"/>
          <xdr:cNvSpPr>
            <a:spLocks/>
          </xdr:cNvSpPr>
        </xdr:nvSpPr>
        <xdr:spPr>
          <a:xfrm>
            <a:off x="2222"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5" name="Line 371"/>
          <xdr:cNvSpPr>
            <a:spLocks/>
          </xdr:cNvSpPr>
        </xdr:nvSpPr>
        <xdr:spPr>
          <a:xfrm flipH="1">
            <a:off x="-14815" y="-1923"/>
            <a:ext cx="155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6" name="Line 372"/>
          <xdr:cNvSpPr>
            <a:spLocks/>
          </xdr:cNvSpPr>
        </xdr:nvSpPr>
        <xdr:spPr>
          <a:xfrm flipH="1">
            <a:off x="-14815" y="18462"/>
            <a:ext cx="140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338</xdr:row>
      <xdr:rowOff>85725</xdr:rowOff>
    </xdr:from>
    <xdr:to>
      <xdr:col>10</xdr:col>
      <xdr:colOff>104775</xdr:colOff>
      <xdr:row>342</xdr:row>
      <xdr:rowOff>85725</xdr:rowOff>
    </xdr:to>
    <xdr:grpSp>
      <xdr:nvGrpSpPr>
        <xdr:cNvPr id="197" name="Group 385"/>
        <xdr:cNvGrpSpPr>
          <a:grpSpLocks/>
        </xdr:cNvGrpSpPr>
      </xdr:nvGrpSpPr>
      <xdr:grpSpPr>
        <a:xfrm>
          <a:off x="8858250" y="56330850"/>
          <a:ext cx="180975" cy="647700"/>
          <a:chOff x="-1628" y="-2308"/>
          <a:chExt cx="3954" cy="20000"/>
        </a:xfrm>
        <a:solidFill>
          <a:srgbClr val="FFFFFF"/>
        </a:solidFill>
      </xdr:grpSpPr>
      <xdr:sp>
        <xdr:nvSpPr>
          <xdr:cNvPr id="198" name="Line 386"/>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9" name="Line 387"/>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0" name="Line 388"/>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723900</xdr:colOff>
      <xdr:row>338</xdr:row>
      <xdr:rowOff>85725</xdr:rowOff>
    </xdr:from>
    <xdr:to>
      <xdr:col>4</xdr:col>
      <xdr:colOff>28575</xdr:colOff>
      <xdr:row>342</xdr:row>
      <xdr:rowOff>85725</xdr:rowOff>
    </xdr:to>
    <xdr:grpSp>
      <xdr:nvGrpSpPr>
        <xdr:cNvPr id="201" name="Group 389"/>
        <xdr:cNvGrpSpPr>
          <a:grpSpLocks/>
        </xdr:cNvGrpSpPr>
      </xdr:nvGrpSpPr>
      <xdr:grpSpPr>
        <a:xfrm>
          <a:off x="2819400" y="56330850"/>
          <a:ext cx="114300" cy="647700"/>
          <a:chOff x="-5517" y="-2308"/>
          <a:chExt cx="7586" cy="20000"/>
        </a:xfrm>
        <a:solidFill>
          <a:srgbClr val="FFFFFF"/>
        </a:solidFill>
      </xdr:grpSpPr>
      <xdr:sp>
        <xdr:nvSpPr>
          <xdr:cNvPr id="202" name="Line 390"/>
          <xdr:cNvSpPr>
            <a:spLocks/>
          </xdr:cNvSpPr>
        </xdr:nvSpPr>
        <xdr:spPr>
          <a:xfrm>
            <a:off x="-5517"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3" name="Line 391"/>
          <xdr:cNvSpPr>
            <a:spLocks/>
          </xdr:cNvSpPr>
        </xdr:nvSpPr>
        <xdr:spPr>
          <a:xfrm>
            <a:off x="-5517" y="-1923"/>
            <a:ext cx="413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4" name="Line 392"/>
          <xdr:cNvSpPr>
            <a:spLocks/>
          </xdr:cNvSpPr>
        </xdr:nvSpPr>
        <xdr:spPr>
          <a:xfrm>
            <a:off x="-5517" y="17692"/>
            <a:ext cx="758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790575</xdr:colOff>
      <xdr:row>338</xdr:row>
      <xdr:rowOff>95250</xdr:rowOff>
    </xdr:from>
    <xdr:to>
      <xdr:col>7</xdr:col>
      <xdr:colOff>47625</xdr:colOff>
      <xdr:row>342</xdr:row>
      <xdr:rowOff>114300</xdr:rowOff>
    </xdr:to>
    <xdr:grpSp>
      <xdr:nvGrpSpPr>
        <xdr:cNvPr id="205" name="Group 393"/>
        <xdr:cNvGrpSpPr>
          <a:grpSpLocks/>
        </xdr:cNvGrpSpPr>
      </xdr:nvGrpSpPr>
      <xdr:grpSpPr>
        <a:xfrm>
          <a:off x="6086475" y="56340375"/>
          <a:ext cx="123825" cy="666750"/>
          <a:chOff x="-2917" y="-1923"/>
          <a:chExt cx="4584" cy="20385"/>
        </a:xfrm>
        <a:solidFill>
          <a:srgbClr val="FFFFFF"/>
        </a:solidFill>
      </xdr:grpSpPr>
      <xdr:sp>
        <xdr:nvSpPr>
          <xdr:cNvPr id="206" name="Line 394"/>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7" name="Line 395"/>
          <xdr:cNvSpPr>
            <a:spLocks/>
          </xdr:cNvSpPr>
        </xdr:nvSpPr>
        <xdr:spPr>
          <a:xfrm flipH="1">
            <a:off x="-2917" y="-1923"/>
            <a:ext cx="33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8" name="Line 396"/>
          <xdr:cNvSpPr>
            <a:spLocks/>
          </xdr:cNvSpPr>
        </xdr:nvSpPr>
        <xdr:spPr>
          <a:xfrm flipH="1">
            <a:off x="-2917" y="18462"/>
            <a:ext cx="250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742950</xdr:colOff>
      <xdr:row>318</xdr:row>
      <xdr:rowOff>66675</xdr:rowOff>
    </xdr:from>
    <xdr:to>
      <xdr:col>4</xdr:col>
      <xdr:colOff>19050</xdr:colOff>
      <xdr:row>322</xdr:row>
      <xdr:rowOff>66675</xdr:rowOff>
    </xdr:to>
    <xdr:grpSp>
      <xdr:nvGrpSpPr>
        <xdr:cNvPr id="209" name="Group 441"/>
        <xdr:cNvGrpSpPr>
          <a:grpSpLocks/>
        </xdr:cNvGrpSpPr>
      </xdr:nvGrpSpPr>
      <xdr:grpSpPr>
        <a:xfrm>
          <a:off x="2838450" y="53073300"/>
          <a:ext cx="85725" cy="647700"/>
          <a:chOff x="-6316" y="-3077"/>
          <a:chExt cx="8421" cy="20000"/>
        </a:xfrm>
        <a:solidFill>
          <a:srgbClr val="FFFFFF"/>
        </a:solidFill>
      </xdr:grpSpPr>
      <xdr:sp>
        <xdr:nvSpPr>
          <xdr:cNvPr id="210" name="Line 442"/>
          <xdr:cNvSpPr>
            <a:spLocks/>
          </xdr:cNvSpPr>
        </xdr:nvSpPr>
        <xdr:spPr>
          <a:xfrm>
            <a:off x="-6316"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1" name="Line 443"/>
          <xdr:cNvSpPr>
            <a:spLocks/>
          </xdr:cNvSpPr>
        </xdr:nvSpPr>
        <xdr:spPr>
          <a:xfrm>
            <a:off x="-6316" y="-2692"/>
            <a:ext cx="736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2" name="Line 444"/>
          <xdr:cNvSpPr>
            <a:spLocks/>
          </xdr:cNvSpPr>
        </xdr:nvSpPr>
        <xdr:spPr>
          <a:xfrm>
            <a:off x="-6316" y="16923"/>
            <a:ext cx="842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885825</xdr:colOff>
      <xdr:row>318</xdr:row>
      <xdr:rowOff>76200</xdr:rowOff>
    </xdr:from>
    <xdr:to>
      <xdr:col>9</xdr:col>
      <xdr:colOff>47625</xdr:colOff>
      <xdr:row>322</xdr:row>
      <xdr:rowOff>85725</xdr:rowOff>
    </xdr:to>
    <xdr:grpSp>
      <xdr:nvGrpSpPr>
        <xdr:cNvPr id="213" name="Group 445"/>
        <xdr:cNvGrpSpPr>
          <a:grpSpLocks/>
        </xdr:cNvGrpSpPr>
      </xdr:nvGrpSpPr>
      <xdr:grpSpPr>
        <a:xfrm>
          <a:off x="7972425" y="53082825"/>
          <a:ext cx="95250" cy="657225"/>
          <a:chOff x="-1633" y="-2692"/>
          <a:chExt cx="3266" cy="20384"/>
        </a:xfrm>
        <a:solidFill>
          <a:srgbClr val="FFFFFF"/>
        </a:solidFill>
      </xdr:grpSpPr>
      <xdr:sp>
        <xdr:nvSpPr>
          <xdr:cNvPr id="214" name="Line 446"/>
          <xdr:cNvSpPr>
            <a:spLocks/>
          </xdr:cNvSpPr>
        </xdr:nvSpPr>
        <xdr:spPr>
          <a:xfrm>
            <a:off x="1633"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5" name="Line 447"/>
          <xdr:cNvSpPr>
            <a:spLocks/>
          </xdr:cNvSpPr>
        </xdr:nvSpPr>
        <xdr:spPr>
          <a:xfrm flipH="1">
            <a:off x="-1633" y="-2692"/>
            <a:ext cx="285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6" name="Line 448"/>
          <xdr:cNvSpPr>
            <a:spLocks/>
          </xdr:cNvSpPr>
        </xdr:nvSpPr>
        <xdr:spPr>
          <a:xfrm flipH="1">
            <a:off x="-1633" y="17692"/>
            <a:ext cx="244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895350</xdr:colOff>
      <xdr:row>318</xdr:row>
      <xdr:rowOff>76200</xdr:rowOff>
    </xdr:from>
    <xdr:to>
      <xdr:col>8</xdr:col>
      <xdr:colOff>123825</xdr:colOff>
      <xdr:row>322</xdr:row>
      <xdr:rowOff>76200</xdr:rowOff>
    </xdr:to>
    <xdr:grpSp>
      <xdr:nvGrpSpPr>
        <xdr:cNvPr id="217" name="Group 449"/>
        <xdr:cNvGrpSpPr>
          <a:grpSpLocks/>
        </xdr:cNvGrpSpPr>
      </xdr:nvGrpSpPr>
      <xdr:grpSpPr>
        <a:xfrm>
          <a:off x="7058025" y="53082825"/>
          <a:ext cx="152400" cy="647700"/>
          <a:chOff x="-698" y="-2692"/>
          <a:chExt cx="3256" cy="20000"/>
        </a:xfrm>
        <a:solidFill>
          <a:srgbClr val="FFFFFF"/>
        </a:solidFill>
      </xdr:grpSpPr>
      <xdr:sp>
        <xdr:nvSpPr>
          <xdr:cNvPr id="218" name="Line 450"/>
          <xdr:cNvSpPr>
            <a:spLocks/>
          </xdr:cNvSpPr>
        </xdr:nvSpPr>
        <xdr:spPr>
          <a:xfrm>
            <a:off x="-698"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9" name="Line 451"/>
          <xdr:cNvSpPr>
            <a:spLocks/>
          </xdr:cNvSpPr>
        </xdr:nvSpPr>
        <xdr:spPr>
          <a:xfrm>
            <a:off x="-698" y="-2307"/>
            <a:ext cx="255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0" name="Line 452"/>
          <xdr:cNvSpPr>
            <a:spLocks/>
          </xdr:cNvSpPr>
        </xdr:nvSpPr>
        <xdr:spPr>
          <a:xfrm>
            <a:off x="-698" y="17308"/>
            <a:ext cx="325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0</xdr:colOff>
      <xdr:row>318</xdr:row>
      <xdr:rowOff>95250</xdr:rowOff>
    </xdr:from>
    <xdr:to>
      <xdr:col>7</xdr:col>
      <xdr:colOff>47625</xdr:colOff>
      <xdr:row>322</xdr:row>
      <xdr:rowOff>114300</xdr:rowOff>
    </xdr:to>
    <xdr:grpSp>
      <xdr:nvGrpSpPr>
        <xdr:cNvPr id="221" name="Group 453"/>
        <xdr:cNvGrpSpPr>
          <a:grpSpLocks/>
        </xdr:cNvGrpSpPr>
      </xdr:nvGrpSpPr>
      <xdr:grpSpPr>
        <a:xfrm>
          <a:off x="6162675" y="53101875"/>
          <a:ext cx="47625" cy="666750"/>
          <a:chOff x="0" y="-1923"/>
          <a:chExt cx="1667" cy="20385"/>
        </a:xfrm>
        <a:solidFill>
          <a:srgbClr val="FFFFFF"/>
        </a:solidFill>
      </xdr:grpSpPr>
      <xdr:sp>
        <xdr:nvSpPr>
          <xdr:cNvPr id="222" name="Line 454"/>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3" name="Line 455"/>
          <xdr:cNvSpPr>
            <a:spLocks/>
          </xdr:cNvSpPr>
        </xdr:nvSpPr>
        <xdr:spPr>
          <a:xfrm flipH="1">
            <a:off x="0" y="-1923"/>
            <a:ext cx="1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4" name="Line 456"/>
          <xdr:cNvSpPr>
            <a:spLocks/>
          </xdr:cNvSpPr>
        </xdr:nvSpPr>
        <xdr:spPr>
          <a:xfrm flipH="1">
            <a:off x="0" y="18462"/>
            <a:ext cx="8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819150</xdr:colOff>
      <xdr:row>352</xdr:row>
      <xdr:rowOff>76200</xdr:rowOff>
    </xdr:from>
    <xdr:to>
      <xdr:col>2</xdr:col>
      <xdr:colOff>47625</xdr:colOff>
      <xdr:row>356</xdr:row>
      <xdr:rowOff>76200</xdr:rowOff>
    </xdr:to>
    <xdr:grpSp>
      <xdr:nvGrpSpPr>
        <xdr:cNvPr id="225" name="Group 461"/>
        <xdr:cNvGrpSpPr>
          <a:grpSpLocks/>
        </xdr:cNvGrpSpPr>
      </xdr:nvGrpSpPr>
      <xdr:grpSpPr>
        <a:xfrm>
          <a:off x="981075" y="58607325"/>
          <a:ext cx="95250" cy="647700"/>
          <a:chOff x="-1455" y="-2692"/>
          <a:chExt cx="2909" cy="20000"/>
        </a:xfrm>
        <a:solidFill>
          <a:srgbClr val="FFFFFF"/>
        </a:solidFill>
      </xdr:grpSpPr>
      <xdr:sp>
        <xdr:nvSpPr>
          <xdr:cNvPr id="226" name="Line 462"/>
          <xdr:cNvSpPr>
            <a:spLocks/>
          </xdr:cNvSpPr>
        </xdr:nvSpPr>
        <xdr:spPr>
          <a:xfrm>
            <a:off x="-1455"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7" name="Line 463"/>
          <xdr:cNvSpPr>
            <a:spLocks/>
          </xdr:cNvSpPr>
        </xdr:nvSpPr>
        <xdr:spPr>
          <a:xfrm>
            <a:off x="-1455" y="-2307"/>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8" name="Line 464"/>
          <xdr:cNvSpPr>
            <a:spLocks/>
          </xdr:cNvSpPr>
        </xdr:nvSpPr>
        <xdr:spPr>
          <a:xfrm>
            <a:off x="-1455" y="17308"/>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809625</xdr:colOff>
      <xdr:row>352</xdr:row>
      <xdr:rowOff>66675</xdr:rowOff>
    </xdr:from>
    <xdr:to>
      <xdr:col>3</xdr:col>
      <xdr:colOff>66675</xdr:colOff>
      <xdr:row>356</xdr:row>
      <xdr:rowOff>76200</xdr:rowOff>
    </xdr:to>
    <xdr:grpSp>
      <xdr:nvGrpSpPr>
        <xdr:cNvPr id="229" name="Group 465"/>
        <xdr:cNvGrpSpPr>
          <a:grpSpLocks/>
        </xdr:cNvGrpSpPr>
      </xdr:nvGrpSpPr>
      <xdr:grpSpPr>
        <a:xfrm>
          <a:off x="1838325" y="58597800"/>
          <a:ext cx="323850" cy="657225"/>
          <a:chOff x="-1622" y="-3077"/>
          <a:chExt cx="3244" cy="20385"/>
        </a:xfrm>
        <a:solidFill>
          <a:srgbClr val="FFFFFF"/>
        </a:solidFill>
      </xdr:grpSpPr>
      <xdr:sp>
        <xdr:nvSpPr>
          <xdr:cNvPr id="230" name="Line 466"/>
          <xdr:cNvSpPr>
            <a:spLocks/>
          </xdr:cNvSpPr>
        </xdr:nvSpPr>
        <xdr:spPr>
          <a:xfrm>
            <a:off x="1622"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1" name="Line 467"/>
          <xdr:cNvSpPr>
            <a:spLocks/>
          </xdr:cNvSpPr>
        </xdr:nvSpPr>
        <xdr:spPr>
          <a:xfrm flipH="1">
            <a:off x="-1622" y="-3077"/>
            <a:ext cx="29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2" name="Line 468"/>
          <xdr:cNvSpPr>
            <a:spLocks/>
          </xdr:cNvSpPr>
        </xdr:nvSpPr>
        <xdr:spPr>
          <a:xfrm flipH="1">
            <a:off x="-1622" y="17308"/>
            <a:ext cx="270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866775</xdr:colOff>
      <xdr:row>352</xdr:row>
      <xdr:rowOff>95250</xdr:rowOff>
    </xdr:from>
    <xdr:to>
      <xdr:col>8</xdr:col>
      <xdr:colOff>76200</xdr:colOff>
      <xdr:row>356</xdr:row>
      <xdr:rowOff>85725</xdr:rowOff>
    </xdr:to>
    <xdr:grpSp>
      <xdr:nvGrpSpPr>
        <xdr:cNvPr id="233" name="Group 469"/>
        <xdr:cNvGrpSpPr>
          <a:grpSpLocks/>
        </xdr:cNvGrpSpPr>
      </xdr:nvGrpSpPr>
      <xdr:grpSpPr>
        <a:xfrm>
          <a:off x="7029450" y="58626375"/>
          <a:ext cx="133350" cy="638175"/>
          <a:chOff x="-1205" y="-1923"/>
          <a:chExt cx="2892" cy="19615"/>
        </a:xfrm>
        <a:solidFill>
          <a:srgbClr val="FFFFFF"/>
        </a:solidFill>
      </xdr:grpSpPr>
      <xdr:sp>
        <xdr:nvSpPr>
          <xdr:cNvPr id="234" name="Line 470"/>
          <xdr:cNvSpPr>
            <a:spLocks/>
          </xdr:cNvSpPr>
        </xdr:nvSpPr>
        <xdr:spPr>
          <a:xfrm>
            <a:off x="-1205" y="-1923"/>
            <a:ext cx="0" cy="1961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5" name="Line 471"/>
          <xdr:cNvSpPr>
            <a:spLocks/>
          </xdr:cNvSpPr>
        </xdr:nvSpPr>
        <xdr:spPr>
          <a:xfrm>
            <a:off x="-1205" y="-1536"/>
            <a:ext cx="265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6" name="Line 472"/>
          <xdr:cNvSpPr>
            <a:spLocks/>
          </xdr:cNvSpPr>
        </xdr:nvSpPr>
        <xdr:spPr>
          <a:xfrm>
            <a:off x="-1205" y="17692"/>
            <a:ext cx="289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152400</xdr:colOff>
      <xdr:row>352</xdr:row>
      <xdr:rowOff>76200</xdr:rowOff>
    </xdr:from>
    <xdr:to>
      <xdr:col>9</xdr:col>
      <xdr:colOff>295275</xdr:colOff>
      <xdr:row>356</xdr:row>
      <xdr:rowOff>85725</xdr:rowOff>
    </xdr:to>
    <xdr:grpSp>
      <xdr:nvGrpSpPr>
        <xdr:cNvPr id="237" name="Group 473"/>
        <xdr:cNvGrpSpPr>
          <a:grpSpLocks/>
        </xdr:cNvGrpSpPr>
      </xdr:nvGrpSpPr>
      <xdr:grpSpPr>
        <a:xfrm>
          <a:off x="8172450" y="58607325"/>
          <a:ext cx="142875" cy="657225"/>
          <a:chOff x="-71" y="-2692"/>
          <a:chExt cx="14" cy="20384"/>
        </a:xfrm>
        <a:solidFill>
          <a:srgbClr val="FFFFFF"/>
        </a:solidFill>
      </xdr:grpSpPr>
      <xdr:sp>
        <xdr:nvSpPr>
          <xdr:cNvPr id="238" name="Line 474"/>
          <xdr:cNvSpPr>
            <a:spLocks/>
          </xdr:cNvSpPr>
        </xdr:nvSpPr>
        <xdr:spPr>
          <a:xfrm>
            <a:off x="-57"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9" name="Line 475"/>
          <xdr:cNvSpPr>
            <a:spLocks/>
          </xdr:cNvSpPr>
        </xdr:nvSpPr>
        <xdr:spPr>
          <a:xfrm flipH="1">
            <a:off x="-71" y="-2692"/>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0" name="Line 476"/>
          <xdr:cNvSpPr>
            <a:spLocks/>
          </xdr:cNvSpPr>
        </xdr:nvSpPr>
        <xdr:spPr>
          <a:xfrm flipH="1">
            <a:off x="-71" y="17692"/>
            <a:ext cx="1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0</xdr:colOff>
      <xdr:row>352</xdr:row>
      <xdr:rowOff>95250</xdr:rowOff>
    </xdr:from>
    <xdr:to>
      <xdr:col>7</xdr:col>
      <xdr:colOff>47625</xdr:colOff>
      <xdr:row>356</xdr:row>
      <xdr:rowOff>114300</xdr:rowOff>
    </xdr:to>
    <xdr:grpSp>
      <xdr:nvGrpSpPr>
        <xdr:cNvPr id="241" name="Group 477"/>
        <xdr:cNvGrpSpPr>
          <a:grpSpLocks/>
        </xdr:cNvGrpSpPr>
      </xdr:nvGrpSpPr>
      <xdr:grpSpPr>
        <a:xfrm>
          <a:off x="6162675" y="58626375"/>
          <a:ext cx="47625" cy="666750"/>
          <a:chOff x="0" y="-1923"/>
          <a:chExt cx="1667" cy="20385"/>
        </a:xfrm>
        <a:solidFill>
          <a:srgbClr val="FFFFFF"/>
        </a:solidFill>
      </xdr:grpSpPr>
      <xdr:sp>
        <xdr:nvSpPr>
          <xdr:cNvPr id="242" name="Line 478"/>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3" name="Line 479"/>
          <xdr:cNvSpPr>
            <a:spLocks/>
          </xdr:cNvSpPr>
        </xdr:nvSpPr>
        <xdr:spPr>
          <a:xfrm flipH="1">
            <a:off x="0" y="-1923"/>
            <a:ext cx="1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4" name="Line 480"/>
          <xdr:cNvSpPr>
            <a:spLocks/>
          </xdr:cNvSpPr>
        </xdr:nvSpPr>
        <xdr:spPr>
          <a:xfrm flipH="1">
            <a:off x="0" y="18462"/>
            <a:ext cx="8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352</xdr:row>
      <xdr:rowOff>85725</xdr:rowOff>
    </xdr:from>
    <xdr:to>
      <xdr:col>10</xdr:col>
      <xdr:colOff>104775</xdr:colOff>
      <xdr:row>356</xdr:row>
      <xdr:rowOff>85725</xdr:rowOff>
    </xdr:to>
    <xdr:grpSp>
      <xdr:nvGrpSpPr>
        <xdr:cNvPr id="245" name="Group 481"/>
        <xdr:cNvGrpSpPr>
          <a:grpSpLocks/>
        </xdr:cNvGrpSpPr>
      </xdr:nvGrpSpPr>
      <xdr:grpSpPr>
        <a:xfrm>
          <a:off x="8858250" y="58616850"/>
          <a:ext cx="180975" cy="647700"/>
          <a:chOff x="-1628" y="-2308"/>
          <a:chExt cx="3954" cy="20000"/>
        </a:xfrm>
        <a:solidFill>
          <a:srgbClr val="FFFFFF"/>
        </a:solidFill>
      </xdr:grpSpPr>
      <xdr:sp>
        <xdr:nvSpPr>
          <xdr:cNvPr id="246" name="Line 482"/>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7" name="Line 483"/>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8" name="Line 484"/>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11</xdr:col>
      <xdr:colOff>9525</xdr:colOff>
      <xdr:row>352</xdr:row>
      <xdr:rowOff>95250</xdr:rowOff>
    </xdr:from>
    <xdr:to>
      <xdr:col>11</xdr:col>
      <xdr:colOff>266700</xdr:colOff>
      <xdr:row>356</xdr:row>
      <xdr:rowOff>114300</xdr:rowOff>
    </xdr:to>
    <xdr:grpSp>
      <xdr:nvGrpSpPr>
        <xdr:cNvPr id="249" name="Group 485"/>
        <xdr:cNvGrpSpPr>
          <a:grpSpLocks/>
        </xdr:cNvGrpSpPr>
      </xdr:nvGrpSpPr>
      <xdr:grpSpPr>
        <a:xfrm>
          <a:off x="10496550" y="58626375"/>
          <a:ext cx="247650" cy="666750"/>
          <a:chOff x="-14815" y="-1923"/>
          <a:chExt cx="17037" cy="20385"/>
        </a:xfrm>
        <a:solidFill>
          <a:srgbClr val="FFFFFF"/>
        </a:solidFill>
      </xdr:grpSpPr>
      <xdr:sp>
        <xdr:nvSpPr>
          <xdr:cNvPr id="250" name="Line 486"/>
          <xdr:cNvSpPr>
            <a:spLocks/>
          </xdr:cNvSpPr>
        </xdr:nvSpPr>
        <xdr:spPr>
          <a:xfrm>
            <a:off x="2222"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1" name="Line 487"/>
          <xdr:cNvSpPr>
            <a:spLocks/>
          </xdr:cNvSpPr>
        </xdr:nvSpPr>
        <xdr:spPr>
          <a:xfrm flipH="1">
            <a:off x="-14815" y="-1923"/>
            <a:ext cx="155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2" name="Line 488"/>
          <xdr:cNvSpPr>
            <a:spLocks/>
          </xdr:cNvSpPr>
        </xdr:nvSpPr>
        <xdr:spPr>
          <a:xfrm flipH="1">
            <a:off x="-14815" y="18462"/>
            <a:ext cx="140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352</xdr:row>
      <xdr:rowOff>85725</xdr:rowOff>
    </xdr:from>
    <xdr:to>
      <xdr:col>10</xdr:col>
      <xdr:colOff>104775</xdr:colOff>
      <xdr:row>356</xdr:row>
      <xdr:rowOff>85725</xdr:rowOff>
    </xdr:to>
    <xdr:grpSp>
      <xdr:nvGrpSpPr>
        <xdr:cNvPr id="253" name="Group 489"/>
        <xdr:cNvGrpSpPr>
          <a:grpSpLocks/>
        </xdr:cNvGrpSpPr>
      </xdr:nvGrpSpPr>
      <xdr:grpSpPr>
        <a:xfrm>
          <a:off x="8858250" y="58616850"/>
          <a:ext cx="180975" cy="647700"/>
          <a:chOff x="-1628" y="-2308"/>
          <a:chExt cx="3954" cy="20000"/>
        </a:xfrm>
        <a:solidFill>
          <a:srgbClr val="FFFFFF"/>
        </a:solidFill>
      </xdr:grpSpPr>
      <xdr:sp>
        <xdr:nvSpPr>
          <xdr:cNvPr id="254" name="Line 490"/>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5" name="Line 491"/>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6" name="Line 492"/>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723900</xdr:colOff>
      <xdr:row>352</xdr:row>
      <xdr:rowOff>85725</xdr:rowOff>
    </xdr:from>
    <xdr:to>
      <xdr:col>4</xdr:col>
      <xdr:colOff>28575</xdr:colOff>
      <xdr:row>356</xdr:row>
      <xdr:rowOff>85725</xdr:rowOff>
    </xdr:to>
    <xdr:grpSp>
      <xdr:nvGrpSpPr>
        <xdr:cNvPr id="257" name="Group 493"/>
        <xdr:cNvGrpSpPr>
          <a:grpSpLocks/>
        </xdr:cNvGrpSpPr>
      </xdr:nvGrpSpPr>
      <xdr:grpSpPr>
        <a:xfrm>
          <a:off x="2819400" y="58616850"/>
          <a:ext cx="114300" cy="647700"/>
          <a:chOff x="-5517" y="-2308"/>
          <a:chExt cx="7586" cy="20000"/>
        </a:xfrm>
        <a:solidFill>
          <a:srgbClr val="FFFFFF"/>
        </a:solidFill>
      </xdr:grpSpPr>
      <xdr:sp>
        <xdr:nvSpPr>
          <xdr:cNvPr id="258" name="Line 494"/>
          <xdr:cNvSpPr>
            <a:spLocks/>
          </xdr:cNvSpPr>
        </xdr:nvSpPr>
        <xdr:spPr>
          <a:xfrm>
            <a:off x="-5517"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9" name="Line 495"/>
          <xdr:cNvSpPr>
            <a:spLocks/>
          </xdr:cNvSpPr>
        </xdr:nvSpPr>
        <xdr:spPr>
          <a:xfrm>
            <a:off x="-5517" y="-1923"/>
            <a:ext cx="413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0" name="Line 496"/>
          <xdr:cNvSpPr>
            <a:spLocks/>
          </xdr:cNvSpPr>
        </xdr:nvSpPr>
        <xdr:spPr>
          <a:xfrm>
            <a:off x="-5517" y="17692"/>
            <a:ext cx="758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790575</xdr:colOff>
      <xdr:row>352</xdr:row>
      <xdr:rowOff>95250</xdr:rowOff>
    </xdr:from>
    <xdr:to>
      <xdr:col>7</xdr:col>
      <xdr:colOff>47625</xdr:colOff>
      <xdr:row>356</xdr:row>
      <xdr:rowOff>114300</xdr:rowOff>
    </xdr:to>
    <xdr:grpSp>
      <xdr:nvGrpSpPr>
        <xdr:cNvPr id="261" name="Group 497"/>
        <xdr:cNvGrpSpPr>
          <a:grpSpLocks/>
        </xdr:cNvGrpSpPr>
      </xdr:nvGrpSpPr>
      <xdr:grpSpPr>
        <a:xfrm>
          <a:off x="6086475" y="58626375"/>
          <a:ext cx="123825" cy="666750"/>
          <a:chOff x="-2917" y="-1923"/>
          <a:chExt cx="4584" cy="20385"/>
        </a:xfrm>
        <a:solidFill>
          <a:srgbClr val="FFFFFF"/>
        </a:solidFill>
      </xdr:grpSpPr>
      <xdr:sp>
        <xdr:nvSpPr>
          <xdr:cNvPr id="262" name="Line 498"/>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3" name="Line 499"/>
          <xdr:cNvSpPr>
            <a:spLocks/>
          </xdr:cNvSpPr>
        </xdr:nvSpPr>
        <xdr:spPr>
          <a:xfrm flipH="1">
            <a:off x="-2917" y="-1923"/>
            <a:ext cx="33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4" name="Line 500"/>
          <xdr:cNvSpPr>
            <a:spLocks/>
          </xdr:cNvSpPr>
        </xdr:nvSpPr>
        <xdr:spPr>
          <a:xfrm flipH="1">
            <a:off x="-2917" y="18462"/>
            <a:ext cx="250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819150</xdr:colOff>
      <xdr:row>380</xdr:row>
      <xdr:rowOff>76200</xdr:rowOff>
    </xdr:from>
    <xdr:to>
      <xdr:col>2</xdr:col>
      <xdr:colOff>47625</xdr:colOff>
      <xdr:row>384</xdr:row>
      <xdr:rowOff>76200</xdr:rowOff>
    </xdr:to>
    <xdr:grpSp>
      <xdr:nvGrpSpPr>
        <xdr:cNvPr id="265" name="Group 501"/>
        <xdr:cNvGrpSpPr>
          <a:grpSpLocks/>
        </xdr:cNvGrpSpPr>
      </xdr:nvGrpSpPr>
      <xdr:grpSpPr>
        <a:xfrm>
          <a:off x="981075" y="63179325"/>
          <a:ext cx="95250" cy="647700"/>
          <a:chOff x="-1455" y="-2692"/>
          <a:chExt cx="2909" cy="20000"/>
        </a:xfrm>
        <a:solidFill>
          <a:srgbClr val="FFFFFF"/>
        </a:solidFill>
      </xdr:grpSpPr>
      <xdr:sp>
        <xdr:nvSpPr>
          <xdr:cNvPr id="266" name="Line 502"/>
          <xdr:cNvSpPr>
            <a:spLocks/>
          </xdr:cNvSpPr>
        </xdr:nvSpPr>
        <xdr:spPr>
          <a:xfrm>
            <a:off x="-1455"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7" name="Line 503"/>
          <xdr:cNvSpPr>
            <a:spLocks/>
          </xdr:cNvSpPr>
        </xdr:nvSpPr>
        <xdr:spPr>
          <a:xfrm>
            <a:off x="-1455" y="-2307"/>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8" name="Line 504"/>
          <xdr:cNvSpPr>
            <a:spLocks/>
          </xdr:cNvSpPr>
        </xdr:nvSpPr>
        <xdr:spPr>
          <a:xfrm>
            <a:off x="-1455" y="17308"/>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809625</xdr:colOff>
      <xdr:row>380</xdr:row>
      <xdr:rowOff>66675</xdr:rowOff>
    </xdr:from>
    <xdr:to>
      <xdr:col>3</xdr:col>
      <xdr:colOff>66675</xdr:colOff>
      <xdr:row>384</xdr:row>
      <xdr:rowOff>76200</xdr:rowOff>
    </xdr:to>
    <xdr:grpSp>
      <xdr:nvGrpSpPr>
        <xdr:cNvPr id="269" name="Group 505"/>
        <xdr:cNvGrpSpPr>
          <a:grpSpLocks/>
        </xdr:cNvGrpSpPr>
      </xdr:nvGrpSpPr>
      <xdr:grpSpPr>
        <a:xfrm>
          <a:off x="1838325" y="63169800"/>
          <a:ext cx="323850" cy="657225"/>
          <a:chOff x="-1622" y="-3077"/>
          <a:chExt cx="3244" cy="20385"/>
        </a:xfrm>
        <a:solidFill>
          <a:srgbClr val="FFFFFF"/>
        </a:solidFill>
      </xdr:grpSpPr>
      <xdr:sp>
        <xdr:nvSpPr>
          <xdr:cNvPr id="270" name="Line 506"/>
          <xdr:cNvSpPr>
            <a:spLocks/>
          </xdr:cNvSpPr>
        </xdr:nvSpPr>
        <xdr:spPr>
          <a:xfrm>
            <a:off x="1622"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1" name="Line 507"/>
          <xdr:cNvSpPr>
            <a:spLocks/>
          </xdr:cNvSpPr>
        </xdr:nvSpPr>
        <xdr:spPr>
          <a:xfrm flipH="1">
            <a:off x="-1622" y="-3077"/>
            <a:ext cx="29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2" name="Line 508"/>
          <xdr:cNvSpPr>
            <a:spLocks/>
          </xdr:cNvSpPr>
        </xdr:nvSpPr>
        <xdr:spPr>
          <a:xfrm flipH="1">
            <a:off x="-1622" y="17308"/>
            <a:ext cx="270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866775</xdr:colOff>
      <xdr:row>380</xdr:row>
      <xdr:rowOff>95250</xdr:rowOff>
    </xdr:from>
    <xdr:to>
      <xdr:col>8</xdr:col>
      <xdr:colOff>76200</xdr:colOff>
      <xdr:row>384</xdr:row>
      <xdr:rowOff>85725</xdr:rowOff>
    </xdr:to>
    <xdr:grpSp>
      <xdr:nvGrpSpPr>
        <xdr:cNvPr id="273" name="Group 509"/>
        <xdr:cNvGrpSpPr>
          <a:grpSpLocks/>
        </xdr:cNvGrpSpPr>
      </xdr:nvGrpSpPr>
      <xdr:grpSpPr>
        <a:xfrm>
          <a:off x="7029450" y="63198375"/>
          <a:ext cx="133350" cy="638175"/>
          <a:chOff x="-1205" y="-1923"/>
          <a:chExt cx="2892" cy="19615"/>
        </a:xfrm>
        <a:solidFill>
          <a:srgbClr val="FFFFFF"/>
        </a:solidFill>
      </xdr:grpSpPr>
      <xdr:sp>
        <xdr:nvSpPr>
          <xdr:cNvPr id="274" name="Line 510"/>
          <xdr:cNvSpPr>
            <a:spLocks/>
          </xdr:cNvSpPr>
        </xdr:nvSpPr>
        <xdr:spPr>
          <a:xfrm>
            <a:off x="-1205" y="-1923"/>
            <a:ext cx="0" cy="1961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5" name="Line 511"/>
          <xdr:cNvSpPr>
            <a:spLocks/>
          </xdr:cNvSpPr>
        </xdr:nvSpPr>
        <xdr:spPr>
          <a:xfrm>
            <a:off x="-1205" y="-1536"/>
            <a:ext cx="265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6" name="Line 512"/>
          <xdr:cNvSpPr>
            <a:spLocks/>
          </xdr:cNvSpPr>
        </xdr:nvSpPr>
        <xdr:spPr>
          <a:xfrm>
            <a:off x="-1205" y="17692"/>
            <a:ext cx="289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152400</xdr:colOff>
      <xdr:row>380</xdr:row>
      <xdr:rowOff>76200</xdr:rowOff>
    </xdr:from>
    <xdr:to>
      <xdr:col>9</xdr:col>
      <xdr:colOff>295275</xdr:colOff>
      <xdr:row>384</xdr:row>
      <xdr:rowOff>85725</xdr:rowOff>
    </xdr:to>
    <xdr:grpSp>
      <xdr:nvGrpSpPr>
        <xdr:cNvPr id="277" name="Group 513"/>
        <xdr:cNvGrpSpPr>
          <a:grpSpLocks/>
        </xdr:cNvGrpSpPr>
      </xdr:nvGrpSpPr>
      <xdr:grpSpPr>
        <a:xfrm>
          <a:off x="8172450" y="63179325"/>
          <a:ext cx="142875" cy="657225"/>
          <a:chOff x="-71" y="-2692"/>
          <a:chExt cx="14" cy="20384"/>
        </a:xfrm>
        <a:solidFill>
          <a:srgbClr val="FFFFFF"/>
        </a:solidFill>
      </xdr:grpSpPr>
      <xdr:sp>
        <xdr:nvSpPr>
          <xdr:cNvPr id="278" name="Line 514"/>
          <xdr:cNvSpPr>
            <a:spLocks/>
          </xdr:cNvSpPr>
        </xdr:nvSpPr>
        <xdr:spPr>
          <a:xfrm>
            <a:off x="-57"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9" name="Line 515"/>
          <xdr:cNvSpPr>
            <a:spLocks/>
          </xdr:cNvSpPr>
        </xdr:nvSpPr>
        <xdr:spPr>
          <a:xfrm flipH="1">
            <a:off x="-71" y="-2692"/>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0" name="Line 516"/>
          <xdr:cNvSpPr>
            <a:spLocks/>
          </xdr:cNvSpPr>
        </xdr:nvSpPr>
        <xdr:spPr>
          <a:xfrm flipH="1">
            <a:off x="-71" y="17692"/>
            <a:ext cx="1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0</xdr:colOff>
      <xdr:row>380</xdr:row>
      <xdr:rowOff>95250</xdr:rowOff>
    </xdr:from>
    <xdr:to>
      <xdr:col>7</xdr:col>
      <xdr:colOff>47625</xdr:colOff>
      <xdr:row>384</xdr:row>
      <xdr:rowOff>114300</xdr:rowOff>
    </xdr:to>
    <xdr:grpSp>
      <xdr:nvGrpSpPr>
        <xdr:cNvPr id="281" name="Group 517"/>
        <xdr:cNvGrpSpPr>
          <a:grpSpLocks/>
        </xdr:cNvGrpSpPr>
      </xdr:nvGrpSpPr>
      <xdr:grpSpPr>
        <a:xfrm>
          <a:off x="6162675" y="63198375"/>
          <a:ext cx="47625" cy="666750"/>
          <a:chOff x="0" y="-1923"/>
          <a:chExt cx="1667" cy="20385"/>
        </a:xfrm>
        <a:solidFill>
          <a:srgbClr val="FFFFFF"/>
        </a:solidFill>
      </xdr:grpSpPr>
      <xdr:sp>
        <xdr:nvSpPr>
          <xdr:cNvPr id="282" name="Line 518"/>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3" name="Line 519"/>
          <xdr:cNvSpPr>
            <a:spLocks/>
          </xdr:cNvSpPr>
        </xdr:nvSpPr>
        <xdr:spPr>
          <a:xfrm flipH="1">
            <a:off x="0" y="-1923"/>
            <a:ext cx="1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4" name="Line 520"/>
          <xdr:cNvSpPr>
            <a:spLocks/>
          </xdr:cNvSpPr>
        </xdr:nvSpPr>
        <xdr:spPr>
          <a:xfrm flipH="1">
            <a:off x="0" y="18462"/>
            <a:ext cx="8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380</xdr:row>
      <xdr:rowOff>85725</xdr:rowOff>
    </xdr:from>
    <xdr:to>
      <xdr:col>10</xdr:col>
      <xdr:colOff>104775</xdr:colOff>
      <xdr:row>384</xdr:row>
      <xdr:rowOff>85725</xdr:rowOff>
    </xdr:to>
    <xdr:grpSp>
      <xdr:nvGrpSpPr>
        <xdr:cNvPr id="285" name="Group 521"/>
        <xdr:cNvGrpSpPr>
          <a:grpSpLocks/>
        </xdr:cNvGrpSpPr>
      </xdr:nvGrpSpPr>
      <xdr:grpSpPr>
        <a:xfrm>
          <a:off x="8858250" y="63188850"/>
          <a:ext cx="180975" cy="647700"/>
          <a:chOff x="-1628" y="-2308"/>
          <a:chExt cx="3954" cy="20000"/>
        </a:xfrm>
        <a:solidFill>
          <a:srgbClr val="FFFFFF"/>
        </a:solidFill>
      </xdr:grpSpPr>
      <xdr:sp>
        <xdr:nvSpPr>
          <xdr:cNvPr id="286" name="Line 522"/>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7" name="Line 523"/>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8" name="Line 524"/>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11</xdr:col>
      <xdr:colOff>9525</xdr:colOff>
      <xdr:row>380</xdr:row>
      <xdr:rowOff>95250</xdr:rowOff>
    </xdr:from>
    <xdr:to>
      <xdr:col>11</xdr:col>
      <xdr:colOff>266700</xdr:colOff>
      <xdr:row>384</xdr:row>
      <xdr:rowOff>114300</xdr:rowOff>
    </xdr:to>
    <xdr:grpSp>
      <xdr:nvGrpSpPr>
        <xdr:cNvPr id="289" name="Group 525"/>
        <xdr:cNvGrpSpPr>
          <a:grpSpLocks/>
        </xdr:cNvGrpSpPr>
      </xdr:nvGrpSpPr>
      <xdr:grpSpPr>
        <a:xfrm>
          <a:off x="10496550" y="63198375"/>
          <a:ext cx="247650" cy="666750"/>
          <a:chOff x="-14815" y="-1923"/>
          <a:chExt cx="17037" cy="20385"/>
        </a:xfrm>
        <a:solidFill>
          <a:srgbClr val="FFFFFF"/>
        </a:solidFill>
      </xdr:grpSpPr>
      <xdr:sp>
        <xdr:nvSpPr>
          <xdr:cNvPr id="290" name="Line 526"/>
          <xdr:cNvSpPr>
            <a:spLocks/>
          </xdr:cNvSpPr>
        </xdr:nvSpPr>
        <xdr:spPr>
          <a:xfrm>
            <a:off x="2222"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1" name="Line 527"/>
          <xdr:cNvSpPr>
            <a:spLocks/>
          </xdr:cNvSpPr>
        </xdr:nvSpPr>
        <xdr:spPr>
          <a:xfrm flipH="1">
            <a:off x="-14815" y="-1923"/>
            <a:ext cx="155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2" name="Line 528"/>
          <xdr:cNvSpPr>
            <a:spLocks/>
          </xdr:cNvSpPr>
        </xdr:nvSpPr>
        <xdr:spPr>
          <a:xfrm flipH="1">
            <a:off x="-14815" y="18462"/>
            <a:ext cx="140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380</xdr:row>
      <xdr:rowOff>85725</xdr:rowOff>
    </xdr:from>
    <xdr:to>
      <xdr:col>10</xdr:col>
      <xdr:colOff>104775</xdr:colOff>
      <xdr:row>384</xdr:row>
      <xdr:rowOff>85725</xdr:rowOff>
    </xdr:to>
    <xdr:grpSp>
      <xdr:nvGrpSpPr>
        <xdr:cNvPr id="293" name="Group 529"/>
        <xdr:cNvGrpSpPr>
          <a:grpSpLocks/>
        </xdr:cNvGrpSpPr>
      </xdr:nvGrpSpPr>
      <xdr:grpSpPr>
        <a:xfrm>
          <a:off x="8858250" y="63188850"/>
          <a:ext cx="180975" cy="647700"/>
          <a:chOff x="-1628" y="-2308"/>
          <a:chExt cx="3954" cy="20000"/>
        </a:xfrm>
        <a:solidFill>
          <a:srgbClr val="FFFFFF"/>
        </a:solidFill>
      </xdr:grpSpPr>
      <xdr:sp>
        <xdr:nvSpPr>
          <xdr:cNvPr id="294" name="Line 530"/>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5" name="Line 531"/>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6" name="Line 532"/>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723900</xdr:colOff>
      <xdr:row>380</xdr:row>
      <xdr:rowOff>85725</xdr:rowOff>
    </xdr:from>
    <xdr:to>
      <xdr:col>4</xdr:col>
      <xdr:colOff>28575</xdr:colOff>
      <xdr:row>384</xdr:row>
      <xdr:rowOff>85725</xdr:rowOff>
    </xdr:to>
    <xdr:grpSp>
      <xdr:nvGrpSpPr>
        <xdr:cNvPr id="297" name="Group 533"/>
        <xdr:cNvGrpSpPr>
          <a:grpSpLocks/>
        </xdr:cNvGrpSpPr>
      </xdr:nvGrpSpPr>
      <xdr:grpSpPr>
        <a:xfrm>
          <a:off x="2819400" y="63188850"/>
          <a:ext cx="114300" cy="647700"/>
          <a:chOff x="-5517" y="-2308"/>
          <a:chExt cx="7586" cy="20000"/>
        </a:xfrm>
        <a:solidFill>
          <a:srgbClr val="FFFFFF"/>
        </a:solidFill>
      </xdr:grpSpPr>
      <xdr:sp>
        <xdr:nvSpPr>
          <xdr:cNvPr id="298" name="Line 534"/>
          <xdr:cNvSpPr>
            <a:spLocks/>
          </xdr:cNvSpPr>
        </xdr:nvSpPr>
        <xdr:spPr>
          <a:xfrm>
            <a:off x="-5517"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9" name="Line 535"/>
          <xdr:cNvSpPr>
            <a:spLocks/>
          </xdr:cNvSpPr>
        </xdr:nvSpPr>
        <xdr:spPr>
          <a:xfrm>
            <a:off x="-5517" y="-1923"/>
            <a:ext cx="413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0" name="Line 536"/>
          <xdr:cNvSpPr>
            <a:spLocks/>
          </xdr:cNvSpPr>
        </xdr:nvSpPr>
        <xdr:spPr>
          <a:xfrm>
            <a:off x="-5517" y="17692"/>
            <a:ext cx="758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790575</xdr:colOff>
      <xdr:row>380</xdr:row>
      <xdr:rowOff>95250</xdr:rowOff>
    </xdr:from>
    <xdr:to>
      <xdr:col>7</xdr:col>
      <xdr:colOff>47625</xdr:colOff>
      <xdr:row>384</xdr:row>
      <xdr:rowOff>114300</xdr:rowOff>
    </xdr:to>
    <xdr:grpSp>
      <xdr:nvGrpSpPr>
        <xdr:cNvPr id="301" name="Group 537"/>
        <xdr:cNvGrpSpPr>
          <a:grpSpLocks/>
        </xdr:cNvGrpSpPr>
      </xdr:nvGrpSpPr>
      <xdr:grpSpPr>
        <a:xfrm>
          <a:off x="6086475" y="63198375"/>
          <a:ext cx="123825" cy="666750"/>
          <a:chOff x="-2917" y="-1923"/>
          <a:chExt cx="4584" cy="20385"/>
        </a:xfrm>
        <a:solidFill>
          <a:srgbClr val="FFFFFF"/>
        </a:solidFill>
      </xdr:grpSpPr>
      <xdr:sp>
        <xdr:nvSpPr>
          <xdr:cNvPr id="302" name="Line 538"/>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3" name="Line 539"/>
          <xdr:cNvSpPr>
            <a:spLocks/>
          </xdr:cNvSpPr>
        </xdr:nvSpPr>
        <xdr:spPr>
          <a:xfrm flipH="1">
            <a:off x="-2917" y="-1923"/>
            <a:ext cx="33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4" name="Line 540"/>
          <xdr:cNvSpPr>
            <a:spLocks/>
          </xdr:cNvSpPr>
        </xdr:nvSpPr>
        <xdr:spPr>
          <a:xfrm flipH="1">
            <a:off x="-2917" y="18462"/>
            <a:ext cx="250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819150</xdr:colOff>
      <xdr:row>366</xdr:row>
      <xdr:rowOff>76200</xdr:rowOff>
    </xdr:from>
    <xdr:to>
      <xdr:col>2</xdr:col>
      <xdr:colOff>47625</xdr:colOff>
      <xdr:row>370</xdr:row>
      <xdr:rowOff>76200</xdr:rowOff>
    </xdr:to>
    <xdr:grpSp>
      <xdr:nvGrpSpPr>
        <xdr:cNvPr id="305" name="Group 541"/>
        <xdr:cNvGrpSpPr>
          <a:grpSpLocks/>
        </xdr:cNvGrpSpPr>
      </xdr:nvGrpSpPr>
      <xdr:grpSpPr>
        <a:xfrm>
          <a:off x="981075" y="60893325"/>
          <a:ext cx="95250" cy="647700"/>
          <a:chOff x="-1455" y="-2692"/>
          <a:chExt cx="2909" cy="20000"/>
        </a:xfrm>
        <a:solidFill>
          <a:srgbClr val="FFFFFF"/>
        </a:solidFill>
      </xdr:grpSpPr>
      <xdr:sp>
        <xdr:nvSpPr>
          <xdr:cNvPr id="306" name="Line 542"/>
          <xdr:cNvSpPr>
            <a:spLocks/>
          </xdr:cNvSpPr>
        </xdr:nvSpPr>
        <xdr:spPr>
          <a:xfrm>
            <a:off x="-1455"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7" name="Line 543"/>
          <xdr:cNvSpPr>
            <a:spLocks/>
          </xdr:cNvSpPr>
        </xdr:nvSpPr>
        <xdr:spPr>
          <a:xfrm>
            <a:off x="-1455" y="-2307"/>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8" name="Line 544"/>
          <xdr:cNvSpPr>
            <a:spLocks/>
          </xdr:cNvSpPr>
        </xdr:nvSpPr>
        <xdr:spPr>
          <a:xfrm>
            <a:off x="-1455" y="17308"/>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809625</xdr:colOff>
      <xdr:row>366</xdr:row>
      <xdr:rowOff>66675</xdr:rowOff>
    </xdr:from>
    <xdr:to>
      <xdr:col>3</xdr:col>
      <xdr:colOff>66675</xdr:colOff>
      <xdr:row>370</xdr:row>
      <xdr:rowOff>76200</xdr:rowOff>
    </xdr:to>
    <xdr:grpSp>
      <xdr:nvGrpSpPr>
        <xdr:cNvPr id="309" name="Group 545"/>
        <xdr:cNvGrpSpPr>
          <a:grpSpLocks/>
        </xdr:cNvGrpSpPr>
      </xdr:nvGrpSpPr>
      <xdr:grpSpPr>
        <a:xfrm>
          <a:off x="1838325" y="60883800"/>
          <a:ext cx="323850" cy="657225"/>
          <a:chOff x="-1622" y="-3077"/>
          <a:chExt cx="3244" cy="20385"/>
        </a:xfrm>
        <a:solidFill>
          <a:srgbClr val="FFFFFF"/>
        </a:solidFill>
      </xdr:grpSpPr>
      <xdr:sp>
        <xdr:nvSpPr>
          <xdr:cNvPr id="310" name="Line 546"/>
          <xdr:cNvSpPr>
            <a:spLocks/>
          </xdr:cNvSpPr>
        </xdr:nvSpPr>
        <xdr:spPr>
          <a:xfrm>
            <a:off x="1622"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1" name="Line 547"/>
          <xdr:cNvSpPr>
            <a:spLocks/>
          </xdr:cNvSpPr>
        </xdr:nvSpPr>
        <xdr:spPr>
          <a:xfrm flipH="1">
            <a:off x="-1622" y="-3077"/>
            <a:ext cx="29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2" name="Line 548"/>
          <xdr:cNvSpPr>
            <a:spLocks/>
          </xdr:cNvSpPr>
        </xdr:nvSpPr>
        <xdr:spPr>
          <a:xfrm flipH="1">
            <a:off x="-1622" y="17308"/>
            <a:ext cx="270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866775</xdr:colOff>
      <xdr:row>366</xdr:row>
      <xdr:rowOff>95250</xdr:rowOff>
    </xdr:from>
    <xdr:to>
      <xdr:col>8</xdr:col>
      <xdr:colOff>76200</xdr:colOff>
      <xdr:row>370</xdr:row>
      <xdr:rowOff>85725</xdr:rowOff>
    </xdr:to>
    <xdr:grpSp>
      <xdr:nvGrpSpPr>
        <xdr:cNvPr id="313" name="Group 549"/>
        <xdr:cNvGrpSpPr>
          <a:grpSpLocks/>
        </xdr:cNvGrpSpPr>
      </xdr:nvGrpSpPr>
      <xdr:grpSpPr>
        <a:xfrm>
          <a:off x="7029450" y="60912375"/>
          <a:ext cx="133350" cy="638175"/>
          <a:chOff x="-1205" y="-1923"/>
          <a:chExt cx="2892" cy="19615"/>
        </a:xfrm>
        <a:solidFill>
          <a:srgbClr val="FFFFFF"/>
        </a:solidFill>
      </xdr:grpSpPr>
      <xdr:sp>
        <xdr:nvSpPr>
          <xdr:cNvPr id="314" name="Line 550"/>
          <xdr:cNvSpPr>
            <a:spLocks/>
          </xdr:cNvSpPr>
        </xdr:nvSpPr>
        <xdr:spPr>
          <a:xfrm>
            <a:off x="-1205" y="-1923"/>
            <a:ext cx="0" cy="1961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5" name="Line 551"/>
          <xdr:cNvSpPr>
            <a:spLocks/>
          </xdr:cNvSpPr>
        </xdr:nvSpPr>
        <xdr:spPr>
          <a:xfrm>
            <a:off x="-1205" y="-1536"/>
            <a:ext cx="265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6" name="Line 552"/>
          <xdr:cNvSpPr>
            <a:spLocks/>
          </xdr:cNvSpPr>
        </xdr:nvSpPr>
        <xdr:spPr>
          <a:xfrm>
            <a:off x="-1205" y="17692"/>
            <a:ext cx="289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152400</xdr:colOff>
      <xdr:row>366</xdr:row>
      <xdr:rowOff>76200</xdr:rowOff>
    </xdr:from>
    <xdr:to>
      <xdr:col>9</xdr:col>
      <xdr:colOff>295275</xdr:colOff>
      <xdr:row>370</xdr:row>
      <xdr:rowOff>85725</xdr:rowOff>
    </xdr:to>
    <xdr:grpSp>
      <xdr:nvGrpSpPr>
        <xdr:cNvPr id="317" name="Group 553"/>
        <xdr:cNvGrpSpPr>
          <a:grpSpLocks/>
        </xdr:cNvGrpSpPr>
      </xdr:nvGrpSpPr>
      <xdr:grpSpPr>
        <a:xfrm>
          <a:off x="8172450" y="60893325"/>
          <a:ext cx="142875" cy="657225"/>
          <a:chOff x="-71" y="-2692"/>
          <a:chExt cx="14" cy="20384"/>
        </a:xfrm>
        <a:solidFill>
          <a:srgbClr val="FFFFFF"/>
        </a:solidFill>
      </xdr:grpSpPr>
      <xdr:sp>
        <xdr:nvSpPr>
          <xdr:cNvPr id="318" name="Line 554"/>
          <xdr:cNvSpPr>
            <a:spLocks/>
          </xdr:cNvSpPr>
        </xdr:nvSpPr>
        <xdr:spPr>
          <a:xfrm>
            <a:off x="-57"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9" name="Line 555"/>
          <xdr:cNvSpPr>
            <a:spLocks/>
          </xdr:cNvSpPr>
        </xdr:nvSpPr>
        <xdr:spPr>
          <a:xfrm flipH="1">
            <a:off x="-71" y="-2692"/>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0" name="Line 556"/>
          <xdr:cNvSpPr>
            <a:spLocks/>
          </xdr:cNvSpPr>
        </xdr:nvSpPr>
        <xdr:spPr>
          <a:xfrm flipH="1">
            <a:off x="-71" y="17692"/>
            <a:ext cx="1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0</xdr:colOff>
      <xdr:row>366</xdr:row>
      <xdr:rowOff>95250</xdr:rowOff>
    </xdr:from>
    <xdr:to>
      <xdr:col>7</xdr:col>
      <xdr:colOff>47625</xdr:colOff>
      <xdr:row>370</xdr:row>
      <xdr:rowOff>114300</xdr:rowOff>
    </xdr:to>
    <xdr:grpSp>
      <xdr:nvGrpSpPr>
        <xdr:cNvPr id="321" name="Group 557"/>
        <xdr:cNvGrpSpPr>
          <a:grpSpLocks/>
        </xdr:cNvGrpSpPr>
      </xdr:nvGrpSpPr>
      <xdr:grpSpPr>
        <a:xfrm>
          <a:off x="6162675" y="60912375"/>
          <a:ext cx="47625" cy="666750"/>
          <a:chOff x="0" y="-1923"/>
          <a:chExt cx="1667" cy="20385"/>
        </a:xfrm>
        <a:solidFill>
          <a:srgbClr val="FFFFFF"/>
        </a:solidFill>
      </xdr:grpSpPr>
      <xdr:sp>
        <xdr:nvSpPr>
          <xdr:cNvPr id="322" name="Line 558"/>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3" name="Line 559"/>
          <xdr:cNvSpPr>
            <a:spLocks/>
          </xdr:cNvSpPr>
        </xdr:nvSpPr>
        <xdr:spPr>
          <a:xfrm flipH="1">
            <a:off x="0" y="-1923"/>
            <a:ext cx="1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4" name="Line 560"/>
          <xdr:cNvSpPr>
            <a:spLocks/>
          </xdr:cNvSpPr>
        </xdr:nvSpPr>
        <xdr:spPr>
          <a:xfrm flipH="1">
            <a:off x="0" y="18462"/>
            <a:ext cx="8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366</xdr:row>
      <xdr:rowOff>85725</xdr:rowOff>
    </xdr:from>
    <xdr:to>
      <xdr:col>10</xdr:col>
      <xdr:colOff>104775</xdr:colOff>
      <xdr:row>370</xdr:row>
      <xdr:rowOff>85725</xdr:rowOff>
    </xdr:to>
    <xdr:grpSp>
      <xdr:nvGrpSpPr>
        <xdr:cNvPr id="325" name="Group 561"/>
        <xdr:cNvGrpSpPr>
          <a:grpSpLocks/>
        </xdr:cNvGrpSpPr>
      </xdr:nvGrpSpPr>
      <xdr:grpSpPr>
        <a:xfrm>
          <a:off x="8858250" y="60902850"/>
          <a:ext cx="180975" cy="647700"/>
          <a:chOff x="-1628" y="-2308"/>
          <a:chExt cx="3954" cy="20000"/>
        </a:xfrm>
        <a:solidFill>
          <a:srgbClr val="FFFFFF"/>
        </a:solidFill>
      </xdr:grpSpPr>
      <xdr:sp>
        <xdr:nvSpPr>
          <xdr:cNvPr id="326" name="Line 562"/>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7" name="Line 563"/>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8" name="Line 564"/>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11</xdr:col>
      <xdr:colOff>9525</xdr:colOff>
      <xdr:row>366</xdr:row>
      <xdr:rowOff>95250</xdr:rowOff>
    </xdr:from>
    <xdr:to>
      <xdr:col>11</xdr:col>
      <xdr:colOff>266700</xdr:colOff>
      <xdr:row>370</xdr:row>
      <xdr:rowOff>114300</xdr:rowOff>
    </xdr:to>
    <xdr:grpSp>
      <xdr:nvGrpSpPr>
        <xdr:cNvPr id="329" name="Group 565"/>
        <xdr:cNvGrpSpPr>
          <a:grpSpLocks/>
        </xdr:cNvGrpSpPr>
      </xdr:nvGrpSpPr>
      <xdr:grpSpPr>
        <a:xfrm>
          <a:off x="10496550" y="60912375"/>
          <a:ext cx="247650" cy="666750"/>
          <a:chOff x="-14815" y="-1923"/>
          <a:chExt cx="17037" cy="20385"/>
        </a:xfrm>
        <a:solidFill>
          <a:srgbClr val="FFFFFF"/>
        </a:solidFill>
      </xdr:grpSpPr>
      <xdr:sp>
        <xdr:nvSpPr>
          <xdr:cNvPr id="330" name="Line 566"/>
          <xdr:cNvSpPr>
            <a:spLocks/>
          </xdr:cNvSpPr>
        </xdr:nvSpPr>
        <xdr:spPr>
          <a:xfrm>
            <a:off x="2222"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1" name="Line 567"/>
          <xdr:cNvSpPr>
            <a:spLocks/>
          </xdr:cNvSpPr>
        </xdr:nvSpPr>
        <xdr:spPr>
          <a:xfrm flipH="1">
            <a:off x="-14815" y="-1923"/>
            <a:ext cx="155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2" name="Line 568"/>
          <xdr:cNvSpPr>
            <a:spLocks/>
          </xdr:cNvSpPr>
        </xdr:nvSpPr>
        <xdr:spPr>
          <a:xfrm flipH="1">
            <a:off x="-14815" y="18462"/>
            <a:ext cx="140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366</xdr:row>
      <xdr:rowOff>85725</xdr:rowOff>
    </xdr:from>
    <xdr:to>
      <xdr:col>10</xdr:col>
      <xdr:colOff>104775</xdr:colOff>
      <xdr:row>370</xdr:row>
      <xdr:rowOff>85725</xdr:rowOff>
    </xdr:to>
    <xdr:grpSp>
      <xdr:nvGrpSpPr>
        <xdr:cNvPr id="333" name="Group 569"/>
        <xdr:cNvGrpSpPr>
          <a:grpSpLocks/>
        </xdr:cNvGrpSpPr>
      </xdr:nvGrpSpPr>
      <xdr:grpSpPr>
        <a:xfrm>
          <a:off x="8858250" y="60902850"/>
          <a:ext cx="180975" cy="647700"/>
          <a:chOff x="-1628" y="-2308"/>
          <a:chExt cx="3954" cy="20000"/>
        </a:xfrm>
        <a:solidFill>
          <a:srgbClr val="FFFFFF"/>
        </a:solidFill>
      </xdr:grpSpPr>
      <xdr:sp>
        <xdr:nvSpPr>
          <xdr:cNvPr id="334" name="Line 570"/>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5" name="Line 571"/>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6" name="Line 572"/>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723900</xdr:colOff>
      <xdr:row>366</xdr:row>
      <xdr:rowOff>85725</xdr:rowOff>
    </xdr:from>
    <xdr:to>
      <xdr:col>4</xdr:col>
      <xdr:colOff>28575</xdr:colOff>
      <xdr:row>370</xdr:row>
      <xdr:rowOff>85725</xdr:rowOff>
    </xdr:to>
    <xdr:grpSp>
      <xdr:nvGrpSpPr>
        <xdr:cNvPr id="337" name="Group 573"/>
        <xdr:cNvGrpSpPr>
          <a:grpSpLocks/>
        </xdr:cNvGrpSpPr>
      </xdr:nvGrpSpPr>
      <xdr:grpSpPr>
        <a:xfrm>
          <a:off x="2819400" y="60902850"/>
          <a:ext cx="114300" cy="647700"/>
          <a:chOff x="-5517" y="-2308"/>
          <a:chExt cx="7586" cy="20000"/>
        </a:xfrm>
        <a:solidFill>
          <a:srgbClr val="FFFFFF"/>
        </a:solidFill>
      </xdr:grpSpPr>
      <xdr:sp>
        <xdr:nvSpPr>
          <xdr:cNvPr id="338" name="Line 574"/>
          <xdr:cNvSpPr>
            <a:spLocks/>
          </xdr:cNvSpPr>
        </xdr:nvSpPr>
        <xdr:spPr>
          <a:xfrm>
            <a:off x="-5517"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9" name="Line 575"/>
          <xdr:cNvSpPr>
            <a:spLocks/>
          </xdr:cNvSpPr>
        </xdr:nvSpPr>
        <xdr:spPr>
          <a:xfrm>
            <a:off x="-5517" y="-1923"/>
            <a:ext cx="413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0" name="Line 576"/>
          <xdr:cNvSpPr>
            <a:spLocks/>
          </xdr:cNvSpPr>
        </xdr:nvSpPr>
        <xdr:spPr>
          <a:xfrm>
            <a:off x="-5517" y="17692"/>
            <a:ext cx="758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790575</xdr:colOff>
      <xdr:row>366</xdr:row>
      <xdr:rowOff>95250</xdr:rowOff>
    </xdr:from>
    <xdr:to>
      <xdr:col>7</xdr:col>
      <xdr:colOff>47625</xdr:colOff>
      <xdr:row>370</xdr:row>
      <xdr:rowOff>114300</xdr:rowOff>
    </xdr:to>
    <xdr:grpSp>
      <xdr:nvGrpSpPr>
        <xdr:cNvPr id="341" name="Group 577"/>
        <xdr:cNvGrpSpPr>
          <a:grpSpLocks/>
        </xdr:cNvGrpSpPr>
      </xdr:nvGrpSpPr>
      <xdr:grpSpPr>
        <a:xfrm>
          <a:off x="6086475" y="60912375"/>
          <a:ext cx="123825" cy="666750"/>
          <a:chOff x="-2917" y="-1923"/>
          <a:chExt cx="4584" cy="20385"/>
        </a:xfrm>
        <a:solidFill>
          <a:srgbClr val="FFFFFF"/>
        </a:solidFill>
      </xdr:grpSpPr>
      <xdr:sp>
        <xdr:nvSpPr>
          <xdr:cNvPr id="342" name="Line 578"/>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3" name="Line 579"/>
          <xdr:cNvSpPr>
            <a:spLocks/>
          </xdr:cNvSpPr>
        </xdr:nvSpPr>
        <xdr:spPr>
          <a:xfrm flipH="1">
            <a:off x="-2917" y="-1923"/>
            <a:ext cx="33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4" name="Line 580"/>
          <xdr:cNvSpPr>
            <a:spLocks/>
          </xdr:cNvSpPr>
        </xdr:nvSpPr>
        <xdr:spPr>
          <a:xfrm flipH="1">
            <a:off x="-2917" y="18462"/>
            <a:ext cx="250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819150</xdr:colOff>
      <xdr:row>394</xdr:row>
      <xdr:rowOff>76200</xdr:rowOff>
    </xdr:from>
    <xdr:to>
      <xdr:col>2</xdr:col>
      <xdr:colOff>47625</xdr:colOff>
      <xdr:row>398</xdr:row>
      <xdr:rowOff>76200</xdr:rowOff>
    </xdr:to>
    <xdr:grpSp>
      <xdr:nvGrpSpPr>
        <xdr:cNvPr id="345" name="Group 581"/>
        <xdr:cNvGrpSpPr>
          <a:grpSpLocks/>
        </xdr:cNvGrpSpPr>
      </xdr:nvGrpSpPr>
      <xdr:grpSpPr>
        <a:xfrm>
          <a:off x="981075" y="65465325"/>
          <a:ext cx="95250" cy="647700"/>
          <a:chOff x="-1455" y="-2692"/>
          <a:chExt cx="2909" cy="20000"/>
        </a:xfrm>
        <a:solidFill>
          <a:srgbClr val="FFFFFF"/>
        </a:solidFill>
      </xdr:grpSpPr>
      <xdr:sp>
        <xdr:nvSpPr>
          <xdr:cNvPr id="346" name="Line 582"/>
          <xdr:cNvSpPr>
            <a:spLocks/>
          </xdr:cNvSpPr>
        </xdr:nvSpPr>
        <xdr:spPr>
          <a:xfrm>
            <a:off x="-1455"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7" name="Line 583"/>
          <xdr:cNvSpPr>
            <a:spLocks/>
          </xdr:cNvSpPr>
        </xdr:nvSpPr>
        <xdr:spPr>
          <a:xfrm>
            <a:off x="-1455" y="-2307"/>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8" name="Line 584"/>
          <xdr:cNvSpPr>
            <a:spLocks/>
          </xdr:cNvSpPr>
        </xdr:nvSpPr>
        <xdr:spPr>
          <a:xfrm>
            <a:off x="-1455" y="17308"/>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809625</xdr:colOff>
      <xdr:row>394</xdr:row>
      <xdr:rowOff>66675</xdr:rowOff>
    </xdr:from>
    <xdr:to>
      <xdr:col>3</xdr:col>
      <xdr:colOff>66675</xdr:colOff>
      <xdr:row>398</xdr:row>
      <xdr:rowOff>76200</xdr:rowOff>
    </xdr:to>
    <xdr:grpSp>
      <xdr:nvGrpSpPr>
        <xdr:cNvPr id="349" name="Group 585"/>
        <xdr:cNvGrpSpPr>
          <a:grpSpLocks/>
        </xdr:cNvGrpSpPr>
      </xdr:nvGrpSpPr>
      <xdr:grpSpPr>
        <a:xfrm>
          <a:off x="1838325" y="65455800"/>
          <a:ext cx="323850" cy="657225"/>
          <a:chOff x="-1622" y="-3077"/>
          <a:chExt cx="3244" cy="20385"/>
        </a:xfrm>
        <a:solidFill>
          <a:srgbClr val="FFFFFF"/>
        </a:solidFill>
      </xdr:grpSpPr>
      <xdr:sp>
        <xdr:nvSpPr>
          <xdr:cNvPr id="350" name="Line 586"/>
          <xdr:cNvSpPr>
            <a:spLocks/>
          </xdr:cNvSpPr>
        </xdr:nvSpPr>
        <xdr:spPr>
          <a:xfrm>
            <a:off x="1622"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1" name="Line 587"/>
          <xdr:cNvSpPr>
            <a:spLocks/>
          </xdr:cNvSpPr>
        </xdr:nvSpPr>
        <xdr:spPr>
          <a:xfrm flipH="1">
            <a:off x="-1622" y="-3077"/>
            <a:ext cx="29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2" name="Line 588"/>
          <xdr:cNvSpPr>
            <a:spLocks/>
          </xdr:cNvSpPr>
        </xdr:nvSpPr>
        <xdr:spPr>
          <a:xfrm flipH="1">
            <a:off x="-1622" y="17308"/>
            <a:ext cx="270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866775</xdr:colOff>
      <xdr:row>394</xdr:row>
      <xdr:rowOff>95250</xdr:rowOff>
    </xdr:from>
    <xdr:to>
      <xdr:col>8</xdr:col>
      <xdr:colOff>76200</xdr:colOff>
      <xdr:row>398</xdr:row>
      <xdr:rowOff>85725</xdr:rowOff>
    </xdr:to>
    <xdr:grpSp>
      <xdr:nvGrpSpPr>
        <xdr:cNvPr id="353" name="Group 589"/>
        <xdr:cNvGrpSpPr>
          <a:grpSpLocks/>
        </xdr:cNvGrpSpPr>
      </xdr:nvGrpSpPr>
      <xdr:grpSpPr>
        <a:xfrm>
          <a:off x="7029450" y="65484375"/>
          <a:ext cx="133350" cy="638175"/>
          <a:chOff x="-1205" y="-1923"/>
          <a:chExt cx="2892" cy="19615"/>
        </a:xfrm>
        <a:solidFill>
          <a:srgbClr val="FFFFFF"/>
        </a:solidFill>
      </xdr:grpSpPr>
      <xdr:sp>
        <xdr:nvSpPr>
          <xdr:cNvPr id="354" name="Line 590"/>
          <xdr:cNvSpPr>
            <a:spLocks/>
          </xdr:cNvSpPr>
        </xdr:nvSpPr>
        <xdr:spPr>
          <a:xfrm>
            <a:off x="-1205" y="-1923"/>
            <a:ext cx="0" cy="1961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5" name="Line 591"/>
          <xdr:cNvSpPr>
            <a:spLocks/>
          </xdr:cNvSpPr>
        </xdr:nvSpPr>
        <xdr:spPr>
          <a:xfrm>
            <a:off x="-1205" y="-1536"/>
            <a:ext cx="265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6" name="Line 592"/>
          <xdr:cNvSpPr>
            <a:spLocks/>
          </xdr:cNvSpPr>
        </xdr:nvSpPr>
        <xdr:spPr>
          <a:xfrm>
            <a:off x="-1205" y="17692"/>
            <a:ext cx="289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152400</xdr:colOff>
      <xdr:row>394</xdr:row>
      <xdr:rowOff>76200</xdr:rowOff>
    </xdr:from>
    <xdr:to>
      <xdr:col>9</xdr:col>
      <xdr:colOff>295275</xdr:colOff>
      <xdr:row>398</xdr:row>
      <xdr:rowOff>85725</xdr:rowOff>
    </xdr:to>
    <xdr:grpSp>
      <xdr:nvGrpSpPr>
        <xdr:cNvPr id="357" name="Group 593"/>
        <xdr:cNvGrpSpPr>
          <a:grpSpLocks/>
        </xdr:cNvGrpSpPr>
      </xdr:nvGrpSpPr>
      <xdr:grpSpPr>
        <a:xfrm>
          <a:off x="8172450" y="65465325"/>
          <a:ext cx="142875" cy="657225"/>
          <a:chOff x="-71" y="-2692"/>
          <a:chExt cx="14" cy="20384"/>
        </a:xfrm>
        <a:solidFill>
          <a:srgbClr val="FFFFFF"/>
        </a:solidFill>
      </xdr:grpSpPr>
      <xdr:sp>
        <xdr:nvSpPr>
          <xdr:cNvPr id="358" name="Line 594"/>
          <xdr:cNvSpPr>
            <a:spLocks/>
          </xdr:cNvSpPr>
        </xdr:nvSpPr>
        <xdr:spPr>
          <a:xfrm>
            <a:off x="-57"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9" name="Line 595"/>
          <xdr:cNvSpPr>
            <a:spLocks/>
          </xdr:cNvSpPr>
        </xdr:nvSpPr>
        <xdr:spPr>
          <a:xfrm flipH="1">
            <a:off x="-71" y="-2692"/>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0" name="Line 596"/>
          <xdr:cNvSpPr>
            <a:spLocks/>
          </xdr:cNvSpPr>
        </xdr:nvSpPr>
        <xdr:spPr>
          <a:xfrm flipH="1">
            <a:off x="-71" y="17692"/>
            <a:ext cx="1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0</xdr:colOff>
      <xdr:row>394</xdr:row>
      <xdr:rowOff>95250</xdr:rowOff>
    </xdr:from>
    <xdr:to>
      <xdr:col>7</xdr:col>
      <xdr:colOff>47625</xdr:colOff>
      <xdr:row>398</xdr:row>
      <xdr:rowOff>114300</xdr:rowOff>
    </xdr:to>
    <xdr:grpSp>
      <xdr:nvGrpSpPr>
        <xdr:cNvPr id="361" name="Group 597"/>
        <xdr:cNvGrpSpPr>
          <a:grpSpLocks/>
        </xdr:cNvGrpSpPr>
      </xdr:nvGrpSpPr>
      <xdr:grpSpPr>
        <a:xfrm>
          <a:off x="6162675" y="65484375"/>
          <a:ext cx="47625" cy="666750"/>
          <a:chOff x="0" y="-1923"/>
          <a:chExt cx="1667" cy="20385"/>
        </a:xfrm>
        <a:solidFill>
          <a:srgbClr val="FFFFFF"/>
        </a:solidFill>
      </xdr:grpSpPr>
      <xdr:sp>
        <xdr:nvSpPr>
          <xdr:cNvPr id="362" name="Line 598"/>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3" name="Line 599"/>
          <xdr:cNvSpPr>
            <a:spLocks/>
          </xdr:cNvSpPr>
        </xdr:nvSpPr>
        <xdr:spPr>
          <a:xfrm flipH="1">
            <a:off x="0" y="-1923"/>
            <a:ext cx="1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4" name="Line 600"/>
          <xdr:cNvSpPr>
            <a:spLocks/>
          </xdr:cNvSpPr>
        </xdr:nvSpPr>
        <xdr:spPr>
          <a:xfrm flipH="1">
            <a:off x="0" y="18462"/>
            <a:ext cx="8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394</xdr:row>
      <xdr:rowOff>85725</xdr:rowOff>
    </xdr:from>
    <xdr:to>
      <xdr:col>10</xdr:col>
      <xdr:colOff>104775</xdr:colOff>
      <xdr:row>398</xdr:row>
      <xdr:rowOff>85725</xdr:rowOff>
    </xdr:to>
    <xdr:grpSp>
      <xdr:nvGrpSpPr>
        <xdr:cNvPr id="365" name="Group 601"/>
        <xdr:cNvGrpSpPr>
          <a:grpSpLocks/>
        </xdr:cNvGrpSpPr>
      </xdr:nvGrpSpPr>
      <xdr:grpSpPr>
        <a:xfrm>
          <a:off x="8858250" y="65474850"/>
          <a:ext cx="180975" cy="647700"/>
          <a:chOff x="-1628" y="-2308"/>
          <a:chExt cx="3954" cy="20000"/>
        </a:xfrm>
        <a:solidFill>
          <a:srgbClr val="FFFFFF"/>
        </a:solidFill>
      </xdr:grpSpPr>
      <xdr:sp>
        <xdr:nvSpPr>
          <xdr:cNvPr id="366" name="Line 602"/>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7" name="Line 603"/>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8" name="Line 604"/>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11</xdr:col>
      <xdr:colOff>9525</xdr:colOff>
      <xdr:row>394</xdr:row>
      <xdr:rowOff>95250</xdr:rowOff>
    </xdr:from>
    <xdr:to>
      <xdr:col>11</xdr:col>
      <xdr:colOff>266700</xdr:colOff>
      <xdr:row>398</xdr:row>
      <xdr:rowOff>114300</xdr:rowOff>
    </xdr:to>
    <xdr:grpSp>
      <xdr:nvGrpSpPr>
        <xdr:cNvPr id="369" name="Group 605"/>
        <xdr:cNvGrpSpPr>
          <a:grpSpLocks/>
        </xdr:cNvGrpSpPr>
      </xdr:nvGrpSpPr>
      <xdr:grpSpPr>
        <a:xfrm>
          <a:off x="10496550" y="65484375"/>
          <a:ext cx="247650" cy="666750"/>
          <a:chOff x="-14815" y="-1923"/>
          <a:chExt cx="17037" cy="20385"/>
        </a:xfrm>
        <a:solidFill>
          <a:srgbClr val="FFFFFF"/>
        </a:solidFill>
      </xdr:grpSpPr>
      <xdr:sp>
        <xdr:nvSpPr>
          <xdr:cNvPr id="370" name="Line 606"/>
          <xdr:cNvSpPr>
            <a:spLocks/>
          </xdr:cNvSpPr>
        </xdr:nvSpPr>
        <xdr:spPr>
          <a:xfrm>
            <a:off x="2222"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1" name="Line 607"/>
          <xdr:cNvSpPr>
            <a:spLocks/>
          </xdr:cNvSpPr>
        </xdr:nvSpPr>
        <xdr:spPr>
          <a:xfrm flipH="1">
            <a:off x="-14815" y="-1923"/>
            <a:ext cx="1555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2" name="Line 608"/>
          <xdr:cNvSpPr>
            <a:spLocks/>
          </xdr:cNvSpPr>
        </xdr:nvSpPr>
        <xdr:spPr>
          <a:xfrm flipH="1">
            <a:off x="-14815" y="18462"/>
            <a:ext cx="1407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838200</xdr:colOff>
      <xdr:row>394</xdr:row>
      <xdr:rowOff>85725</xdr:rowOff>
    </xdr:from>
    <xdr:to>
      <xdr:col>10</xdr:col>
      <xdr:colOff>104775</xdr:colOff>
      <xdr:row>398</xdr:row>
      <xdr:rowOff>85725</xdr:rowOff>
    </xdr:to>
    <xdr:grpSp>
      <xdr:nvGrpSpPr>
        <xdr:cNvPr id="373" name="Group 609"/>
        <xdr:cNvGrpSpPr>
          <a:grpSpLocks/>
        </xdr:cNvGrpSpPr>
      </xdr:nvGrpSpPr>
      <xdr:grpSpPr>
        <a:xfrm>
          <a:off x="8858250" y="65474850"/>
          <a:ext cx="180975" cy="647700"/>
          <a:chOff x="-1628" y="-2308"/>
          <a:chExt cx="3954" cy="20000"/>
        </a:xfrm>
        <a:solidFill>
          <a:srgbClr val="FFFFFF"/>
        </a:solidFill>
      </xdr:grpSpPr>
      <xdr:sp>
        <xdr:nvSpPr>
          <xdr:cNvPr id="374" name="Line 610"/>
          <xdr:cNvSpPr>
            <a:spLocks/>
          </xdr:cNvSpPr>
        </xdr:nvSpPr>
        <xdr:spPr>
          <a:xfrm>
            <a:off x="-162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5" name="Line 611"/>
          <xdr:cNvSpPr>
            <a:spLocks/>
          </xdr:cNvSpPr>
        </xdr:nvSpPr>
        <xdr:spPr>
          <a:xfrm>
            <a:off x="-1628" y="-1923"/>
            <a:ext cx="3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6" name="Line 612"/>
          <xdr:cNvSpPr>
            <a:spLocks/>
          </xdr:cNvSpPr>
        </xdr:nvSpPr>
        <xdr:spPr>
          <a:xfrm>
            <a:off x="-1628" y="17692"/>
            <a:ext cx="395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723900</xdr:colOff>
      <xdr:row>394</xdr:row>
      <xdr:rowOff>85725</xdr:rowOff>
    </xdr:from>
    <xdr:to>
      <xdr:col>4</xdr:col>
      <xdr:colOff>28575</xdr:colOff>
      <xdr:row>398</xdr:row>
      <xdr:rowOff>85725</xdr:rowOff>
    </xdr:to>
    <xdr:grpSp>
      <xdr:nvGrpSpPr>
        <xdr:cNvPr id="377" name="Group 613"/>
        <xdr:cNvGrpSpPr>
          <a:grpSpLocks/>
        </xdr:cNvGrpSpPr>
      </xdr:nvGrpSpPr>
      <xdr:grpSpPr>
        <a:xfrm>
          <a:off x="2819400" y="65474850"/>
          <a:ext cx="114300" cy="647700"/>
          <a:chOff x="-5517" y="-2308"/>
          <a:chExt cx="7586" cy="20000"/>
        </a:xfrm>
        <a:solidFill>
          <a:srgbClr val="FFFFFF"/>
        </a:solidFill>
      </xdr:grpSpPr>
      <xdr:sp>
        <xdr:nvSpPr>
          <xdr:cNvPr id="378" name="Line 614"/>
          <xdr:cNvSpPr>
            <a:spLocks/>
          </xdr:cNvSpPr>
        </xdr:nvSpPr>
        <xdr:spPr>
          <a:xfrm>
            <a:off x="-5517"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9" name="Line 615"/>
          <xdr:cNvSpPr>
            <a:spLocks/>
          </xdr:cNvSpPr>
        </xdr:nvSpPr>
        <xdr:spPr>
          <a:xfrm>
            <a:off x="-5517" y="-1923"/>
            <a:ext cx="413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0" name="Line 616"/>
          <xdr:cNvSpPr>
            <a:spLocks/>
          </xdr:cNvSpPr>
        </xdr:nvSpPr>
        <xdr:spPr>
          <a:xfrm>
            <a:off x="-5517" y="17692"/>
            <a:ext cx="758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790575</xdr:colOff>
      <xdr:row>394</xdr:row>
      <xdr:rowOff>95250</xdr:rowOff>
    </xdr:from>
    <xdr:to>
      <xdr:col>7</xdr:col>
      <xdr:colOff>47625</xdr:colOff>
      <xdr:row>398</xdr:row>
      <xdr:rowOff>114300</xdr:rowOff>
    </xdr:to>
    <xdr:grpSp>
      <xdr:nvGrpSpPr>
        <xdr:cNvPr id="381" name="Group 617"/>
        <xdr:cNvGrpSpPr>
          <a:grpSpLocks/>
        </xdr:cNvGrpSpPr>
      </xdr:nvGrpSpPr>
      <xdr:grpSpPr>
        <a:xfrm>
          <a:off x="6086475" y="65484375"/>
          <a:ext cx="123825" cy="666750"/>
          <a:chOff x="-2917" y="-1923"/>
          <a:chExt cx="4584" cy="20385"/>
        </a:xfrm>
        <a:solidFill>
          <a:srgbClr val="FFFFFF"/>
        </a:solidFill>
      </xdr:grpSpPr>
      <xdr:sp>
        <xdr:nvSpPr>
          <xdr:cNvPr id="382" name="Line 618"/>
          <xdr:cNvSpPr>
            <a:spLocks/>
          </xdr:cNvSpPr>
        </xdr:nvSpPr>
        <xdr:spPr>
          <a:xfrm>
            <a:off x="1667"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3" name="Line 619"/>
          <xdr:cNvSpPr>
            <a:spLocks/>
          </xdr:cNvSpPr>
        </xdr:nvSpPr>
        <xdr:spPr>
          <a:xfrm flipH="1">
            <a:off x="-2917" y="-1923"/>
            <a:ext cx="33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4" name="Line 620"/>
          <xdr:cNvSpPr>
            <a:spLocks/>
          </xdr:cNvSpPr>
        </xdr:nvSpPr>
        <xdr:spPr>
          <a:xfrm flipH="1">
            <a:off x="-2917" y="18462"/>
            <a:ext cx="250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885825</xdr:colOff>
      <xdr:row>290</xdr:row>
      <xdr:rowOff>85725</xdr:rowOff>
    </xdr:from>
    <xdr:to>
      <xdr:col>11</xdr:col>
      <xdr:colOff>85725</xdr:colOff>
      <xdr:row>294</xdr:row>
      <xdr:rowOff>95250</xdr:rowOff>
    </xdr:to>
    <xdr:grpSp>
      <xdr:nvGrpSpPr>
        <xdr:cNvPr id="385" name="Group 621"/>
        <xdr:cNvGrpSpPr>
          <a:grpSpLocks/>
        </xdr:cNvGrpSpPr>
      </xdr:nvGrpSpPr>
      <xdr:grpSpPr>
        <a:xfrm>
          <a:off x="9820275" y="48482250"/>
          <a:ext cx="752475" cy="657225"/>
          <a:chOff x="-1667" y="-2308"/>
          <a:chExt cx="5000" cy="20385"/>
        </a:xfrm>
        <a:solidFill>
          <a:srgbClr val="FFFFFF"/>
        </a:solidFill>
      </xdr:grpSpPr>
      <xdr:sp>
        <xdr:nvSpPr>
          <xdr:cNvPr id="386" name="Line 622"/>
          <xdr:cNvSpPr>
            <a:spLocks/>
          </xdr:cNvSpPr>
        </xdr:nvSpPr>
        <xdr:spPr>
          <a:xfrm>
            <a:off x="3333"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7" name="Line 623"/>
          <xdr:cNvSpPr>
            <a:spLocks/>
          </xdr:cNvSpPr>
        </xdr:nvSpPr>
        <xdr:spPr>
          <a:xfrm flipH="1">
            <a:off x="-1667" y="-2308"/>
            <a:ext cx="458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8" name="Line 624"/>
          <xdr:cNvSpPr>
            <a:spLocks/>
          </xdr:cNvSpPr>
        </xdr:nvSpPr>
        <xdr:spPr>
          <a:xfrm flipH="1">
            <a:off x="-1667" y="18077"/>
            <a:ext cx="416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4</xdr:col>
      <xdr:colOff>981075</xdr:colOff>
      <xdr:row>282</xdr:row>
      <xdr:rowOff>76200</xdr:rowOff>
    </xdr:from>
    <xdr:to>
      <xdr:col>5</xdr:col>
      <xdr:colOff>76200</xdr:colOff>
      <xdr:row>286</xdr:row>
      <xdr:rowOff>85725</xdr:rowOff>
    </xdr:to>
    <xdr:grpSp>
      <xdr:nvGrpSpPr>
        <xdr:cNvPr id="389" name="Group 625"/>
        <xdr:cNvGrpSpPr>
          <a:grpSpLocks/>
        </xdr:cNvGrpSpPr>
      </xdr:nvGrpSpPr>
      <xdr:grpSpPr>
        <a:xfrm>
          <a:off x="3886200" y="47177325"/>
          <a:ext cx="247650" cy="657225"/>
          <a:chOff x="-4000" y="-2692"/>
          <a:chExt cx="5750" cy="20384"/>
        </a:xfrm>
        <a:solidFill>
          <a:srgbClr val="FFFFFF"/>
        </a:solidFill>
      </xdr:grpSpPr>
      <xdr:sp>
        <xdr:nvSpPr>
          <xdr:cNvPr id="390" name="Line 626"/>
          <xdr:cNvSpPr>
            <a:spLocks/>
          </xdr:cNvSpPr>
        </xdr:nvSpPr>
        <xdr:spPr>
          <a:xfrm>
            <a:off x="1750"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1" name="Line 627"/>
          <xdr:cNvSpPr>
            <a:spLocks/>
          </xdr:cNvSpPr>
        </xdr:nvSpPr>
        <xdr:spPr>
          <a:xfrm flipH="1">
            <a:off x="-4000" y="-2692"/>
            <a:ext cx="5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2" name="Line 628"/>
          <xdr:cNvSpPr>
            <a:spLocks/>
          </xdr:cNvSpPr>
        </xdr:nvSpPr>
        <xdr:spPr>
          <a:xfrm flipH="1">
            <a:off x="-4000" y="17692"/>
            <a:ext cx="4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0</xdr:colOff>
      <xdr:row>25</xdr:row>
      <xdr:rowOff>47625</xdr:rowOff>
    </xdr:from>
    <xdr:to>
      <xdr:col>5</xdr:col>
      <xdr:colOff>276225</xdr:colOff>
      <xdr:row>48</xdr:row>
      <xdr:rowOff>123825</xdr:rowOff>
    </xdr:to>
    <xdr:grpSp>
      <xdr:nvGrpSpPr>
        <xdr:cNvPr id="393" name="Group 659"/>
        <xdr:cNvGrpSpPr>
          <a:grpSpLocks/>
        </xdr:cNvGrpSpPr>
      </xdr:nvGrpSpPr>
      <xdr:grpSpPr>
        <a:xfrm>
          <a:off x="1028700" y="5114925"/>
          <a:ext cx="3305175" cy="3800475"/>
          <a:chOff x="0" y="-602"/>
          <a:chExt cx="16232" cy="20401"/>
        </a:xfrm>
        <a:solidFill>
          <a:srgbClr val="FFFFFF"/>
        </a:solidFill>
      </xdr:grpSpPr>
      <xdr:sp>
        <xdr:nvSpPr>
          <xdr:cNvPr id="394" name="Oval 1"/>
          <xdr:cNvSpPr>
            <a:spLocks/>
          </xdr:cNvSpPr>
        </xdr:nvSpPr>
        <xdr:spPr>
          <a:xfrm>
            <a:off x="0" y="10369"/>
            <a:ext cx="14609" cy="5554"/>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5" name="Line 5"/>
          <xdr:cNvSpPr>
            <a:spLocks/>
          </xdr:cNvSpPr>
        </xdr:nvSpPr>
        <xdr:spPr>
          <a:xfrm flipV="1">
            <a:off x="0" y="13041"/>
            <a:ext cx="16232"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6" name="Line 10"/>
          <xdr:cNvSpPr>
            <a:spLocks/>
          </xdr:cNvSpPr>
        </xdr:nvSpPr>
        <xdr:spPr>
          <a:xfrm flipH="1">
            <a:off x="3827" y="10435"/>
            <a:ext cx="5681" cy="6085"/>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7" name="Line 11"/>
          <xdr:cNvSpPr>
            <a:spLocks/>
          </xdr:cNvSpPr>
        </xdr:nvSpPr>
        <xdr:spPr>
          <a:xfrm flipV="1">
            <a:off x="7187" y="4549"/>
            <a:ext cx="0" cy="8497"/>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398" name="Group 6"/>
          <xdr:cNvGrpSpPr>
            <a:grpSpLocks/>
          </xdr:cNvGrpSpPr>
        </xdr:nvGrpSpPr>
        <xdr:grpSpPr>
          <a:xfrm>
            <a:off x="0" y="6620"/>
            <a:ext cx="14666" cy="6355"/>
            <a:chOff x="0" y="6622"/>
            <a:chExt cx="14667" cy="6355"/>
          </a:xfrm>
          <a:solidFill>
            <a:srgbClr val="FFFFFF"/>
          </a:solidFill>
        </xdr:grpSpPr>
        <xdr:sp>
          <xdr:nvSpPr>
            <xdr:cNvPr id="399" name="Arc 2"/>
            <xdr:cNvSpPr>
              <a:spLocks/>
            </xdr:cNvSpPr>
          </xdr:nvSpPr>
          <xdr:spPr>
            <a:xfrm flipH="1">
              <a:off x="0" y="6622"/>
              <a:ext cx="7187" cy="6355"/>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0" name="Arc 3"/>
            <xdr:cNvSpPr>
              <a:spLocks/>
            </xdr:cNvSpPr>
          </xdr:nvSpPr>
          <xdr:spPr>
            <a:xfrm>
              <a:off x="7132" y="6622"/>
              <a:ext cx="7535" cy="6288"/>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401" name="Group 7"/>
          <xdr:cNvGrpSpPr>
            <a:grpSpLocks/>
          </xdr:cNvGrpSpPr>
        </xdr:nvGrpSpPr>
        <xdr:grpSpPr>
          <a:xfrm>
            <a:off x="0" y="13179"/>
            <a:ext cx="14666" cy="6620"/>
            <a:chOff x="0" y="13177"/>
            <a:chExt cx="14667" cy="6622"/>
          </a:xfrm>
          <a:solidFill>
            <a:srgbClr val="FFFFFF"/>
          </a:solidFill>
        </xdr:grpSpPr>
        <xdr:sp>
          <xdr:nvSpPr>
            <xdr:cNvPr id="402" name="Arc 8"/>
            <xdr:cNvSpPr>
              <a:spLocks/>
            </xdr:cNvSpPr>
          </xdr:nvSpPr>
          <xdr:spPr>
            <a:xfrm flipH="1" flipV="1">
              <a:off x="0" y="13177"/>
              <a:ext cx="7245" cy="6622"/>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3" name="Arc 9"/>
            <xdr:cNvSpPr>
              <a:spLocks/>
            </xdr:cNvSpPr>
          </xdr:nvSpPr>
          <xdr:spPr>
            <a:xfrm flipV="1">
              <a:off x="7187" y="13243"/>
              <a:ext cx="7480" cy="655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04" name="Arc 13"/>
          <xdr:cNvSpPr>
            <a:spLocks/>
          </xdr:cNvSpPr>
        </xdr:nvSpPr>
        <xdr:spPr>
          <a:xfrm flipH="1">
            <a:off x="4638" y="6620"/>
            <a:ext cx="2609" cy="9099"/>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5" name="Line 51"/>
          <xdr:cNvSpPr>
            <a:spLocks/>
          </xdr:cNvSpPr>
        </xdr:nvSpPr>
        <xdr:spPr>
          <a:xfrm flipH="1">
            <a:off x="11476" y="5217"/>
            <a:ext cx="1510" cy="4748"/>
          </a:xfrm>
          <a:prstGeom prst="line">
            <a:avLst/>
          </a:prstGeom>
          <a:solidFill>
            <a:srgbClr val="FFFFFF"/>
          </a:solidFill>
          <a:ln w="9525" cmpd="sng">
            <a:solidFill>
              <a:srgbClr val="00FFFF"/>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406" name="Line 53"/>
          <xdr:cNvSpPr>
            <a:spLocks/>
          </xdr:cNvSpPr>
        </xdr:nvSpPr>
        <xdr:spPr>
          <a:xfrm>
            <a:off x="7767" y="2611"/>
            <a:ext cx="1274" cy="5350"/>
          </a:xfrm>
          <a:prstGeom prst="line">
            <a:avLst/>
          </a:prstGeom>
          <a:solidFill>
            <a:srgbClr val="FFFFFF"/>
          </a:solidFill>
          <a:ln w="1" cmpd="sng">
            <a:solidFill>
              <a:srgbClr val="FF00FF"/>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407" name="Line 54"/>
          <xdr:cNvSpPr>
            <a:spLocks/>
          </xdr:cNvSpPr>
        </xdr:nvSpPr>
        <xdr:spPr>
          <a:xfrm>
            <a:off x="9102" y="8227"/>
            <a:ext cx="2378" cy="1938"/>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8" name="Arc 61"/>
          <xdr:cNvSpPr>
            <a:spLocks/>
          </xdr:cNvSpPr>
        </xdr:nvSpPr>
        <xdr:spPr>
          <a:xfrm flipV="1">
            <a:off x="5389" y="13980"/>
            <a:ext cx="4232" cy="801"/>
          </a:xfrm>
          <a:prstGeom prst="arc">
            <a:avLst/>
          </a:prstGeom>
          <a:no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9" name="Arc 63"/>
          <xdr:cNvSpPr>
            <a:spLocks/>
          </xdr:cNvSpPr>
        </xdr:nvSpPr>
        <xdr:spPr>
          <a:xfrm>
            <a:off x="8173" y="10634"/>
            <a:ext cx="1449" cy="3346"/>
          </a:xfrm>
          <a:prstGeom prst="arc">
            <a:avLst/>
          </a:prstGeom>
          <a:no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410" name="Group 58"/>
          <xdr:cNvGrpSpPr>
            <a:grpSpLocks/>
          </xdr:cNvGrpSpPr>
        </xdr:nvGrpSpPr>
        <xdr:grpSpPr>
          <a:xfrm>
            <a:off x="7130" y="6620"/>
            <a:ext cx="5275" cy="8497"/>
            <a:chOff x="7130" y="6622"/>
            <a:chExt cx="5276" cy="8495"/>
          </a:xfrm>
          <a:solidFill>
            <a:srgbClr val="FFFFFF"/>
          </a:solidFill>
        </xdr:grpSpPr>
        <xdr:grpSp>
          <xdr:nvGrpSpPr>
            <xdr:cNvPr id="411" name="Group 21"/>
            <xdr:cNvGrpSpPr>
              <a:grpSpLocks/>
            </xdr:cNvGrpSpPr>
          </xdr:nvGrpSpPr>
          <xdr:grpSpPr>
            <a:xfrm>
              <a:off x="7130" y="6622"/>
              <a:ext cx="5276" cy="8495"/>
              <a:chOff x="7130" y="6622"/>
              <a:chExt cx="5276" cy="8495"/>
            </a:xfrm>
            <a:solidFill>
              <a:srgbClr val="FFFFFF"/>
            </a:solidFill>
          </xdr:grpSpPr>
          <xdr:sp>
            <xdr:nvSpPr>
              <xdr:cNvPr id="412" name="Arc 18"/>
              <xdr:cNvSpPr>
                <a:spLocks/>
              </xdr:cNvSpPr>
            </xdr:nvSpPr>
            <xdr:spPr>
              <a:xfrm>
                <a:off x="7246" y="6622"/>
                <a:ext cx="5160" cy="8495"/>
              </a:xfrm>
              <a:prstGeom prst="arc">
                <a:avLst/>
              </a:prstGeom>
              <a:no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3" name="Line 20"/>
              <xdr:cNvSpPr>
                <a:spLocks/>
              </xdr:cNvSpPr>
            </xdr:nvSpPr>
            <xdr:spPr>
              <a:xfrm flipV="1">
                <a:off x="7130" y="10167"/>
                <a:ext cx="4347" cy="2876"/>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14" name="Line 57"/>
            <xdr:cNvSpPr>
              <a:spLocks/>
            </xdr:cNvSpPr>
          </xdr:nvSpPr>
          <xdr:spPr>
            <a:xfrm>
              <a:off x="7130" y="13042"/>
              <a:ext cx="5276" cy="2075"/>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15" name="Line 65"/>
          <xdr:cNvSpPr>
            <a:spLocks/>
          </xdr:cNvSpPr>
        </xdr:nvSpPr>
        <xdr:spPr>
          <a:xfrm flipH="1">
            <a:off x="9565" y="14046"/>
            <a:ext cx="57" cy="332"/>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6" name="Line 66"/>
          <xdr:cNvSpPr>
            <a:spLocks/>
          </xdr:cNvSpPr>
        </xdr:nvSpPr>
        <xdr:spPr>
          <a:xfrm flipH="1">
            <a:off x="9159" y="14046"/>
            <a:ext cx="406" cy="66"/>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7" name="Line 69"/>
          <xdr:cNvSpPr>
            <a:spLocks/>
          </xdr:cNvSpPr>
        </xdr:nvSpPr>
        <xdr:spPr>
          <a:xfrm>
            <a:off x="8234" y="10634"/>
            <a:ext cx="349" cy="0"/>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8" name="Line 70"/>
          <xdr:cNvSpPr>
            <a:spLocks/>
          </xdr:cNvSpPr>
        </xdr:nvSpPr>
        <xdr:spPr>
          <a:xfrm>
            <a:off x="8173" y="10634"/>
            <a:ext cx="174" cy="337"/>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419" name="Group 64"/>
          <xdr:cNvGrpSpPr>
            <a:grpSpLocks/>
          </xdr:cNvGrpSpPr>
        </xdr:nvGrpSpPr>
        <xdr:grpSpPr>
          <a:xfrm>
            <a:off x="6144" y="469"/>
            <a:ext cx="6261" cy="15117"/>
            <a:chOff x="6145" y="468"/>
            <a:chExt cx="6261" cy="15117"/>
          </a:xfrm>
          <a:solidFill>
            <a:srgbClr val="FFFFFF"/>
          </a:solidFill>
        </xdr:grpSpPr>
        <xdr:grpSp>
          <xdr:nvGrpSpPr>
            <xdr:cNvPr id="420" name="Group 56"/>
            <xdr:cNvGrpSpPr>
              <a:grpSpLocks/>
            </xdr:cNvGrpSpPr>
          </xdr:nvGrpSpPr>
          <xdr:grpSpPr>
            <a:xfrm>
              <a:off x="7130" y="468"/>
              <a:ext cx="5276" cy="15117"/>
              <a:chOff x="7130" y="468"/>
              <a:chExt cx="5276" cy="15117"/>
            </a:xfrm>
            <a:solidFill>
              <a:srgbClr val="FFFFFF"/>
            </a:solidFill>
          </xdr:grpSpPr>
          <xdr:grpSp>
            <xdr:nvGrpSpPr>
              <xdr:cNvPr id="421" name="Group 17"/>
              <xdr:cNvGrpSpPr>
                <a:grpSpLocks/>
              </xdr:cNvGrpSpPr>
            </xdr:nvGrpSpPr>
            <xdr:grpSpPr>
              <a:xfrm>
                <a:off x="7130" y="468"/>
                <a:ext cx="5276" cy="15117"/>
                <a:chOff x="7130" y="468"/>
                <a:chExt cx="5276" cy="15117"/>
              </a:xfrm>
              <a:solidFill>
                <a:srgbClr val="FFFFFF"/>
              </a:solidFill>
            </xdr:grpSpPr>
            <xdr:sp>
              <xdr:nvSpPr>
                <xdr:cNvPr id="422" name="Arc 15"/>
                <xdr:cNvSpPr>
                  <a:spLocks/>
                </xdr:cNvSpPr>
              </xdr:nvSpPr>
              <xdr:spPr>
                <a:xfrm>
                  <a:off x="7246" y="6621"/>
                  <a:ext cx="3247" cy="8964"/>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3" name="Line 16"/>
                <xdr:cNvSpPr>
                  <a:spLocks/>
                </xdr:cNvSpPr>
              </xdr:nvSpPr>
              <xdr:spPr>
                <a:xfrm flipV="1">
                  <a:off x="7130" y="468"/>
                  <a:ext cx="5276" cy="12509"/>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24" name="Line 55"/>
              <xdr:cNvSpPr>
                <a:spLocks/>
              </xdr:cNvSpPr>
            </xdr:nvSpPr>
            <xdr:spPr>
              <a:xfrm>
                <a:off x="7130" y="12977"/>
                <a:ext cx="3363" cy="2608"/>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25" name="Arc 60"/>
            <xdr:cNvSpPr>
              <a:spLocks/>
            </xdr:cNvSpPr>
          </xdr:nvSpPr>
          <xdr:spPr>
            <a:xfrm flipV="1">
              <a:off x="6145" y="13779"/>
              <a:ext cx="1797" cy="200"/>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6" name="Arc 62"/>
            <xdr:cNvSpPr>
              <a:spLocks/>
            </xdr:cNvSpPr>
          </xdr:nvSpPr>
          <xdr:spPr>
            <a:xfrm>
              <a:off x="7479" y="11840"/>
              <a:ext cx="697" cy="1875"/>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27" name="Line 67"/>
          <xdr:cNvSpPr>
            <a:spLocks/>
          </xdr:cNvSpPr>
        </xdr:nvSpPr>
        <xdr:spPr>
          <a:xfrm flipH="1">
            <a:off x="7767" y="13781"/>
            <a:ext cx="174" cy="27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8" name="Line 68"/>
          <xdr:cNvSpPr>
            <a:spLocks/>
          </xdr:cNvSpPr>
        </xdr:nvSpPr>
        <xdr:spPr>
          <a:xfrm flipH="1">
            <a:off x="7653" y="13781"/>
            <a:ext cx="288" cy="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9" name="Line 71"/>
          <xdr:cNvSpPr>
            <a:spLocks/>
          </xdr:cNvSpPr>
        </xdr:nvSpPr>
        <xdr:spPr>
          <a:xfrm>
            <a:off x="7479" y="11838"/>
            <a:ext cx="698" cy="66"/>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0" name="Line 72"/>
          <xdr:cNvSpPr>
            <a:spLocks/>
          </xdr:cNvSpPr>
        </xdr:nvSpPr>
        <xdr:spPr>
          <a:xfrm>
            <a:off x="7536" y="11838"/>
            <a:ext cx="118" cy="403"/>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1" name="Line 630"/>
          <xdr:cNvSpPr>
            <a:spLocks/>
          </xdr:cNvSpPr>
        </xdr:nvSpPr>
        <xdr:spPr>
          <a:xfrm flipH="1">
            <a:off x="11131" y="-602"/>
            <a:ext cx="0" cy="120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2" name="Arc 631"/>
          <xdr:cNvSpPr>
            <a:spLocks/>
          </xdr:cNvSpPr>
        </xdr:nvSpPr>
        <xdr:spPr>
          <a:xfrm>
            <a:off x="13274" y="-199"/>
            <a:ext cx="463" cy="337"/>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3" name="Line 632"/>
          <xdr:cNvSpPr>
            <a:spLocks/>
          </xdr:cNvSpPr>
        </xdr:nvSpPr>
        <xdr:spPr>
          <a:xfrm>
            <a:off x="11362" y="-602"/>
            <a:ext cx="349" cy="40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4" name="Line 633"/>
          <xdr:cNvSpPr>
            <a:spLocks/>
          </xdr:cNvSpPr>
        </xdr:nvSpPr>
        <xdr:spPr>
          <a:xfrm flipH="1" flipV="1">
            <a:off x="13740" y="132"/>
            <a:ext cx="231" cy="6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5" name="Rectangle 634"/>
          <xdr:cNvSpPr>
            <a:spLocks/>
          </xdr:cNvSpPr>
        </xdr:nvSpPr>
        <xdr:spPr>
          <a:xfrm>
            <a:off x="11188" y="199"/>
            <a:ext cx="1510" cy="13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6" name="Line 635"/>
          <xdr:cNvSpPr>
            <a:spLocks/>
          </xdr:cNvSpPr>
        </xdr:nvSpPr>
        <xdr:spPr>
          <a:xfrm>
            <a:off x="11131" y="602"/>
            <a:ext cx="289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7" name="Rectangle 636"/>
          <xdr:cNvSpPr>
            <a:spLocks/>
          </xdr:cNvSpPr>
        </xdr:nvSpPr>
        <xdr:spPr>
          <a:xfrm>
            <a:off x="13448" y="-133"/>
            <a:ext cx="118" cy="27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8" name="Line 637"/>
          <xdr:cNvSpPr>
            <a:spLocks/>
          </xdr:cNvSpPr>
        </xdr:nvSpPr>
        <xdr:spPr>
          <a:xfrm>
            <a:off x="11131" y="-602"/>
            <a:ext cx="23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9" name="Line 638"/>
          <xdr:cNvSpPr>
            <a:spLocks/>
          </xdr:cNvSpPr>
        </xdr:nvSpPr>
        <xdr:spPr>
          <a:xfrm>
            <a:off x="11711" y="-199"/>
            <a:ext cx="168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0" name="Arc 639"/>
          <xdr:cNvSpPr>
            <a:spLocks/>
          </xdr:cNvSpPr>
        </xdr:nvSpPr>
        <xdr:spPr>
          <a:xfrm>
            <a:off x="13915" y="199"/>
            <a:ext cx="288" cy="19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1" name="Arc 640"/>
          <xdr:cNvSpPr>
            <a:spLocks/>
          </xdr:cNvSpPr>
        </xdr:nvSpPr>
        <xdr:spPr>
          <a:xfrm flipV="1">
            <a:off x="13972" y="403"/>
            <a:ext cx="231" cy="19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2" name="Line 641"/>
          <xdr:cNvSpPr>
            <a:spLocks/>
          </xdr:cNvSpPr>
        </xdr:nvSpPr>
        <xdr:spPr>
          <a:xfrm>
            <a:off x="11768" y="-199"/>
            <a:ext cx="0" cy="27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3" name="Line 642"/>
          <xdr:cNvSpPr>
            <a:spLocks/>
          </xdr:cNvSpPr>
        </xdr:nvSpPr>
        <xdr:spPr>
          <a:xfrm>
            <a:off x="13160" y="-199"/>
            <a:ext cx="0" cy="27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4" name="Line 643"/>
          <xdr:cNvSpPr>
            <a:spLocks/>
          </xdr:cNvSpPr>
        </xdr:nvSpPr>
        <xdr:spPr>
          <a:xfrm>
            <a:off x="11768" y="66"/>
            <a:ext cx="139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800100</xdr:colOff>
      <xdr:row>31</xdr:row>
      <xdr:rowOff>9525</xdr:rowOff>
    </xdr:from>
    <xdr:to>
      <xdr:col>10</xdr:col>
      <xdr:colOff>400050</xdr:colOff>
      <xdr:row>56</xdr:row>
      <xdr:rowOff>123825</xdr:rowOff>
    </xdr:to>
    <xdr:grpSp>
      <xdr:nvGrpSpPr>
        <xdr:cNvPr id="445" name="Group 660"/>
        <xdr:cNvGrpSpPr>
          <a:grpSpLocks/>
        </xdr:cNvGrpSpPr>
      </xdr:nvGrpSpPr>
      <xdr:grpSpPr>
        <a:xfrm>
          <a:off x="6096000" y="6048375"/>
          <a:ext cx="3238500" cy="4162425"/>
          <a:chOff x="-352" y="-738"/>
          <a:chExt cx="17478" cy="20553"/>
        </a:xfrm>
        <a:solidFill>
          <a:srgbClr val="FFFFFF"/>
        </a:solidFill>
      </xdr:grpSpPr>
      <xdr:sp>
        <xdr:nvSpPr>
          <xdr:cNvPr id="446" name="Oval 22"/>
          <xdr:cNvSpPr>
            <a:spLocks/>
          </xdr:cNvSpPr>
        </xdr:nvSpPr>
        <xdr:spPr>
          <a:xfrm>
            <a:off x="998" y="11136"/>
            <a:ext cx="14546" cy="4984"/>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447" name="Group 23"/>
          <xdr:cNvGrpSpPr>
            <a:grpSpLocks/>
          </xdr:cNvGrpSpPr>
        </xdr:nvGrpSpPr>
        <xdr:grpSpPr>
          <a:xfrm>
            <a:off x="998" y="7632"/>
            <a:ext cx="14664" cy="12183"/>
            <a:chOff x="997" y="7631"/>
            <a:chExt cx="14663" cy="12184"/>
          </a:xfrm>
          <a:solidFill>
            <a:srgbClr val="FFFFFF"/>
          </a:solidFill>
        </xdr:grpSpPr>
        <xdr:grpSp>
          <xdr:nvGrpSpPr>
            <xdr:cNvPr id="448" name="Group 24"/>
            <xdr:cNvGrpSpPr>
              <a:grpSpLocks/>
            </xdr:cNvGrpSpPr>
          </xdr:nvGrpSpPr>
          <xdr:grpSpPr>
            <a:xfrm>
              <a:off x="997" y="7631"/>
              <a:ext cx="14604" cy="5970"/>
              <a:chOff x="997" y="7631"/>
              <a:chExt cx="14604" cy="5969"/>
            </a:xfrm>
            <a:solidFill>
              <a:srgbClr val="FFFFFF"/>
            </a:solidFill>
          </xdr:grpSpPr>
          <xdr:sp>
            <xdr:nvSpPr>
              <xdr:cNvPr id="449" name="Arc 25"/>
              <xdr:cNvSpPr>
                <a:spLocks/>
              </xdr:cNvSpPr>
            </xdr:nvSpPr>
            <xdr:spPr>
              <a:xfrm flipH="1">
                <a:off x="997" y="7631"/>
                <a:ext cx="7214" cy="5969"/>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0" name="Arc 26"/>
              <xdr:cNvSpPr>
                <a:spLocks/>
              </xdr:cNvSpPr>
            </xdr:nvSpPr>
            <xdr:spPr>
              <a:xfrm>
                <a:off x="8153" y="7631"/>
                <a:ext cx="7448" cy="5847"/>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451" name="Group 27"/>
            <xdr:cNvGrpSpPr>
              <a:grpSpLocks/>
            </xdr:cNvGrpSpPr>
          </xdr:nvGrpSpPr>
          <xdr:grpSpPr>
            <a:xfrm>
              <a:off x="997" y="13784"/>
              <a:ext cx="14663" cy="6031"/>
              <a:chOff x="997" y="13785"/>
              <a:chExt cx="14663" cy="6030"/>
            </a:xfrm>
            <a:solidFill>
              <a:srgbClr val="FFFFFF"/>
            </a:solidFill>
          </xdr:grpSpPr>
          <xdr:sp>
            <xdr:nvSpPr>
              <xdr:cNvPr id="452" name="Arc 28"/>
              <xdr:cNvSpPr>
                <a:spLocks/>
              </xdr:cNvSpPr>
            </xdr:nvSpPr>
            <xdr:spPr>
              <a:xfrm flipH="1" flipV="1">
                <a:off x="997" y="13785"/>
                <a:ext cx="7214" cy="603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3" name="Arc 29"/>
              <xdr:cNvSpPr>
                <a:spLocks/>
              </xdr:cNvSpPr>
            </xdr:nvSpPr>
            <xdr:spPr>
              <a:xfrm flipV="1">
                <a:off x="8211" y="13785"/>
                <a:ext cx="7449" cy="603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54" name="Arc 30"/>
            <xdr:cNvSpPr>
              <a:spLocks/>
            </xdr:cNvSpPr>
          </xdr:nvSpPr>
          <xdr:spPr>
            <a:xfrm flipH="1">
              <a:off x="5631" y="7631"/>
              <a:ext cx="2581" cy="837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455" name="Group 34"/>
          <xdr:cNvGrpSpPr>
            <a:grpSpLocks/>
          </xdr:cNvGrpSpPr>
        </xdr:nvGrpSpPr>
        <xdr:grpSpPr>
          <a:xfrm>
            <a:off x="8094" y="7694"/>
            <a:ext cx="5746" cy="7692"/>
            <a:chOff x="8094" y="7692"/>
            <a:chExt cx="5748" cy="7693"/>
          </a:xfrm>
          <a:solidFill>
            <a:srgbClr val="FFFFFF"/>
          </a:solidFill>
        </xdr:grpSpPr>
        <xdr:sp>
          <xdr:nvSpPr>
            <xdr:cNvPr id="456" name="Arc 35"/>
            <xdr:cNvSpPr>
              <a:spLocks/>
            </xdr:cNvSpPr>
          </xdr:nvSpPr>
          <xdr:spPr>
            <a:xfrm>
              <a:off x="8210" y="7692"/>
              <a:ext cx="5632" cy="7693"/>
            </a:xfrm>
            <a:prstGeom prst="arc">
              <a:avLst/>
            </a:prstGeom>
            <a:no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7" name="Line 36"/>
            <xdr:cNvSpPr>
              <a:spLocks/>
            </xdr:cNvSpPr>
          </xdr:nvSpPr>
          <xdr:spPr>
            <a:xfrm flipV="1">
              <a:off x="8094" y="10892"/>
              <a:ext cx="4751" cy="2585"/>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458" name="Group 75"/>
          <xdr:cNvGrpSpPr>
            <a:grpSpLocks/>
          </xdr:cNvGrpSpPr>
        </xdr:nvGrpSpPr>
        <xdr:grpSpPr>
          <a:xfrm>
            <a:off x="-352" y="5782"/>
            <a:ext cx="17478" cy="10893"/>
            <a:chOff x="-352" y="5785"/>
            <a:chExt cx="17478" cy="10892"/>
          </a:xfrm>
          <a:solidFill>
            <a:srgbClr val="FFFFFF"/>
          </a:solidFill>
        </xdr:grpSpPr>
        <xdr:sp>
          <xdr:nvSpPr>
            <xdr:cNvPr id="459" name="Line 76"/>
            <xdr:cNvSpPr>
              <a:spLocks/>
            </xdr:cNvSpPr>
          </xdr:nvSpPr>
          <xdr:spPr>
            <a:xfrm flipV="1">
              <a:off x="-352" y="13477"/>
              <a:ext cx="17478"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0" name="Line 77"/>
            <xdr:cNvSpPr>
              <a:spLocks/>
            </xdr:cNvSpPr>
          </xdr:nvSpPr>
          <xdr:spPr>
            <a:xfrm flipH="1">
              <a:off x="5044" y="11138"/>
              <a:ext cx="5335" cy="5539"/>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1" name="Line 78"/>
            <xdr:cNvSpPr>
              <a:spLocks/>
            </xdr:cNvSpPr>
          </xdr:nvSpPr>
          <xdr:spPr>
            <a:xfrm flipV="1">
              <a:off x="8151" y="5785"/>
              <a:ext cx="0" cy="7692"/>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62" name="Line 92"/>
          <xdr:cNvSpPr>
            <a:spLocks/>
          </xdr:cNvSpPr>
        </xdr:nvSpPr>
        <xdr:spPr>
          <a:xfrm>
            <a:off x="10379" y="9107"/>
            <a:ext cx="2403" cy="1783"/>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3" name="Line 93"/>
          <xdr:cNvSpPr>
            <a:spLocks/>
          </xdr:cNvSpPr>
        </xdr:nvSpPr>
        <xdr:spPr>
          <a:xfrm>
            <a:off x="11612" y="64"/>
            <a:ext cx="4750" cy="3571"/>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4" name="Line 94"/>
          <xdr:cNvSpPr>
            <a:spLocks/>
          </xdr:cNvSpPr>
        </xdr:nvSpPr>
        <xdr:spPr>
          <a:xfrm flipV="1">
            <a:off x="10969" y="1045"/>
            <a:ext cx="5396" cy="190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5" name="Line 95"/>
          <xdr:cNvSpPr>
            <a:spLocks/>
          </xdr:cNvSpPr>
        </xdr:nvSpPr>
        <xdr:spPr>
          <a:xfrm flipV="1">
            <a:off x="13901" y="-738"/>
            <a:ext cx="1232" cy="277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6" name="Line 179"/>
          <xdr:cNvSpPr>
            <a:spLocks/>
          </xdr:cNvSpPr>
        </xdr:nvSpPr>
        <xdr:spPr>
          <a:xfrm>
            <a:off x="9034" y="10767"/>
            <a:ext cx="2346" cy="185"/>
          </a:xfrm>
          <a:prstGeom prst="line">
            <a:avLst/>
          </a:prstGeom>
          <a:solidFill>
            <a:srgbClr val="FFFFFF"/>
          </a:solidFill>
          <a:ln w="1" cmpd="sng">
            <a:solidFill>
              <a:srgbClr val="FF808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467" name="Line 180"/>
          <xdr:cNvSpPr>
            <a:spLocks/>
          </xdr:cNvSpPr>
        </xdr:nvSpPr>
        <xdr:spPr>
          <a:xfrm flipH="1">
            <a:off x="12376" y="8552"/>
            <a:ext cx="1232" cy="1906"/>
          </a:xfrm>
          <a:prstGeom prst="line">
            <a:avLst/>
          </a:prstGeom>
          <a:solidFill>
            <a:srgbClr val="FFFFFF"/>
          </a:solidFill>
          <a:ln w="9525" cmpd="sng">
            <a:solidFill>
              <a:srgbClr val="FF808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468" name="Arc 182"/>
          <xdr:cNvSpPr>
            <a:spLocks/>
          </xdr:cNvSpPr>
        </xdr:nvSpPr>
        <xdr:spPr>
          <a:xfrm flipV="1">
            <a:off x="11437" y="10463"/>
            <a:ext cx="939" cy="493"/>
          </a:xfrm>
          <a:prstGeom prst="arc">
            <a:avLst/>
          </a:prstGeom>
          <a:noFill/>
          <a:ln w="9525" cmpd="sng">
            <a:solidFill>
              <a:srgbClr val="FF808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469" name="Group 184"/>
          <xdr:cNvGrpSpPr>
            <a:grpSpLocks/>
          </xdr:cNvGrpSpPr>
        </xdr:nvGrpSpPr>
        <xdr:grpSpPr>
          <a:xfrm>
            <a:off x="8151" y="2032"/>
            <a:ext cx="5746" cy="13848"/>
            <a:chOff x="8152" y="2031"/>
            <a:chExt cx="5748" cy="13846"/>
          </a:xfrm>
          <a:solidFill>
            <a:srgbClr val="FFFFFF"/>
          </a:solidFill>
        </xdr:grpSpPr>
        <xdr:grpSp>
          <xdr:nvGrpSpPr>
            <xdr:cNvPr id="470" name="Group 31"/>
            <xdr:cNvGrpSpPr>
              <a:grpSpLocks/>
            </xdr:cNvGrpSpPr>
          </xdr:nvGrpSpPr>
          <xdr:grpSpPr>
            <a:xfrm>
              <a:off x="8152" y="2031"/>
              <a:ext cx="5748" cy="13846"/>
              <a:chOff x="8152" y="2031"/>
              <a:chExt cx="5748" cy="13846"/>
            </a:xfrm>
            <a:solidFill>
              <a:srgbClr val="FFFFFF"/>
            </a:solidFill>
          </xdr:grpSpPr>
          <xdr:sp>
            <xdr:nvSpPr>
              <xdr:cNvPr id="471" name="Arc 32"/>
              <xdr:cNvSpPr>
                <a:spLocks/>
              </xdr:cNvSpPr>
            </xdr:nvSpPr>
            <xdr:spPr>
              <a:xfrm>
                <a:off x="8270" y="7694"/>
                <a:ext cx="3577" cy="8183"/>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2" name="Line 33"/>
              <xdr:cNvSpPr>
                <a:spLocks/>
              </xdr:cNvSpPr>
            </xdr:nvSpPr>
            <xdr:spPr>
              <a:xfrm flipV="1">
                <a:off x="8152" y="2031"/>
                <a:ext cx="5748" cy="11447"/>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73" name="Line 183"/>
            <xdr:cNvSpPr>
              <a:spLocks/>
            </xdr:cNvSpPr>
          </xdr:nvSpPr>
          <xdr:spPr>
            <a:xfrm>
              <a:off x="8211" y="13416"/>
              <a:ext cx="3636" cy="2399"/>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474" name="Group 644"/>
          <xdr:cNvGrpSpPr>
            <a:grpSpLocks/>
          </xdr:cNvGrpSpPr>
        </xdr:nvGrpSpPr>
        <xdr:grpSpPr>
          <a:xfrm>
            <a:off x="12433" y="1107"/>
            <a:ext cx="3050" cy="1110"/>
            <a:chOff x="12434" y="1108"/>
            <a:chExt cx="3050" cy="1108"/>
          </a:xfrm>
          <a:solidFill>
            <a:srgbClr val="FFFFFF"/>
          </a:solidFill>
        </xdr:grpSpPr>
        <xdr:sp>
          <xdr:nvSpPr>
            <xdr:cNvPr id="475" name="Line 645"/>
            <xdr:cNvSpPr>
              <a:spLocks/>
            </xdr:cNvSpPr>
          </xdr:nvSpPr>
          <xdr:spPr>
            <a:xfrm flipH="1">
              <a:off x="12434" y="1108"/>
              <a:ext cx="0" cy="110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6" name="Arc 646"/>
            <xdr:cNvSpPr>
              <a:spLocks/>
            </xdr:cNvSpPr>
          </xdr:nvSpPr>
          <xdr:spPr>
            <a:xfrm>
              <a:off x="14545" y="1477"/>
              <a:ext cx="470" cy="30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7" name="Line 647"/>
            <xdr:cNvSpPr>
              <a:spLocks/>
            </xdr:cNvSpPr>
          </xdr:nvSpPr>
          <xdr:spPr>
            <a:xfrm>
              <a:off x="12669" y="1108"/>
              <a:ext cx="351" cy="36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8" name="Line 648"/>
            <xdr:cNvSpPr>
              <a:spLocks/>
            </xdr:cNvSpPr>
          </xdr:nvSpPr>
          <xdr:spPr>
            <a:xfrm flipH="1" flipV="1">
              <a:off x="15015" y="1785"/>
              <a:ext cx="234" cy="6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9" name="Rectangle 649"/>
            <xdr:cNvSpPr>
              <a:spLocks/>
            </xdr:cNvSpPr>
          </xdr:nvSpPr>
          <xdr:spPr>
            <a:xfrm>
              <a:off x="12493" y="1847"/>
              <a:ext cx="1525" cy="12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0" name="Line 650"/>
            <xdr:cNvSpPr>
              <a:spLocks/>
            </xdr:cNvSpPr>
          </xdr:nvSpPr>
          <xdr:spPr>
            <a:xfrm>
              <a:off x="12434" y="2216"/>
              <a:ext cx="287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1" name="Rectangle 651"/>
            <xdr:cNvSpPr>
              <a:spLocks/>
            </xdr:cNvSpPr>
          </xdr:nvSpPr>
          <xdr:spPr>
            <a:xfrm>
              <a:off x="14721" y="1539"/>
              <a:ext cx="118" cy="246"/>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2" name="Line 652"/>
            <xdr:cNvSpPr>
              <a:spLocks/>
            </xdr:cNvSpPr>
          </xdr:nvSpPr>
          <xdr:spPr>
            <a:xfrm>
              <a:off x="12434" y="1108"/>
              <a:ext cx="23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3" name="Line 653"/>
            <xdr:cNvSpPr>
              <a:spLocks/>
            </xdr:cNvSpPr>
          </xdr:nvSpPr>
          <xdr:spPr>
            <a:xfrm>
              <a:off x="13020" y="1477"/>
              <a:ext cx="164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4" name="Arc 654"/>
            <xdr:cNvSpPr>
              <a:spLocks/>
            </xdr:cNvSpPr>
          </xdr:nvSpPr>
          <xdr:spPr>
            <a:xfrm>
              <a:off x="15191" y="1847"/>
              <a:ext cx="293" cy="184"/>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5" name="Arc 655"/>
            <xdr:cNvSpPr>
              <a:spLocks/>
            </xdr:cNvSpPr>
          </xdr:nvSpPr>
          <xdr:spPr>
            <a:xfrm flipV="1">
              <a:off x="15249" y="2031"/>
              <a:ext cx="235" cy="18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6" name="Line 656"/>
            <xdr:cNvSpPr>
              <a:spLocks/>
            </xdr:cNvSpPr>
          </xdr:nvSpPr>
          <xdr:spPr>
            <a:xfrm>
              <a:off x="13079" y="1477"/>
              <a:ext cx="0" cy="24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7" name="Line 657"/>
            <xdr:cNvSpPr>
              <a:spLocks/>
            </xdr:cNvSpPr>
          </xdr:nvSpPr>
          <xdr:spPr>
            <a:xfrm>
              <a:off x="14428" y="1477"/>
              <a:ext cx="0" cy="24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8" name="Line 658"/>
            <xdr:cNvSpPr>
              <a:spLocks/>
            </xdr:cNvSpPr>
          </xdr:nvSpPr>
          <xdr:spPr>
            <a:xfrm>
              <a:off x="13079" y="1723"/>
              <a:ext cx="134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18</xdr:row>
      <xdr:rowOff>9525</xdr:rowOff>
    </xdr:from>
    <xdr:to>
      <xdr:col>5</xdr:col>
      <xdr:colOff>371475</xdr:colOff>
      <xdr:row>41</xdr:row>
      <xdr:rowOff>152400</xdr:rowOff>
    </xdr:to>
    <xdr:grpSp>
      <xdr:nvGrpSpPr>
        <xdr:cNvPr id="1" name="Group 502"/>
        <xdr:cNvGrpSpPr>
          <a:grpSpLocks/>
        </xdr:cNvGrpSpPr>
      </xdr:nvGrpSpPr>
      <xdr:grpSpPr>
        <a:xfrm>
          <a:off x="1428750" y="3629025"/>
          <a:ext cx="3429000" cy="4086225"/>
          <a:chOff x="-1610" y="-807"/>
          <a:chExt cx="18452" cy="20745"/>
        </a:xfrm>
        <a:solidFill>
          <a:srgbClr val="FFFFFF"/>
        </a:solidFill>
      </xdr:grpSpPr>
      <xdr:sp>
        <xdr:nvSpPr>
          <xdr:cNvPr id="2" name="Oval 503"/>
          <xdr:cNvSpPr>
            <a:spLocks/>
          </xdr:cNvSpPr>
        </xdr:nvSpPr>
        <xdr:spPr>
          <a:xfrm>
            <a:off x="-185" y="11116"/>
            <a:ext cx="15357" cy="5031"/>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3" name="Group 504"/>
          <xdr:cNvGrpSpPr>
            <a:grpSpLocks/>
          </xdr:cNvGrpSpPr>
        </xdr:nvGrpSpPr>
        <xdr:grpSpPr>
          <a:xfrm>
            <a:off x="-185" y="7641"/>
            <a:ext cx="15481" cy="12297"/>
            <a:chOff x="-186" y="7640"/>
            <a:chExt cx="15480" cy="12298"/>
          </a:xfrm>
          <a:solidFill>
            <a:srgbClr val="FFFFFF"/>
          </a:solidFill>
        </xdr:grpSpPr>
        <xdr:grpSp>
          <xdr:nvGrpSpPr>
            <xdr:cNvPr id="4" name="Group 505"/>
            <xdr:cNvGrpSpPr>
              <a:grpSpLocks/>
            </xdr:cNvGrpSpPr>
          </xdr:nvGrpSpPr>
          <xdr:grpSpPr>
            <a:xfrm>
              <a:off x="-186" y="7640"/>
              <a:ext cx="15418" cy="6026"/>
              <a:chOff x="-186" y="7640"/>
              <a:chExt cx="15418" cy="6025"/>
            </a:xfrm>
            <a:solidFill>
              <a:srgbClr val="FFFFFF"/>
            </a:solidFill>
          </xdr:grpSpPr>
          <xdr:sp>
            <xdr:nvSpPr>
              <xdr:cNvPr id="5" name="Arc 506"/>
              <xdr:cNvSpPr>
                <a:spLocks/>
              </xdr:cNvSpPr>
            </xdr:nvSpPr>
            <xdr:spPr>
              <a:xfrm flipH="1">
                <a:off x="-186" y="7640"/>
                <a:ext cx="7616" cy="6025"/>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 name="Arc 507"/>
              <xdr:cNvSpPr>
                <a:spLocks/>
              </xdr:cNvSpPr>
            </xdr:nvSpPr>
            <xdr:spPr>
              <a:xfrm>
                <a:off x="7369" y="7640"/>
                <a:ext cx="7863" cy="590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7" name="Group 508"/>
            <xdr:cNvGrpSpPr>
              <a:grpSpLocks/>
            </xdr:cNvGrpSpPr>
          </xdr:nvGrpSpPr>
          <xdr:grpSpPr>
            <a:xfrm>
              <a:off x="-186" y="13850"/>
              <a:ext cx="15480" cy="6088"/>
              <a:chOff x="-186" y="13851"/>
              <a:chExt cx="15480" cy="6087"/>
            </a:xfrm>
            <a:solidFill>
              <a:srgbClr val="FFFFFF"/>
            </a:solidFill>
          </xdr:grpSpPr>
          <xdr:sp>
            <xdr:nvSpPr>
              <xdr:cNvPr id="8" name="Arc 509"/>
              <xdr:cNvSpPr>
                <a:spLocks/>
              </xdr:cNvSpPr>
            </xdr:nvSpPr>
            <xdr:spPr>
              <a:xfrm flipH="1" flipV="1">
                <a:off x="-186" y="13851"/>
                <a:ext cx="7616" cy="6087"/>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 name="Arc 510"/>
              <xdr:cNvSpPr>
                <a:spLocks/>
              </xdr:cNvSpPr>
            </xdr:nvSpPr>
            <xdr:spPr>
              <a:xfrm flipV="1">
                <a:off x="7430" y="13851"/>
                <a:ext cx="7864" cy="6087"/>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0" name="Arc 511"/>
            <xdr:cNvSpPr>
              <a:spLocks/>
            </xdr:cNvSpPr>
          </xdr:nvSpPr>
          <xdr:spPr>
            <a:xfrm flipH="1">
              <a:off x="4706" y="7640"/>
              <a:ext cx="2724" cy="844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1" name="Group 512"/>
          <xdr:cNvGrpSpPr>
            <a:grpSpLocks/>
          </xdr:cNvGrpSpPr>
        </xdr:nvGrpSpPr>
        <xdr:grpSpPr>
          <a:xfrm>
            <a:off x="7307" y="7641"/>
            <a:ext cx="6071" cy="7764"/>
            <a:chOff x="7306" y="7640"/>
            <a:chExt cx="6069" cy="7764"/>
          </a:xfrm>
          <a:solidFill>
            <a:srgbClr val="FFFFFF"/>
          </a:solidFill>
        </xdr:grpSpPr>
        <xdr:sp>
          <xdr:nvSpPr>
            <xdr:cNvPr id="12" name="Arc 513"/>
            <xdr:cNvSpPr>
              <a:spLocks/>
            </xdr:cNvSpPr>
          </xdr:nvSpPr>
          <xdr:spPr>
            <a:xfrm>
              <a:off x="7430" y="7640"/>
              <a:ext cx="5945" cy="7764"/>
            </a:xfrm>
            <a:prstGeom prst="arc">
              <a:avLst/>
            </a:prstGeom>
            <a:no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 name="Line 514"/>
            <xdr:cNvSpPr>
              <a:spLocks/>
            </xdr:cNvSpPr>
          </xdr:nvSpPr>
          <xdr:spPr>
            <a:xfrm flipV="1">
              <a:off x="7306" y="10870"/>
              <a:ext cx="5016" cy="2609"/>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4" name="Group 515"/>
          <xdr:cNvGrpSpPr>
            <a:grpSpLocks/>
          </xdr:cNvGrpSpPr>
        </xdr:nvGrpSpPr>
        <xdr:grpSpPr>
          <a:xfrm>
            <a:off x="-1610" y="5712"/>
            <a:ext cx="18452" cy="10995"/>
            <a:chOff x="-1610" y="5714"/>
            <a:chExt cx="18452" cy="10994"/>
          </a:xfrm>
          <a:solidFill>
            <a:srgbClr val="FFFFFF"/>
          </a:solidFill>
        </xdr:grpSpPr>
        <xdr:sp>
          <xdr:nvSpPr>
            <xdr:cNvPr id="15" name="Line 516"/>
            <xdr:cNvSpPr>
              <a:spLocks/>
            </xdr:cNvSpPr>
          </xdr:nvSpPr>
          <xdr:spPr>
            <a:xfrm flipV="1">
              <a:off x="-1610" y="13479"/>
              <a:ext cx="18452"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 name="Line 517"/>
            <xdr:cNvSpPr>
              <a:spLocks/>
            </xdr:cNvSpPr>
          </xdr:nvSpPr>
          <xdr:spPr>
            <a:xfrm flipH="1">
              <a:off x="4087" y="11118"/>
              <a:ext cx="5632" cy="559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 name="Line 518"/>
            <xdr:cNvSpPr>
              <a:spLocks/>
            </xdr:cNvSpPr>
          </xdr:nvSpPr>
          <xdr:spPr>
            <a:xfrm flipV="1">
              <a:off x="7367" y="5714"/>
              <a:ext cx="0" cy="7765"/>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8" name="Line 519"/>
          <xdr:cNvSpPr>
            <a:spLocks/>
          </xdr:cNvSpPr>
        </xdr:nvSpPr>
        <xdr:spPr>
          <a:xfrm>
            <a:off x="9720" y="9068"/>
            <a:ext cx="2537" cy="180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 name="Line 520"/>
          <xdr:cNvSpPr>
            <a:spLocks/>
          </xdr:cNvSpPr>
        </xdr:nvSpPr>
        <xdr:spPr>
          <a:xfrm>
            <a:off x="11205" y="184"/>
            <a:ext cx="5014" cy="3604"/>
          </a:xfrm>
          <a:prstGeom prst="line">
            <a:avLst/>
          </a:prstGeom>
          <a:solidFill>
            <a:srgbClr val="FFFFFF"/>
          </a:solidFill>
          <a:ln w="2476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 name="Line 521"/>
          <xdr:cNvSpPr>
            <a:spLocks/>
          </xdr:cNvSpPr>
        </xdr:nvSpPr>
        <xdr:spPr>
          <a:xfrm flipV="1">
            <a:off x="10776" y="246"/>
            <a:ext cx="5014" cy="3231"/>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 name="Line 522"/>
          <xdr:cNvSpPr>
            <a:spLocks/>
          </xdr:cNvSpPr>
        </xdr:nvSpPr>
        <xdr:spPr>
          <a:xfrm flipV="1">
            <a:off x="13438" y="246"/>
            <a:ext cx="803" cy="1743"/>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22" name="Group 523"/>
          <xdr:cNvGrpSpPr>
            <a:grpSpLocks/>
          </xdr:cNvGrpSpPr>
        </xdr:nvGrpSpPr>
        <xdr:grpSpPr>
          <a:xfrm>
            <a:off x="7367" y="1926"/>
            <a:ext cx="6071" cy="13977"/>
            <a:chOff x="7368" y="1925"/>
            <a:chExt cx="6069" cy="13976"/>
          </a:xfrm>
          <a:solidFill>
            <a:srgbClr val="FFFFFF"/>
          </a:solidFill>
        </xdr:grpSpPr>
        <xdr:grpSp>
          <xdr:nvGrpSpPr>
            <xdr:cNvPr id="23" name="Group 524"/>
            <xdr:cNvGrpSpPr>
              <a:grpSpLocks/>
            </xdr:cNvGrpSpPr>
          </xdr:nvGrpSpPr>
          <xdr:grpSpPr>
            <a:xfrm>
              <a:off x="7368" y="1925"/>
              <a:ext cx="6069" cy="13976"/>
              <a:chOff x="7368" y="1925"/>
              <a:chExt cx="6069" cy="13976"/>
            </a:xfrm>
            <a:solidFill>
              <a:srgbClr val="FFFFFF"/>
            </a:solidFill>
          </xdr:grpSpPr>
          <xdr:sp>
            <xdr:nvSpPr>
              <xdr:cNvPr id="24" name="Arc 525"/>
              <xdr:cNvSpPr>
                <a:spLocks/>
              </xdr:cNvSpPr>
            </xdr:nvSpPr>
            <xdr:spPr>
              <a:xfrm>
                <a:off x="7492" y="7641"/>
                <a:ext cx="3776" cy="8260"/>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 name="Line 526"/>
              <xdr:cNvSpPr>
                <a:spLocks/>
              </xdr:cNvSpPr>
            </xdr:nvSpPr>
            <xdr:spPr>
              <a:xfrm flipV="1">
                <a:off x="7368" y="1925"/>
                <a:ext cx="6069" cy="11555"/>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6" name="Line 527"/>
            <xdr:cNvSpPr>
              <a:spLocks/>
            </xdr:cNvSpPr>
          </xdr:nvSpPr>
          <xdr:spPr>
            <a:xfrm>
              <a:off x="7430" y="13417"/>
              <a:ext cx="3839" cy="2421"/>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7" name="Line 528"/>
          <xdr:cNvSpPr>
            <a:spLocks/>
          </xdr:cNvSpPr>
        </xdr:nvSpPr>
        <xdr:spPr>
          <a:xfrm flipV="1">
            <a:off x="12261" y="-558"/>
            <a:ext cx="1485" cy="1143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Oval 529"/>
          <xdr:cNvSpPr>
            <a:spLocks/>
          </xdr:cNvSpPr>
        </xdr:nvSpPr>
        <xdr:spPr>
          <a:xfrm>
            <a:off x="13562" y="-807"/>
            <a:ext cx="374" cy="373"/>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29" name="Group 530"/>
          <xdr:cNvGrpSpPr>
            <a:grpSpLocks/>
          </xdr:cNvGrpSpPr>
        </xdr:nvGrpSpPr>
        <xdr:grpSpPr>
          <a:xfrm>
            <a:off x="11828" y="1055"/>
            <a:ext cx="3220" cy="1120"/>
            <a:chOff x="11827" y="1056"/>
            <a:chExt cx="3219" cy="1118"/>
          </a:xfrm>
          <a:solidFill>
            <a:srgbClr val="FFFFFF"/>
          </a:solidFill>
        </xdr:grpSpPr>
        <xdr:sp>
          <xdr:nvSpPr>
            <xdr:cNvPr id="30" name="Line 531"/>
            <xdr:cNvSpPr>
              <a:spLocks/>
            </xdr:cNvSpPr>
          </xdr:nvSpPr>
          <xdr:spPr>
            <a:xfrm flipH="1">
              <a:off x="11827" y="1056"/>
              <a:ext cx="0" cy="111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 name="Arc 532"/>
            <xdr:cNvSpPr>
              <a:spLocks/>
            </xdr:cNvSpPr>
          </xdr:nvSpPr>
          <xdr:spPr>
            <a:xfrm>
              <a:off x="14056" y="1429"/>
              <a:ext cx="495" cy="311"/>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 name="Line 533"/>
            <xdr:cNvSpPr>
              <a:spLocks/>
            </xdr:cNvSpPr>
          </xdr:nvSpPr>
          <xdr:spPr>
            <a:xfrm>
              <a:off x="12074" y="1056"/>
              <a:ext cx="372" cy="37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Line 534"/>
            <xdr:cNvSpPr>
              <a:spLocks/>
            </xdr:cNvSpPr>
          </xdr:nvSpPr>
          <xdr:spPr>
            <a:xfrm flipH="1" flipV="1">
              <a:off x="14551" y="1740"/>
              <a:ext cx="248" cy="6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 name="Rectangle 535"/>
            <xdr:cNvSpPr>
              <a:spLocks/>
            </xdr:cNvSpPr>
          </xdr:nvSpPr>
          <xdr:spPr>
            <a:xfrm>
              <a:off x="11889" y="1802"/>
              <a:ext cx="1609" cy="12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 name="Line 536"/>
            <xdr:cNvSpPr>
              <a:spLocks/>
            </xdr:cNvSpPr>
          </xdr:nvSpPr>
          <xdr:spPr>
            <a:xfrm>
              <a:off x="11827" y="2174"/>
              <a:ext cx="30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Rectangle 537"/>
            <xdr:cNvSpPr>
              <a:spLocks/>
            </xdr:cNvSpPr>
          </xdr:nvSpPr>
          <xdr:spPr>
            <a:xfrm>
              <a:off x="14241" y="1491"/>
              <a:ext cx="124" cy="249"/>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 name="Line 538"/>
            <xdr:cNvSpPr>
              <a:spLocks/>
            </xdr:cNvSpPr>
          </xdr:nvSpPr>
          <xdr:spPr>
            <a:xfrm>
              <a:off x="11827" y="1056"/>
              <a:ext cx="24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 name="Line 539"/>
            <xdr:cNvSpPr>
              <a:spLocks/>
            </xdr:cNvSpPr>
          </xdr:nvSpPr>
          <xdr:spPr>
            <a:xfrm>
              <a:off x="12446" y="1429"/>
              <a:ext cx="17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Arc 540"/>
            <xdr:cNvSpPr>
              <a:spLocks/>
            </xdr:cNvSpPr>
          </xdr:nvSpPr>
          <xdr:spPr>
            <a:xfrm>
              <a:off x="14737" y="1802"/>
              <a:ext cx="309" cy="186"/>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 name="Arc 541"/>
            <xdr:cNvSpPr>
              <a:spLocks/>
            </xdr:cNvSpPr>
          </xdr:nvSpPr>
          <xdr:spPr>
            <a:xfrm flipV="1">
              <a:off x="14799" y="1988"/>
              <a:ext cx="247" cy="186"/>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 name="Line 542"/>
            <xdr:cNvSpPr>
              <a:spLocks/>
            </xdr:cNvSpPr>
          </xdr:nvSpPr>
          <xdr:spPr>
            <a:xfrm>
              <a:off x="12508" y="1429"/>
              <a:ext cx="0" cy="24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Line 543"/>
            <xdr:cNvSpPr>
              <a:spLocks/>
            </xdr:cNvSpPr>
          </xdr:nvSpPr>
          <xdr:spPr>
            <a:xfrm>
              <a:off x="13932" y="1429"/>
              <a:ext cx="0" cy="24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 name="Line 544"/>
            <xdr:cNvSpPr>
              <a:spLocks/>
            </xdr:cNvSpPr>
          </xdr:nvSpPr>
          <xdr:spPr>
            <a:xfrm>
              <a:off x="12508" y="1677"/>
              <a:ext cx="14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8</xdr:col>
      <xdr:colOff>28575</xdr:colOff>
      <xdr:row>23</xdr:row>
      <xdr:rowOff>114300</xdr:rowOff>
    </xdr:from>
    <xdr:to>
      <xdr:col>10</xdr:col>
      <xdr:colOff>371475</xdr:colOff>
      <xdr:row>32</xdr:row>
      <xdr:rowOff>85725</xdr:rowOff>
    </xdr:to>
    <xdr:sp>
      <xdr:nvSpPr>
        <xdr:cNvPr id="44" name="Line 545"/>
        <xdr:cNvSpPr>
          <a:spLocks/>
        </xdr:cNvSpPr>
      </xdr:nvSpPr>
      <xdr:spPr>
        <a:xfrm>
          <a:off x="7572375" y="4591050"/>
          <a:ext cx="2076450" cy="1514475"/>
        </a:xfrm>
        <a:prstGeom prst="line">
          <a:avLst/>
        </a:prstGeom>
        <a:solidFill>
          <a:srgbClr val="FFFFFF"/>
        </a:solidFill>
        <a:ln w="2476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19050</xdr:colOff>
      <xdr:row>25</xdr:row>
      <xdr:rowOff>0</xdr:rowOff>
    </xdr:from>
    <xdr:to>
      <xdr:col>10</xdr:col>
      <xdr:colOff>180975</xdr:colOff>
      <xdr:row>31</xdr:row>
      <xdr:rowOff>133350</xdr:rowOff>
    </xdr:to>
    <xdr:sp>
      <xdr:nvSpPr>
        <xdr:cNvPr id="45" name="Line 546"/>
        <xdr:cNvSpPr>
          <a:spLocks/>
        </xdr:cNvSpPr>
      </xdr:nvSpPr>
      <xdr:spPr>
        <a:xfrm flipV="1">
          <a:off x="7562850" y="4819650"/>
          <a:ext cx="1895475" cy="116205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238125</xdr:colOff>
      <xdr:row>22</xdr:row>
      <xdr:rowOff>114300</xdr:rowOff>
    </xdr:from>
    <xdr:to>
      <xdr:col>10</xdr:col>
      <xdr:colOff>123825</xdr:colOff>
      <xdr:row>28</xdr:row>
      <xdr:rowOff>0</xdr:rowOff>
    </xdr:to>
    <xdr:sp>
      <xdr:nvSpPr>
        <xdr:cNvPr id="46" name="Line 547"/>
        <xdr:cNvSpPr>
          <a:spLocks/>
        </xdr:cNvSpPr>
      </xdr:nvSpPr>
      <xdr:spPr>
        <a:xfrm flipV="1">
          <a:off x="8648700" y="4419600"/>
          <a:ext cx="752475" cy="914400"/>
        </a:xfrm>
        <a:prstGeom prst="line">
          <a:avLst/>
        </a:prstGeom>
        <a:solidFill>
          <a:srgbClr val="FFFFFF"/>
        </a:solidFill>
        <a:ln w="1905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476250</xdr:colOff>
      <xdr:row>27</xdr:row>
      <xdr:rowOff>152400</xdr:rowOff>
    </xdr:from>
    <xdr:to>
      <xdr:col>9</xdr:col>
      <xdr:colOff>247650</xdr:colOff>
      <xdr:row>38</xdr:row>
      <xdr:rowOff>47625</xdr:rowOff>
    </xdr:to>
    <xdr:sp>
      <xdr:nvSpPr>
        <xdr:cNvPr id="47" name="Line 548"/>
        <xdr:cNvSpPr>
          <a:spLocks/>
        </xdr:cNvSpPr>
      </xdr:nvSpPr>
      <xdr:spPr>
        <a:xfrm flipV="1">
          <a:off x="6886575" y="5314950"/>
          <a:ext cx="1771650" cy="1781175"/>
        </a:xfrm>
        <a:prstGeom prst="line">
          <a:avLst/>
        </a:prstGeom>
        <a:solidFill>
          <a:srgbClr val="FFFFFF"/>
        </a:solidFill>
        <a:ln w="1905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771525</xdr:colOff>
      <xdr:row>21</xdr:row>
      <xdr:rowOff>142875</xdr:rowOff>
    </xdr:from>
    <xdr:to>
      <xdr:col>9</xdr:col>
      <xdr:colOff>409575</xdr:colOff>
      <xdr:row>40</xdr:row>
      <xdr:rowOff>142875</xdr:rowOff>
    </xdr:to>
    <xdr:sp>
      <xdr:nvSpPr>
        <xdr:cNvPr id="48" name="Line 549"/>
        <xdr:cNvSpPr>
          <a:spLocks/>
        </xdr:cNvSpPr>
      </xdr:nvSpPr>
      <xdr:spPr>
        <a:xfrm flipV="1">
          <a:off x="8315325" y="4276725"/>
          <a:ext cx="504825" cy="3257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285750</xdr:colOff>
      <xdr:row>21</xdr:row>
      <xdr:rowOff>47625</xdr:rowOff>
    </xdr:from>
    <xdr:to>
      <xdr:col>9</xdr:col>
      <xdr:colOff>504825</xdr:colOff>
      <xdr:row>22</xdr:row>
      <xdr:rowOff>76200</xdr:rowOff>
    </xdr:to>
    <xdr:sp>
      <xdr:nvSpPr>
        <xdr:cNvPr id="49" name="Oval 550"/>
        <xdr:cNvSpPr>
          <a:spLocks/>
        </xdr:cNvSpPr>
      </xdr:nvSpPr>
      <xdr:spPr>
        <a:xfrm>
          <a:off x="8696325" y="4181475"/>
          <a:ext cx="228600" cy="200025"/>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314325</xdr:colOff>
      <xdr:row>17</xdr:row>
      <xdr:rowOff>0</xdr:rowOff>
    </xdr:from>
    <xdr:to>
      <xdr:col>9</xdr:col>
      <xdr:colOff>533400</xdr:colOff>
      <xdr:row>19</xdr:row>
      <xdr:rowOff>152400</xdr:rowOff>
    </xdr:to>
    <xdr:sp>
      <xdr:nvSpPr>
        <xdr:cNvPr id="50" name="Line 559"/>
        <xdr:cNvSpPr>
          <a:spLocks/>
        </xdr:cNvSpPr>
      </xdr:nvSpPr>
      <xdr:spPr>
        <a:xfrm flipH="1">
          <a:off x="8724900" y="3448050"/>
          <a:ext cx="219075" cy="495300"/>
        </a:xfrm>
        <a:prstGeom prst="line">
          <a:avLst/>
        </a:prstGeom>
        <a:solidFill>
          <a:srgbClr val="FFFFFF"/>
        </a:solidFill>
        <a:ln w="9525" cmpd="sng">
          <a:solidFill>
            <a:srgbClr val="3366FF"/>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638175</xdr:colOff>
      <xdr:row>20</xdr:row>
      <xdr:rowOff>66675</xdr:rowOff>
    </xdr:from>
    <xdr:to>
      <xdr:col>10</xdr:col>
      <xdr:colOff>190500</xdr:colOff>
      <xdr:row>23</xdr:row>
      <xdr:rowOff>47625</xdr:rowOff>
    </xdr:to>
    <xdr:grpSp>
      <xdr:nvGrpSpPr>
        <xdr:cNvPr id="51" name="Group 560"/>
        <xdr:cNvGrpSpPr>
          <a:grpSpLocks/>
        </xdr:cNvGrpSpPr>
      </xdr:nvGrpSpPr>
      <xdr:grpSpPr>
        <a:xfrm>
          <a:off x="8181975" y="4029075"/>
          <a:ext cx="1285875" cy="495300"/>
          <a:chOff x="2759" y="2798"/>
          <a:chExt cx="10603" cy="2440"/>
        </a:xfrm>
        <a:solidFill>
          <a:srgbClr val="FFFFFF"/>
        </a:solidFill>
      </xdr:grpSpPr>
      <xdr:sp>
        <xdr:nvSpPr>
          <xdr:cNvPr id="52" name="Line 561"/>
          <xdr:cNvSpPr>
            <a:spLocks/>
          </xdr:cNvSpPr>
        </xdr:nvSpPr>
        <xdr:spPr>
          <a:xfrm>
            <a:off x="2759" y="4464"/>
            <a:ext cx="5861" cy="774"/>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 name="Line 562"/>
          <xdr:cNvSpPr>
            <a:spLocks/>
          </xdr:cNvSpPr>
        </xdr:nvSpPr>
        <xdr:spPr>
          <a:xfrm>
            <a:off x="5086" y="3631"/>
            <a:ext cx="6036" cy="833"/>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 name="Line 563"/>
          <xdr:cNvSpPr>
            <a:spLocks/>
          </xdr:cNvSpPr>
        </xdr:nvSpPr>
        <xdr:spPr>
          <a:xfrm flipV="1">
            <a:off x="5776" y="3155"/>
            <a:ext cx="4570" cy="16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 name="Line 564"/>
          <xdr:cNvSpPr>
            <a:spLocks/>
          </xdr:cNvSpPr>
        </xdr:nvSpPr>
        <xdr:spPr>
          <a:xfrm flipV="1">
            <a:off x="8707" y="3631"/>
            <a:ext cx="4655" cy="160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 name="Line 565"/>
          <xdr:cNvSpPr>
            <a:spLocks/>
          </xdr:cNvSpPr>
        </xdr:nvSpPr>
        <xdr:spPr>
          <a:xfrm flipV="1">
            <a:off x="2759" y="2798"/>
            <a:ext cx="4570" cy="160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7" name="Line 566"/>
          <xdr:cNvSpPr>
            <a:spLocks/>
          </xdr:cNvSpPr>
        </xdr:nvSpPr>
        <xdr:spPr>
          <a:xfrm>
            <a:off x="7329" y="2798"/>
            <a:ext cx="5948" cy="774"/>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628650</xdr:colOff>
      <xdr:row>26</xdr:row>
      <xdr:rowOff>114300</xdr:rowOff>
    </xdr:from>
    <xdr:to>
      <xdr:col>9</xdr:col>
      <xdr:colOff>714375</xdr:colOff>
      <xdr:row>28</xdr:row>
      <xdr:rowOff>142875</xdr:rowOff>
    </xdr:to>
    <xdr:grpSp>
      <xdr:nvGrpSpPr>
        <xdr:cNvPr id="58" name="Group 572"/>
        <xdr:cNvGrpSpPr>
          <a:grpSpLocks/>
        </xdr:cNvGrpSpPr>
      </xdr:nvGrpSpPr>
      <xdr:grpSpPr>
        <a:xfrm>
          <a:off x="8172450" y="5105400"/>
          <a:ext cx="952500" cy="371475"/>
          <a:chOff x="3535" y="7679"/>
          <a:chExt cx="6207" cy="1785"/>
        </a:xfrm>
        <a:solidFill>
          <a:srgbClr val="FFFFFF"/>
        </a:solidFill>
      </xdr:grpSpPr>
      <xdr:sp>
        <xdr:nvSpPr>
          <xdr:cNvPr id="59" name="Line 573"/>
          <xdr:cNvSpPr>
            <a:spLocks/>
          </xdr:cNvSpPr>
        </xdr:nvSpPr>
        <xdr:spPr>
          <a:xfrm flipH="1">
            <a:off x="3535" y="7679"/>
            <a:ext cx="0" cy="17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 name="Arc 574"/>
          <xdr:cNvSpPr>
            <a:spLocks/>
          </xdr:cNvSpPr>
        </xdr:nvSpPr>
        <xdr:spPr>
          <a:xfrm>
            <a:off x="7846" y="8274"/>
            <a:ext cx="948" cy="476"/>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1" name="Line 575"/>
          <xdr:cNvSpPr>
            <a:spLocks/>
          </xdr:cNvSpPr>
        </xdr:nvSpPr>
        <xdr:spPr>
          <a:xfrm>
            <a:off x="4052" y="7679"/>
            <a:ext cx="691" cy="59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2" name="Line 576"/>
          <xdr:cNvSpPr>
            <a:spLocks/>
          </xdr:cNvSpPr>
        </xdr:nvSpPr>
        <xdr:spPr>
          <a:xfrm flipH="1" flipV="1">
            <a:off x="8792" y="8750"/>
            <a:ext cx="431" cy="1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3" name="Rectangle 577"/>
          <xdr:cNvSpPr>
            <a:spLocks/>
          </xdr:cNvSpPr>
        </xdr:nvSpPr>
        <xdr:spPr>
          <a:xfrm>
            <a:off x="3620" y="8869"/>
            <a:ext cx="3104" cy="17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4" name="Line 578"/>
          <xdr:cNvSpPr>
            <a:spLocks/>
          </xdr:cNvSpPr>
        </xdr:nvSpPr>
        <xdr:spPr>
          <a:xfrm>
            <a:off x="3535" y="9464"/>
            <a:ext cx="586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5" name="Rectangle 579"/>
          <xdr:cNvSpPr>
            <a:spLocks/>
          </xdr:cNvSpPr>
        </xdr:nvSpPr>
        <xdr:spPr>
          <a:xfrm>
            <a:off x="8190" y="8393"/>
            <a:ext cx="258" cy="357"/>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6" name="Line 580"/>
          <xdr:cNvSpPr>
            <a:spLocks/>
          </xdr:cNvSpPr>
        </xdr:nvSpPr>
        <xdr:spPr>
          <a:xfrm>
            <a:off x="3535" y="7679"/>
            <a:ext cx="5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7" name="Line 581"/>
          <xdr:cNvSpPr>
            <a:spLocks/>
          </xdr:cNvSpPr>
        </xdr:nvSpPr>
        <xdr:spPr>
          <a:xfrm>
            <a:off x="4742" y="8274"/>
            <a:ext cx="336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8" name="Arc 582"/>
          <xdr:cNvSpPr>
            <a:spLocks/>
          </xdr:cNvSpPr>
        </xdr:nvSpPr>
        <xdr:spPr>
          <a:xfrm>
            <a:off x="9138" y="8869"/>
            <a:ext cx="604" cy="29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9" name="Arc 583"/>
          <xdr:cNvSpPr>
            <a:spLocks/>
          </xdr:cNvSpPr>
        </xdr:nvSpPr>
        <xdr:spPr>
          <a:xfrm flipV="1">
            <a:off x="9224" y="9167"/>
            <a:ext cx="518" cy="297"/>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0" name="Line 584"/>
          <xdr:cNvSpPr>
            <a:spLocks/>
          </xdr:cNvSpPr>
        </xdr:nvSpPr>
        <xdr:spPr>
          <a:xfrm>
            <a:off x="4828" y="8274"/>
            <a:ext cx="0" cy="41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1" name="Line 585"/>
          <xdr:cNvSpPr>
            <a:spLocks/>
          </xdr:cNvSpPr>
        </xdr:nvSpPr>
        <xdr:spPr>
          <a:xfrm>
            <a:off x="7587" y="8274"/>
            <a:ext cx="0" cy="41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2" name="Line 586"/>
          <xdr:cNvSpPr>
            <a:spLocks/>
          </xdr:cNvSpPr>
        </xdr:nvSpPr>
        <xdr:spPr>
          <a:xfrm>
            <a:off x="4828" y="8691"/>
            <a:ext cx="275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790575</xdr:colOff>
      <xdr:row>22</xdr:row>
      <xdr:rowOff>66675</xdr:rowOff>
    </xdr:from>
    <xdr:to>
      <xdr:col>10</xdr:col>
      <xdr:colOff>152400</xdr:colOff>
      <xdr:row>22</xdr:row>
      <xdr:rowOff>104775</xdr:rowOff>
    </xdr:to>
    <xdr:sp>
      <xdr:nvSpPr>
        <xdr:cNvPr id="73" name="Line 587"/>
        <xdr:cNvSpPr>
          <a:spLocks/>
        </xdr:cNvSpPr>
      </xdr:nvSpPr>
      <xdr:spPr>
        <a:xfrm>
          <a:off x="9201150" y="4371975"/>
          <a:ext cx="228600" cy="38100"/>
        </a:xfrm>
        <a:prstGeom prst="line">
          <a:avLst/>
        </a:prstGeom>
        <a:noFill/>
        <a:ln w="1905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314325</xdr:colOff>
      <xdr:row>16</xdr:row>
      <xdr:rowOff>76200</xdr:rowOff>
    </xdr:from>
    <xdr:to>
      <xdr:col>9</xdr:col>
      <xdr:colOff>0</xdr:colOff>
      <xdr:row>22</xdr:row>
      <xdr:rowOff>38100</xdr:rowOff>
    </xdr:to>
    <xdr:sp>
      <xdr:nvSpPr>
        <xdr:cNvPr id="74" name="Polygon 588"/>
        <xdr:cNvSpPr>
          <a:spLocks/>
        </xdr:cNvSpPr>
      </xdr:nvSpPr>
      <xdr:spPr>
        <a:xfrm>
          <a:off x="7858125" y="3352800"/>
          <a:ext cx="552450" cy="990600"/>
        </a:xfrm>
        <a:custGeom>
          <a:pathLst>
            <a:path h="81" w="48">
              <a:moveTo>
                <a:pt x="48" y="0"/>
              </a:moveTo>
              <a:cubicBezTo>
                <a:pt x="39" y="1"/>
                <a:pt x="32" y="8"/>
                <a:pt x="24" y="11"/>
              </a:cubicBezTo>
              <a:cubicBezTo>
                <a:pt x="20" y="13"/>
                <a:pt x="19" y="15"/>
                <a:pt x="16" y="18"/>
              </a:cubicBezTo>
              <a:cubicBezTo>
                <a:pt x="13" y="23"/>
                <a:pt x="9" y="28"/>
                <a:pt x="6" y="33"/>
              </a:cubicBezTo>
              <a:cubicBezTo>
                <a:pt x="4" y="38"/>
                <a:pt x="1" y="43"/>
                <a:pt x="0" y="50"/>
              </a:cubicBezTo>
              <a:cubicBezTo>
                <a:pt x="1" y="68"/>
                <a:pt x="6" y="71"/>
                <a:pt x="23" y="77"/>
              </a:cubicBezTo>
              <a:cubicBezTo>
                <a:pt x="25" y="80"/>
                <a:pt x="25" y="81"/>
                <a:pt x="25" y="78"/>
              </a:cubicBezTo>
            </a:path>
          </a:pathLst>
        </a:custGeom>
        <a:noFill/>
        <a:ln w="9525" cmpd="sng">
          <a:solidFill>
            <a:srgbClr val="3366FF"/>
          </a:solidFill>
          <a:headEnd type="none"/>
          <a:tailEnd type="stealth"/>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152400</xdr:colOff>
      <xdr:row>16</xdr:row>
      <xdr:rowOff>76200</xdr:rowOff>
    </xdr:from>
    <xdr:to>
      <xdr:col>9</xdr:col>
      <xdr:colOff>409575</xdr:colOff>
      <xdr:row>24</xdr:row>
      <xdr:rowOff>9525</xdr:rowOff>
    </xdr:to>
    <xdr:sp>
      <xdr:nvSpPr>
        <xdr:cNvPr id="75" name="Polygon 589"/>
        <xdr:cNvSpPr>
          <a:spLocks/>
        </xdr:cNvSpPr>
      </xdr:nvSpPr>
      <xdr:spPr>
        <a:xfrm>
          <a:off x="7696200" y="3352800"/>
          <a:ext cx="1123950" cy="1304925"/>
        </a:xfrm>
        <a:custGeom>
          <a:pathLst>
            <a:path h="107" w="98">
              <a:moveTo>
                <a:pt x="60" y="0"/>
              </a:moveTo>
              <a:cubicBezTo>
                <a:pt x="54" y="1"/>
                <a:pt x="48" y="3"/>
                <a:pt x="42" y="5"/>
              </a:cubicBezTo>
              <a:cubicBezTo>
                <a:pt x="34" y="9"/>
                <a:pt x="38" y="8"/>
                <a:pt x="32" y="10"/>
              </a:cubicBezTo>
              <a:cubicBezTo>
                <a:pt x="22" y="16"/>
                <a:pt x="13" y="24"/>
                <a:pt x="5" y="33"/>
              </a:cubicBezTo>
              <a:cubicBezTo>
                <a:pt x="3" y="38"/>
                <a:pt x="1" y="44"/>
                <a:pt x="0" y="50"/>
              </a:cubicBezTo>
              <a:cubicBezTo>
                <a:pt x="0" y="62"/>
                <a:pt x="0" y="77"/>
                <a:pt x="12" y="85"/>
              </a:cubicBezTo>
              <a:cubicBezTo>
                <a:pt x="20" y="98"/>
                <a:pt x="44" y="105"/>
                <a:pt x="60" y="107"/>
              </a:cubicBezTo>
              <a:cubicBezTo>
                <a:pt x="72" y="106"/>
                <a:pt x="87" y="100"/>
                <a:pt x="98" y="100"/>
              </a:cubicBezTo>
            </a:path>
          </a:pathLst>
        </a:custGeom>
        <a:noFill/>
        <a:ln w="9525" cmpd="sng">
          <a:solidFill>
            <a:srgbClr val="3366FF"/>
          </a:solidFill>
          <a:headEnd type="none"/>
          <a:tailEnd type="stealth"/>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180975</xdr:colOff>
      <xdr:row>16</xdr:row>
      <xdr:rowOff>104775</xdr:rowOff>
    </xdr:from>
    <xdr:to>
      <xdr:col>10</xdr:col>
      <xdr:colOff>657225</xdr:colOff>
      <xdr:row>21</xdr:row>
      <xdr:rowOff>38100</xdr:rowOff>
    </xdr:to>
    <xdr:sp>
      <xdr:nvSpPr>
        <xdr:cNvPr id="76" name="Polygon 590"/>
        <xdr:cNvSpPr>
          <a:spLocks/>
        </xdr:cNvSpPr>
      </xdr:nvSpPr>
      <xdr:spPr>
        <a:xfrm>
          <a:off x="9458325" y="3381375"/>
          <a:ext cx="476250" cy="790575"/>
        </a:xfrm>
        <a:custGeom>
          <a:pathLst>
            <a:path h="65" w="41">
              <a:moveTo>
                <a:pt x="0" y="0"/>
              </a:moveTo>
              <a:cubicBezTo>
                <a:pt x="5" y="0"/>
                <a:pt x="17" y="4"/>
                <a:pt x="17" y="4"/>
              </a:cubicBezTo>
              <a:cubicBezTo>
                <a:pt x="21" y="7"/>
                <a:pt x="26" y="9"/>
                <a:pt x="30" y="13"/>
              </a:cubicBezTo>
              <a:cubicBezTo>
                <a:pt x="32" y="15"/>
                <a:pt x="37" y="20"/>
                <a:pt x="37" y="20"/>
              </a:cubicBezTo>
              <a:cubicBezTo>
                <a:pt x="39" y="26"/>
                <a:pt x="39" y="32"/>
                <a:pt x="41" y="39"/>
              </a:cubicBezTo>
              <a:cubicBezTo>
                <a:pt x="38" y="59"/>
                <a:pt x="22" y="65"/>
                <a:pt x="4" y="65"/>
              </a:cubicBezTo>
            </a:path>
          </a:pathLst>
        </a:custGeom>
        <a:noFill/>
        <a:ln w="9525" cmpd="sng">
          <a:solidFill>
            <a:srgbClr val="3366FF"/>
          </a:solidFill>
          <a:headEnd type="none"/>
          <a:tailEnd type="stealth"/>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1019175</xdr:colOff>
      <xdr:row>184</xdr:row>
      <xdr:rowOff>85725</xdr:rowOff>
    </xdr:from>
    <xdr:to>
      <xdr:col>6</xdr:col>
      <xdr:colOff>304800</xdr:colOff>
      <xdr:row>188</xdr:row>
      <xdr:rowOff>85725</xdr:rowOff>
    </xdr:to>
    <xdr:grpSp>
      <xdr:nvGrpSpPr>
        <xdr:cNvPr id="77" name="Group 629"/>
        <xdr:cNvGrpSpPr>
          <a:grpSpLocks/>
        </xdr:cNvGrpSpPr>
      </xdr:nvGrpSpPr>
      <xdr:grpSpPr>
        <a:xfrm>
          <a:off x="5505450" y="32394525"/>
          <a:ext cx="304800" cy="647700"/>
          <a:chOff x="-4643" y="-3571"/>
          <a:chExt cx="6429" cy="20000"/>
        </a:xfrm>
        <a:solidFill>
          <a:srgbClr val="FFFFFF"/>
        </a:solidFill>
      </xdr:grpSpPr>
      <xdr:sp>
        <xdr:nvSpPr>
          <xdr:cNvPr id="78" name="Line 630"/>
          <xdr:cNvSpPr>
            <a:spLocks/>
          </xdr:cNvSpPr>
        </xdr:nvSpPr>
        <xdr:spPr>
          <a:xfrm>
            <a:off x="-4643" y="-3571"/>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9" name="Line 631"/>
          <xdr:cNvSpPr>
            <a:spLocks/>
          </xdr:cNvSpPr>
        </xdr:nvSpPr>
        <xdr:spPr>
          <a:xfrm>
            <a:off x="-4643" y="-3216"/>
            <a:ext cx="535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0" name="Line 632"/>
          <xdr:cNvSpPr>
            <a:spLocks/>
          </xdr:cNvSpPr>
        </xdr:nvSpPr>
        <xdr:spPr>
          <a:xfrm>
            <a:off x="-4643" y="16429"/>
            <a:ext cx="642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819150</xdr:colOff>
      <xdr:row>190</xdr:row>
      <xdr:rowOff>76200</xdr:rowOff>
    </xdr:from>
    <xdr:to>
      <xdr:col>8</xdr:col>
      <xdr:colOff>57150</xdr:colOff>
      <xdr:row>194</xdr:row>
      <xdr:rowOff>76200</xdr:rowOff>
    </xdr:to>
    <xdr:grpSp>
      <xdr:nvGrpSpPr>
        <xdr:cNvPr id="81" name="Group 633"/>
        <xdr:cNvGrpSpPr>
          <a:grpSpLocks/>
        </xdr:cNvGrpSpPr>
      </xdr:nvGrpSpPr>
      <xdr:grpSpPr>
        <a:xfrm>
          <a:off x="7229475" y="33356550"/>
          <a:ext cx="371475" cy="657225"/>
          <a:chOff x="-3824" y="-2857"/>
          <a:chExt cx="5294" cy="20000"/>
        </a:xfrm>
        <a:solidFill>
          <a:srgbClr val="FFFFFF"/>
        </a:solidFill>
      </xdr:grpSpPr>
      <xdr:sp>
        <xdr:nvSpPr>
          <xdr:cNvPr id="82" name="Line 634"/>
          <xdr:cNvSpPr>
            <a:spLocks/>
          </xdr:cNvSpPr>
        </xdr:nvSpPr>
        <xdr:spPr>
          <a:xfrm>
            <a:off x="-3824"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3" name="Line 635"/>
          <xdr:cNvSpPr>
            <a:spLocks/>
          </xdr:cNvSpPr>
        </xdr:nvSpPr>
        <xdr:spPr>
          <a:xfrm>
            <a:off x="-3824" y="-2502"/>
            <a:ext cx="38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4" name="Line 636"/>
          <xdr:cNvSpPr>
            <a:spLocks/>
          </xdr:cNvSpPr>
        </xdr:nvSpPr>
        <xdr:spPr>
          <a:xfrm>
            <a:off x="-3824" y="17143"/>
            <a:ext cx="529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809625</xdr:colOff>
      <xdr:row>190</xdr:row>
      <xdr:rowOff>76200</xdr:rowOff>
    </xdr:from>
    <xdr:to>
      <xdr:col>11</xdr:col>
      <xdr:colOff>66675</xdr:colOff>
      <xdr:row>194</xdr:row>
      <xdr:rowOff>85725</xdr:rowOff>
    </xdr:to>
    <xdr:grpSp>
      <xdr:nvGrpSpPr>
        <xdr:cNvPr id="85" name="Group 637"/>
        <xdr:cNvGrpSpPr>
          <a:grpSpLocks/>
        </xdr:cNvGrpSpPr>
      </xdr:nvGrpSpPr>
      <xdr:grpSpPr>
        <a:xfrm>
          <a:off x="10086975" y="33356550"/>
          <a:ext cx="123825" cy="666750"/>
          <a:chOff x="-3200" y="-2857"/>
          <a:chExt cx="4800" cy="20357"/>
        </a:xfrm>
        <a:solidFill>
          <a:srgbClr val="FFFFFF"/>
        </a:solidFill>
      </xdr:grpSpPr>
      <xdr:sp>
        <xdr:nvSpPr>
          <xdr:cNvPr id="86" name="Line 638"/>
          <xdr:cNvSpPr>
            <a:spLocks/>
          </xdr:cNvSpPr>
        </xdr:nvSpPr>
        <xdr:spPr>
          <a:xfrm>
            <a:off x="1600" y="-2857"/>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7" name="Line 639"/>
          <xdr:cNvSpPr>
            <a:spLocks/>
          </xdr:cNvSpPr>
        </xdr:nvSpPr>
        <xdr:spPr>
          <a:xfrm flipH="1">
            <a:off x="-3200" y="-2857"/>
            <a:ext cx="4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8" name="Line 640"/>
          <xdr:cNvSpPr>
            <a:spLocks/>
          </xdr:cNvSpPr>
        </xdr:nvSpPr>
        <xdr:spPr>
          <a:xfrm flipH="1">
            <a:off x="-3200" y="17500"/>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184</xdr:row>
      <xdr:rowOff>76200</xdr:rowOff>
    </xdr:from>
    <xdr:to>
      <xdr:col>9</xdr:col>
      <xdr:colOff>85725</xdr:colOff>
      <xdr:row>188</xdr:row>
      <xdr:rowOff>76200</xdr:rowOff>
    </xdr:to>
    <xdr:grpSp>
      <xdr:nvGrpSpPr>
        <xdr:cNvPr id="89" name="Group 641"/>
        <xdr:cNvGrpSpPr>
          <a:grpSpLocks/>
        </xdr:cNvGrpSpPr>
      </xdr:nvGrpSpPr>
      <xdr:grpSpPr>
        <a:xfrm>
          <a:off x="8343900" y="32385000"/>
          <a:ext cx="152400" cy="647700"/>
          <a:chOff x="-1600" y="-2857"/>
          <a:chExt cx="3467" cy="20000"/>
        </a:xfrm>
        <a:solidFill>
          <a:srgbClr val="FFFFFF"/>
        </a:solidFill>
      </xdr:grpSpPr>
      <xdr:sp>
        <xdr:nvSpPr>
          <xdr:cNvPr id="90" name="Line 642"/>
          <xdr:cNvSpPr>
            <a:spLocks/>
          </xdr:cNvSpPr>
        </xdr:nvSpPr>
        <xdr:spPr>
          <a:xfrm>
            <a:off x="1867"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1" name="Line 643"/>
          <xdr:cNvSpPr>
            <a:spLocks/>
          </xdr:cNvSpPr>
        </xdr:nvSpPr>
        <xdr:spPr>
          <a:xfrm flipH="1">
            <a:off x="-1067" y="-2502"/>
            <a:ext cx="29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2" name="Line 644"/>
          <xdr:cNvSpPr>
            <a:spLocks/>
          </xdr:cNvSpPr>
        </xdr:nvSpPr>
        <xdr:spPr>
          <a:xfrm flipH="1">
            <a:off x="-1600" y="17143"/>
            <a:ext cx="346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819150</xdr:colOff>
      <xdr:row>202</xdr:row>
      <xdr:rowOff>76200</xdr:rowOff>
    </xdr:from>
    <xdr:to>
      <xdr:col>2</xdr:col>
      <xdr:colOff>47625</xdr:colOff>
      <xdr:row>206</xdr:row>
      <xdr:rowOff>76200</xdr:rowOff>
    </xdr:to>
    <xdr:grpSp>
      <xdr:nvGrpSpPr>
        <xdr:cNvPr id="93" name="Group 645"/>
        <xdr:cNvGrpSpPr>
          <a:grpSpLocks/>
        </xdr:cNvGrpSpPr>
      </xdr:nvGrpSpPr>
      <xdr:grpSpPr>
        <a:xfrm>
          <a:off x="1685925" y="35318700"/>
          <a:ext cx="95250" cy="647700"/>
          <a:chOff x="-1455" y="-2857"/>
          <a:chExt cx="2909" cy="20000"/>
        </a:xfrm>
        <a:solidFill>
          <a:srgbClr val="FFFFFF"/>
        </a:solidFill>
      </xdr:grpSpPr>
      <xdr:sp>
        <xdr:nvSpPr>
          <xdr:cNvPr id="94" name="Line 646"/>
          <xdr:cNvSpPr>
            <a:spLocks/>
          </xdr:cNvSpPr>
        </xdr:nvSpPr>
        <xdr:spPr>
          <a:xfrm>
            <a:off x="-1455"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5" name="Line 647"/>
          <xdr:cNvSpPr>
            <a:spLocks/>
          </xdr:cNvSpPr>
        </xdr:nvSpPr>
        <xdr:spPr>
          <a:xfrm>
            <a:off x="-1455" y="-2502"/>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6" name="Line 648"/>
          <xdr:cNvSpPr>
            <a:spLocks/>
          </xdr:cNvSpPr>
        </xdr:nvSpPr>
        <xdr:spPr>
          <a:xfrm>
            <a:off x="-1455" y="17143"/>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152400</xdr:colOff>
      <xdr:row>202</xdr:row>
      <xdr:rowOff>85725</xdr:rowOff>
    </xdr:from>
    <xdr:to>
      <xdr:col>3</xdr:col>
      <xdr:colOff>295275</xdr:colOff>
      <xdr:row>206</xdr:row>
      <xdr:rowOff>95250</xdr:rowOff>
    </xdr:to>
    <xdr:grpSp>
      <xdr:nvGrpSpPr>
        <xdr:cNvPr id="97" name="Group 649"/>
        <xdr:cNvGrpSpPr>
          <a:grpSpLocks/>
        </xdr:cNvGrpSpPr>
      </xdr:nvGrpSpPr>
      <xdr:grpSpPr>
        <a:xfrm>
          <a:off x="2752725" y="35328225"/>
          <a:ext cx="142875" cy="657225"/>
          <a:chOff x="-76" y="-2500"/>
          <a:chExt cx="13" cy="20357"/>
        </a:xfrm>
        <a:solidFill>
          <a:srgbClr val="FFFFFF"/>
        </a:solidFill>
      </xdr:grpSpPr>
      <xdr:sp>
        <xdr:nvSpPr>
          <xdr:cNvPr id="98" name="Line 650"/>
          <xdr:cNvSpPr>
            <a:spLocks/>
          </xdr:cNvSpPr>
        </xdr:nvSpPr>
        <xdr:spPr>
          <a:xfrm>
            <a:off x="-63" y="-2500"/>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9" name="Line 651"/>
          <xdr:cNvSpPr>
            <a:spLocks/>
          </xdr:cNvSpPr>
        </xdr:nvSpPr>
        <xdr:spPr>
          <a:xfrm flipH="1">
            <a:off x="-76" y="-2500"/>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0" name="Line 652"/>
          <xdr:cNvSpPr>
            <a:spLocks/>
          </xdr:cNvSpPr>
        </xdr:nvSpPr>
        <xdr:spPr>
          <a:xfrm flipH="1">
            <a:off x="-76" y="1785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866775</xdr:colOff>
      <xdr:row>202</xdr:row>
      <xdr:rowOff>85725</xdr:rowOff>
    </xdr:from>
    <xdr:to>
      <xdr:col>4</xdr:col>
      <xdr:colOff>66675</xdr:colOff>
      <xdr:row>206</xdr:row>
      <xdr:rowOff>66675</xdr:rowOff>
    </xdr:to>
    <xdr:grpSp>
      <xdr:nvGrpSpPr>
        <xdr:cNvPr id="101" name="Group 653"/>
        <xdr:cNvGrpSpPr>
          <a:grpSpLocks/>
        </xdr:cNvGrpSpPr>
      </xdr:nvGrpSpPr>
      <xdr:grpSpPr>
        <a:xfrm>
          <a:off x="3467100" y="35328225"/>
          <a:ext cx="66675" cy="628650"/>
          <a:chOff x="-1333" y="-2500"/>
          <a:chExt cx="2933" cy="19286"/>
        </a:xfrm>
        <a:solidFill>
          <a:srgbClr val="FFFFFF"/>
        </a:solidFill>
      </xdr:grpSpPr>
      <xdr:sp>
        <xdr:nvSpPr>
          <xdr:cNvPr id="102" name="Line 654"/>
          <xdr:cNvSpPr>
            <a:spLocks/>
          </xdr:cNvSpPr>
        </xdr:nvSpPr>
        <xdr:spPr>
          <a:xfrm>
            <a:off x="-1333" y="-2500"/>
            <a:ext cx="0" cy="1928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3" name="Line 655"/>
          <xdr:cNvSpPr>
            <a:spLocks/>
          </xdr:cNvSpPr>
        </xdr:nvSpPr>
        <xdr:spPr>
          <a:xfrm>
            <a:off x="-1333" y="-2143"/>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4" name="Line 656"/>
          <xdr:cNvSpPr>
            <a:spLocks/>
          </xdr:cNvSpPr>
        </xdr:nvSpPr>
        <xdr:spPr>
          <a:xfrm>
            <a:off x="-1333" y="16786"/>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962025</xdr:colOff>
      <xdr:row>202</xdr:row>
      <xdr:rowOff>76200</xdr:rowOff>
    </xdr:from>
    <xdr:to>
      <xdr:col>8</xdr:col>
      <xdr:colOff>133350</xdr:colOff>
      <xdr:row>206</xdr:row>
      <xdr:rowOff>76200</xdr:rowOff>
    </xdr:to>
    <xdr:grpSp>
      <xdr:nvGrpSpPr>
        <xdr:cNvPr id="105" name="Group 657"/>
        <xdr:cNvGrpSpPr>
          <a:grpSpLocks/>
        </xdr:cNvGrpSpPr>
      </xdr:nvGrpSpPr>
      <xdr:grpSpPr>
        <a:xfrm>
          <a:off x="7372350" y="35318700"/>
          <a:ext cx="304800" cy="647700"/>
          <a:chOff x="-267" y="-2857"/>
          <a:chExt cx="3200" cy="20000"/>
        </a:xfrm>
        <a:solidFill>
          <a:srgbClr val="FFFFFF"/>
        </a:solidFill>
      </xdr:grpSpPr>
      <xdr:sp>
        <xdr:nvSpPr>
          <xdr:cNvPr id="106" name="Line 658"/>
          <xdr:cNvSpPr>
            <a:spLocks/>
          </xdr:cNvSpPr>
        </xdr:nvSpPr>
        <xdr:spPr>
          <a:xfrm>
            <a:off x="-267"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7" name="Line 659"/>
          <xdr:cNvSpPr>
            <a:spLocks/>
          </xdr:cNvSpPr>
        </xdr:nvSpPr>
        <xdr:spPr>
          <a:xfrm>
            <a:off x="-267" y="-2502"/>
            <a:ext cx="2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8" name="Line 660"/>
          <xdr:cNvSpPr>
            <a:spLocks/>
          </xdr:cNvSpPr>
        </xdr:nvSpPr>
        <xdr:spPr>
          <a:xfrm>
            <a:off x="-267" y="17143"/>
            <a:ext cx="3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0</xdr:colOff>
      <xdr:row>202</xdr:row>
      <xdr:rowOff>95250</xdr:rowOff>
    </xdr:from>
    <xdr:to>
      <xdr:col>7</xdr:col>
      <xdr:colOff>47625</xdr:colOff>
      <xdr:row>206</xdr:row>
      <xdr:rowOff>114300</xdr:rowOff>
    </xdr:to>
    <xdr:grpSp>
      <xdr:nvGrpSpPr>
        <xdr:cNvPr id="109" name="Group 661"/>
        <xdr:cNvGrpSpPr>
          <a:grpSpLocks/>
        </xdr:cNvGrpSpPr>
      </xdr:nvGrpSpPr>
      <xdr:grpSpPr>
        <a:xfrm>
          <a:off x="6410325" y="35337750"/>
          <a:ext cx="47625" cy="666750"/>
          <a:chOff x="0" y="-2143"/>
          <a:chExt cx="1633" cy="20357"/>
        </a:xfrm>
        <a:solidFill>
          <a:srgbClr val="FFFFFF"/>
        </a:solidFill>
      </xdr:grpSpPr>
      <xdr:sp>
        <xdr:nvSpPr>
          <xdr:cNvPr id="110" name="Line 662"/>
          <xdr:cNvSpPr>
            <a:spLocks/>
          </xdr:cNvSpPr>
        </xdr:nvSpPr>
        <xdr:spPr>
          <a:xfrm>
            <a:off x="1633" y="-2143"/>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1" name="Line 663"/>
          <xdr:cNvSpPr>
            <a:spLocks/>
          </xdr:cNvSpPr>
        </xdr:nvSpPr>
        <xdr:spPr>
          <a:xfrm flipH="1">
            <a:off x="0" y="-214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2" name="Line 664"/>
          <xdr:cNvSpPr>
            <a:spLocks/>
          </xdr:cNvSpPr>
        </xdr:nvSpPr>
        <xdr:spPr>
          <a:xfrm flipH="1">
            <a:off x="0" y="18214"/>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800100</xdr:colOff>
      <xdr:row>202</xdr:row>
      <xdr:rowOff>66675</xdr:rowOff>
    </xdr:from>
    <xdr:to>
      <xdr:col>10</xdr:col>
      <xdr:colOff>47625</xdr:colOff>
      <xdr:row>206</xdr:row>
      <xdr:rowOff>66675</xdr:rowOff>
    </xdr:to>
    <xdr:grpSp>
      <xdr:nvGrpSpPr>
        <xdr:cNvPr id="113" name="Group 665"/>
        <xdr:cNvGrpSpPr>
          <a:grpSpLocks/>
        </xdr:cNvGrpSpPr>
      </xdr:nvGrpSpPr>
      <xdr:grpSpPr>
        <a:xfrm>
          <a:off x="9210675" y="35309175"/>
          <a:ext cx="114300" cy="647700"/>
          <a:chOff x="-2400" y="-3214"/>
          <a:chExt cx="4000" cy="20000"/>
        </a:xfrm>
        <a:solidFill>
          <a:srgbClr val="FFFFFF"/>
        </a:solidFill>
      </xdr:grpSpPr>
      <xdr:sp>
        <xdr:nvSpPr>
          <xdr:cNvPr id="114" name="Line 666"/>
          <xdr:cNvSpPr>
            <a:spLocks/>
          </xdr:cNvSpPr>
        </xdr:nvSpPr>
        <xdr:spPr>
          <a:xfrm>
            <a:off x="-2400" y="-3214"/>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5" name="Line 667"/>
          <xdr:cNvSpPr>
            <a:spLocks/>
          </xdr:cNvSpPr>
        </xdr:nvSpPr>
        <xdr:spPr>
          <a:xfrm>
            <a:off x="-2400" y="-2859"/>
            <a:ext cx="3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6" name="Line 668"/>
          <xdr:cNvSpPr>
            <a:spLocks/>
          </xdr:cNvSpPr>
        </xdr:nvSpPr>
        <xdr:spPr>
          <a:xfrm>
            <a:off x="-2400" y="16786"/>
            <a:ext cx="4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11</xdr:col>
      <xdr:colOff>200025</xdr:colOff>
      <xdr:row>202</xdr:row>
      <xdr:rowOff>95250</xdr:rowOff>
    </xdr:from>
    <xdr:to>
      <xdr:col>11</xdr:col>
      <xdr:colOff>304800</xdr:colOff>
      <xdr:row>206</xdr:row>
      <xdr:rowOff>114300</xdr:rowOff>
    </xdr:to>
    <xdr:grpSp>
      <xdr:nvGrpSpPr>
        <xdr:cNvPr id="117" name="Group 669"/>
        <xdr:cNvGrpSpPr>
          <a:grpSpLocks/>
        </xdr:cNvGrpSpPr>
      </xdr:nvGrpSpPr>
      <xdr:grpSpPr>
        <a:xfrm>
          <a:off x="10344150" y="35337750"/>
          <a:ext cx="104775" cy="666750"/>
          <a:chOff x="-59" y="-2143"/>
          <a:chExt cx="10" cy="20357"/>
        </a:xfrm>
        <a:solidFill>
          <a:srgbClr val="FFFFFF"/>
        </a:solidFill>
      </xdr:grpSpPr>
      <xdr:sp>
        <xdr:nvSpPr>
          <xdr:cNvPr id="118" name="Line 670"/>
          <xdr:cNvSpPr>
            <a:spLocks/>
          </xdr:cNvSpPr>
        </xdr:nvSpPr>
        <xdr:spPr>
          <a:xfrm>
            <a:off x="-49" y="-2143"/>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9" name="Line 671"/>
          <xdr:cNvSpPr>
            <a:spLocks/>
          </xdr:cNvSpPr>
        </xdr:nvSpPr>
        <xdr:spPr>
          <a:xfrm flipH="1">
            <a:off x="-59" y="-2143"/>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0" name="Line 672"/>
          <xdr:cNvSpPr>
            <a:spLocks/>
          </xdr:cNvSpPr>
        </xdr:nvSpPr>
        <xdr:spPr>
          <a:xfrm flipH="1">
            <a:off x="-59" y="18214"/>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190500</xdr:colOff>
      <xdr:row>202</xdr:row>
      <xdr:rowOff>66675</xdr:rowOff>
    </xdr:from>
    <xdr:to>
      <xdr:col>9</xdr:col>
      <xdr:colOff>238125</xdr:colOff>
      <xdr:row>206</xdr:row>
      <xdr:rowOff>76200</xdr:rowOff>
    </xdr:to>
    <xdr:grpSp>
      <xdr:nvGrpSpPr>
        <xdr:cNvPr id="121" name="Group 673"/>
        <xdr:cNvGrpSpPr>
          <a:grpSpLocks/>
        </xdr:cNvGrpSpPr>
      </xdr:nvGrpSpPr>
      <xdr:grpSpPr>
        <a:xfrm>
          <a:off x="8601075" y="35309175"/>
          <a:ext cx="47625" cy="657225"/>
          <a:chOff x="-58" y="-3214"/>
          <a:chExt cx="4" cy="20357"/>
        </a:xfrm>
        <a:solidFill>
          <a:srgbClr val="FFFFFF"/>
        </a:solidFill>
      </xdr:grpSpPr>
      <xdr:sp>
        <xdr:nvSpPr>
          <xdr:cNvPr id="122" name="Line 674"/>
          <xdr:cNvSpPr>
            <a:spLocks/>
          </xdr:cNvSpPr>
        </xdr:nvSpPr>
        <xdr:spPr>
          <a:xfrm>
            <a:off x="-54" y="-3214"/>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3" name="Line 675"/>
          <xdr:cNvSpPr>
            <a:spLocks/>
          </xdr:cNvSpPr>
        </xdr:nvSpPr>
        <xdr:spPr>
          <a:xfrm flipH="1">
            <a:off x="-58" y="-3214"/>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4" name="Line 676"/>
          <xdr:cNvSpPr>
            <a:spLocks/>
          </xdr:cNvSpPr>
        </xdr:nvSpPr>
        <xdr:spPr>
          <a:xfrm flipH="1">
            <a:off x="-58" y="17143"/>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819150</xdr:colOff>
      <xdr:row>212</xdr:row>
      <xdr:rowOff>76200</xdr:rowOff>
    </xdr:from>
    <xdr:to>
      <xdr:col>2</xdr:col>
      <xdr:colOff>47625</xdr:colOff>
      <xdr:row>216</xdr:row>
      <xdr:rowOff>76200</xdr:rowOff>
    </xdr:to>
    <xdr:grpSp>
      <xdr:nvGrpSpPr>
        <xdr:cNvPr id="125" name="Group 677"/>
        <xdr:cNvGrpSpPr>
          <a:grpSpLocks/>
        </xdr:cNvGrpSpPr>
      </xdr:nvGrpSpPr>
      <xdr:grpSpPr>
        <a:xfrm>
          <a:off x="1685925" y="37052250"/>
          <a:ext cx="95250" cy="647700"/>
          <a:chOff x="-1455" y="-2857"/>
          <a:chExt cx="2909" cy="20000"/>
        </a:xfrm>
        <a:solidFill>
          <a:srgbClr val="FFFFFF"/>
        </a:solidFill>
      </xdr:grpSpPr>
      <xdr:sp>
        <xdr:nvSpPr>
          <xdr:cNvPr id="126" name="Line 678"/>
          <xdr:cNvSpPr>
            <a:spLocks/>
          </xdr:cNvSpPr>
        </xdr:nvSpPr>
        <xdr:spPr>
          <a:xfrm>
            <a:off x="-1455"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7" name="Line 679"/>
          <xdr:cNvSpPr>
            <a:spLocks/>
          </xdr:cNvSpPr>
        </xdr:nvSpPr>
        <xdr:spPr>
          <a:xfrm>
            <a:off x="-1455" y="-2502"/>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8" name="Line 680"/>
          <xdr:cNvSpPr>
            <a:spLocks/>
          </xdr:cNvSpPr>
        </xdr:nvSpPr>
        <xdr:spPr>
          <a:xfrm>
            <a:off x="-1455" y="17143"/>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866775</xdr:colOff>
      <xdr:row>212</xdr:row>
      <xdr:rowOff>85725</xdr:rowOff>
    </xdr:from>
    <xdr:to>
      <xdr:col>4</xdr:col>
      <xdr:colOff>66675</xdr:colOff>
      <xdr:row>216</xdr:row>
      <xdr:rowOff>66675</xdr:rowOff>
    </xdr:to>
    <xdr:grpSp>
      <xdr:nvGrpSpPr>
        <xdr:cNvPr id="129" name="Group 681"/>
        <xdr:cNvGrpSpPr>
          <a:grpSpLocks/>
        </xdr:cNvGrpSpPr>
      </xdr:nvGrpSpPr>
      <xdr:grpSpPr>
        <a:xfrm>
          <a:off x="3467100" y="37061775"/>
          <a:ext cx="66675" cy="628650"/>
          <a:chOff x="-1333" y="-2500"/>
          <a:chExt cx="2933" cy="19286"/>
        </a:xfrm>
        <a:solidFill>
          <a:srgbClr val="FFFFFF"/>
        </a:solidFill>
      </xdr:grpSpPr>
      <xdr:sp>
        <xdr:nvSpPr>
          <xdr:cNvPr id="130" name="Line 682"/>
          <xdr:cNvSpPr>
            <a:spLocks/>
          </xdr:cNvSpPr>
        </xdr:nvSpPr>
        <xdr:spPr>
          <a:xfrm>
            <a:off x="-1333" y="-2500"/>
            <a:ext cx="0" cy="1928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1" name="Line 683"/>
          <xdr:cNvSpPr>
            <a:spLocks/>
          </xdr:cNvSpPr>
        </xdr:nvSpPr>
        <xdr:spPr>
          <a:xfrm>
            <a:off x="-1333" y="-2143"/>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2" name="Line 684"/>
          <xdr:cNvSpPr>
            <a:spLocks/>
          </xdr:cNvSpPr>
        </xdr:nvSpPr>
        <xdr:spPr>
          <a:xfrm>
            <a:off x="-1333" y="16786"/>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962025</xdr:colOff>
      <xdr:row>212</xdr:row>
      <xdr:rowOff>76200</xdr:rowOff>
    </xdr:from>
    <xdr:to>
      <xdr:col>8</xdr:col>
      <xdr:colOff>133350</xdr:colOff>
      <xdr:row>216</xdr:row>
      <xdr:rowOff>76200</xdr:rowOff>
    </xdr:to>
    <xdr:grpSp>
      <xdr:nvGrpSpPr>
        <xdr:cNvPr id="133" name="Group 685"/>
        <xdr:cNvGrpSpPr>
          <a:grpSpLocks/>
        </xdr:cNvGrpSpPr>
      </xdr:nvGrpSpPr>
      <xdr:grpSpPr>
        <a:xfrm>
          <a:off x="7372350" y="37052250"/>
          <a:ext cx="304800" cy="647700"/>
          <a:chOff x="-267" y="-2857"/>
          <a:chExt cx="3200" cy="20000"/>
        </a:xfrm>
        <a:solidFill>
          <a:srgbClr val="FFFFFF"/>
        </a:solidFill>
      </xdr:grpSpPr>
      <xdr:sp>
        <xdr:nvSpPr>
          <xdr:cNvPr id="134" name="Line 686"/>
          <xdr:cNvSpPr>
            <a:spLocks/>
          </xdr:cNvSpPr>
        </xdr:nvSpPr>
        <xdr:spPr>
          <a:xfrm>
            <a:off x="-267"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5" name="Line 687"/>
          <xdr:cNvSpPr>
            <a:spLocks/>
          </xdr:cNvSpPr>
        </xdr:nvSpPr>
        <xdr:spPr>
          <a:xfrm>
            <a:off x="-267" y="-2502"/>
            <a:ext cx="2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6" name="Line 688"/>
          <xdr:cNvSpPr>
            <a:spLocks/>
          </xdr:cNvSpPr>
        </xdr:nvSpPr>
        <xdr:spPr>
          <a:xfrm>
            <a:off x="-267" y="17143"/>
            <a:ext cx="3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0</xdr:colOff>
      <xdr:row>212</xdr:row>
      <xdr:rowOff>95250</xdr:rowOff>
    </xdr:from>
    <xdr:to>
      <xdr:col>7</xdr:col>
      <xdr:colOff>47625</xdr:colOff>
      <xdr:row>216</xdr:row>
      <xdr:rowOff>114300</xdr:rowOff>
    </xdr:to>
    <xdr:grpSp>
      <xdr:nvGrpSpPr>
        <xdr:cNvPr id="137" name="Group 689"/>
        <xdr:cNvGrpSpPr>
          <a:grpSpLocks/>
        </xdr:cNvGrpSpPr>
      </xdr:nvGrpSpPr>
      <xdr:grpSpPr>
        <a:xfrm>
          <a:off x="6410325" y="37071300"/>
          <a:ext cx="47625" cy="666750"/>
          <a:chOff x="0" y="-2143"/>
          <a:chExt cx="1633" cy="20357"/>
        </a:xfrm>
        <a:solidFill>
          <a:srgbClr val="FFFFFF"/>
        </a:solidFill>
      </xdr:grpSpPr>
      <xdr:sp>
        <xdr:nvSpPr>
          <xdr:cNvPr id="138" name="Line 690"/>
          <xdr:cNvSpPr>
            <a:spLocks/>
          </xdr:cNvSpPr>
        </xdr:nvSpPr>
        <xdr:spPr>
          <a:xfrm>
            <a:off x="1633" y="-2143"/>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9" name="Line 691"/>
          <xdr:cNvSpPr>
            <a:spLocks/>
          </xdr:cNvSpPr>
        </xdr:nvSpPr>
        <xdr:spPr>
          <a:xfrm flipH="1">
            <a:off x="0" y="-2143"/>
            <a:ext cx="12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0" name="Line 692"/>
          <xdr:cNvSpPr>
            <a:spLocks/>
          </xdr:cNvSpPr>
        </xdr:nvSpPr>
        <xdr:spPr>
          <a:xfrm flipH="1">
            <a:off x="0" y="18214"/>
            <a:ext cx="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800100</xdr:colOff>
      <xdr:row>212</xdr:row>
      <xdr:rowOff>66675</xdr:rowOff>
    </xdr:from>
    <xdr:to>
      <xdr:col>10</xdr:col>
      <xdr:colOff>47625</xdr:colOff>
      <xdr:row>216</xdr:row>
      <xdr:rowOff>66675</xdr:rowOff>
    </xdr:to>
    <xdr:grpSp>
      <xdr:nvGrpSpPr>
        <xdr:cNvPr id="141" name="Group 693"/>
        <xdr:cNvGrpSpPr>
          <a:grpSpLocks/>
        </xdr:cNvGrpSpPr>
      </xdr:nvGrpSpPr>
      <xdr:grpSpPr>
        <a:xfrm>
          <a:off x="9210675" y="37042725"/>
          <a:ext cx="114300" cy="647700"/>
          <a:chOff x="-2400" y="-3214"/>
          <a:chExt cx="4000" cy="20000"/>
        </a:xfrm>
        <a:solidFill>
          <a:srgbClr val="FFFFFF"/>
        </a:solidFill>
      </xdr:grpSpPr>
      <xdr:sp>
        <xdr:nvSpPr>
          <xdr:cNvPr id="142" name="Line 694"/>
          <xdr:cNvSpPr>
            <a:spLocks/>
          </xdr:cNvSpPr>
        </xdr:nvSpPr>
        <xdr:spPr>
          <a:xfrm>
            <a:off x="-2400" y="-3214"/>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3" name="Line 695"/>
          <xdr:cNvSpPr>
            <a:spLocks/>
          </xdr:cNvSpPr>
        </xdr:nvSpPr>
        <xdr:spPr>
          <a:xfrm>
            <a:off x="-2400" y="-2859"/>
            <a:ext cx="3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4" name="Line 696"/>
          <xdr:cNvSpPr>
            <a:spLocks/>
          </xdr:cNvSpPr>
        </xdr:nvSpPr>
        <xdr:spPr>
          <a:xfrm>
            <a:off x="-2400" y="16786"/>
            <a:ext cx="4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11</xdr:col>
      <xdr:colOff>200025</xdr:colOff>
      <xdr:row>212</xdr:row>
      <xdr:rowOff>66675</xdr:rowOff>
    </xdr:from>
    <xdr:to>
      <xdr:col>11</xdr:col>
      <xdr:colOff>304800</xdr:colOff>
      <xdr:row>216</xdr:row>
      <xdr:rowOff>76200</xdr:rowOff>
    </xdr:to>
    <xdr:grpSp>
      <xdr:nvGrpSpPr>
        <xdr:cNvPr id="145" name="Group 697"/>
        <xdr:cNvGrpSpPr>
          <a:grpSpLocks/>
        </xdr:cNvGrpSpPr>
      </xdr:nvGrpSpPr>
      <xdr:grpSpPr>
        <a:xfrm>
          <a:off x="10344150" y="37042725"/>
          <a:ext cx="104775" cy="657225"/>
          <a:chOff x="-59" y="-3214"/>
          <a:chExt cx="10" cy="20357"/>
        </a:xfrm>
        <a:solidFill>
          <a:srgbClr val="FFFFFF"/>
        </a:solidFill>
      </xdr:grpSpPr>
      <xdr:sp>
        <xdr:nvSpPr>
          <xdr:cNvPr id="146" name="Line 698"/>
          <xdr:cNvSpPr>
            <a:spLocks/>
          </xdr:cNvSpPr>
        </xdr:nvSpPr>
        <xdr:spPr>
          <a:xfrm>
            <a:off x="-49" y="-3214"/>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7" name="Line 699"/>
          <xdr:cNvSpPr>
            <a:spLocks/>
          </xdr:cNvSpPr>
        </xdr:nvSpPr>
        <xdr:spPr>
          <a:xfrm flipH="1">
            <a:off x="-59" y="-3214"/>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8" name="Line 700"/>
          <xdr:cNvSpPr>
            <a:spLocks/>
          </xdr:cNvSpPr>
        </xdr:nvSpPr>
        <xdr:spPr>
          <a:xfrm flipH="1">
            <a:off x="-59" y="1714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171450</xdr:colOff>
      <xdr:row>212</xdr:row>
      <xdr:rowOff>76200</xdr:rowOff>
    </xdr:from>
    <xdr:to>
      <xdr:col>9</xdr:col>
      <xdr:colOff>219075</xdr:colOff>
      <xdr:row>216</xdr:row>
      <xdr:rowOff>85725</xdr:rowOff>
    </xdr:to>
    <xdr:grpSp>
      <xdr:nvGrpSpPr>
        <xdr:cNvPr id="149" name="Group 701"/>
        <xdr:cNvGrpSpPr>
          <a:grpSpLocks/>
        </xdr:cNvGrpSpPr>
      </xdr:nvGrpSpPr>
      <xdr:grpSpPr>
        <a:xfrm>
          <a:off x="8582025" y="37052250"/>
          <a:ext cx="47625" cy="657225"/>
          <a:chOff x="-60" y="-2857"/>
          <a:chExt cx="4" cy="20357"/>
        </a:xfrm>
        <a:solidFill>
          <a:srgbClr val="FFFFFF"/>
        </a:solidFill>
      </xdr:grpSpPr>
      <xdr:sp>
        <xdr:nvSpPr>
          <xdr:cNvPr id="150" name="Line 702"/>
          <xdr:cNvSpPr>
            <a:spLocks/>
          </xdr:cNvSpPr>
        </xdr:nvSpPr>
        <xdr:spPr>
          <a:xfrm>
            <a:off x="-56" y="-2857"/>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1" name="Line 703"/>
          <xdr:cNvSpPr>
            <a:spLocks/>
          </xdr:cNvSpPr>
        </xdr:nvSpPr>
        <xdr:spPr>
          <a:xfrm flipH="1">
            <a:off x="-60" y="-285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2" name="Line 704"/>
          <xdr:cNvSpPr>
            <a:spLocks/>
          </xdr:cNvSpPr>
        </xdr:nvSpPr>
        <xdr:spPr>
          <a:xfrm flipH="1">
            <a:off x="-60" y="17500"/>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152400</xdr:colOff>
      <xdr:row>212</xdr:row>
      <xdr:rowOff>85725</xdr:rowOff>
    </xdr:from>
    <xdr:to>
      <xdr:col>3</xdr:col>
      <xdr:colOff>295275</xdr:colOff>
      <xdr:row>216</xdr:row>
      <xdr:rowOff>95250</xdr:rowOff>
    </xdr:to>
    <xdr:grpSp>
      <xdr:nvGrpSpPr>
        <xdr:cNvPr id="153" name="Group 705"/>
        <xdr:cNvGrpSpPr>
          <a:grpSpLocks/>
        </xdr:cNvGrpSpPr>
      </xdr:nvGrpSpPr>
      <xdr:grpSpPr>
        <a:xfrm>
          <a:off x="2752725" y="37061775"/>
          <a:ext cx="142875" cy="657225"/>
          <a:chOff x="-76" y="-2500"/>
          <a:chExt cx="13" cy="20357"/>
        </a:xfrm>
        <a:solidFill>
          <a:srgbClr val="FFFFFF"/>
        </a:solidFill>
      </xdr:grpSpPr>
      <xdr:sp>
        <xdr:nvSpPr>
          <xdr:cNvPr id="154" name="Line 706"/>
          <xdr:cNvSpPr>
            <a:spLocks/>
          </xdr:cNvSpPr>
        </xdr:nvSpPr>
        <xdr:spPr>
          <a:xfrm>
            <a:off x="-63" y="-2500"/>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5" name="Line 707"/>
          <xdr:cNvSpPr>
            <a:spLocks/>
          </xdr:cNvSpPr>
        </xdr:nvSpPr>
        <xdr:spPr>
          <a:xfrm flipH="1">
            <a:off x="-76" y="-2500"/>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6" name="Line 708"/>
          <xdr:cNvSpPr>
            <a:spLocks/>
          </xdr:cNvSpPr>
        </xdr:nvSpPr>
        <xdr:spPr>
          <a:xfrm flipH="1">
            <a:off x="-76" y="1785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866775</xdr:colOff>
      <xdr:row>212</xdr:row>
      <xdr:rowOff>85725</xdr:rowOff>
    </xdr:from>
    <xdr:to>
      <xdr:col>4</xdr:col>
      <xdr:colOff>66675</xdr:colOff>
      <xdr:row>216</xdr:row>
      <xdr:rowOff>66675</xdr:rowOff>
    </xdr:to>
    <xdr:grpSp>
      <xdr:nvGrpSpPr>
        <xdr:cNvPr id="157" name="Group 709"/>
        <xdr:cNvGrpSpPr>
          <a:grpSpLocks/>
        </xdr:cNvGrpSpPr>
      </xdr:nvGrpSpPr>
      <xdr:grpSpPr>
        <a:xfrm>
          <a:off x="3467100" y="37061775"/>
          <a:ext cx="66675" cy="628650"/>
          <a:chOff x="-1333" y="-2500"/>
          <a:chExt cx="2933" cy="19286"/>
        </a:xfrm>
        <a:solidFill>
          <a:srgbClr val="FFFFFF"/>
        </a:solidFill>
      </xdr:grpSpPr>
      <xdr:sp>
        <xdr:nvSpPr>
          <xdr:cNvPr id="158" name="Line 710"/>
          <xdr:cNvSpPr>
            <a:spLocks/>
          </xdr:cNvSpPr>
        </xdr:nvSpPr>
        <xdr:spPr>
          <a:xfrm>
            <a:off x="-1333" y="-2500"/>
            <a:ext cx="0" cy="1928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9" name="Line 711"/>
          <xdr:cNvSpPr>
            <a:spLocks/>
          </xdr:cNvSpPr>
        </xdr:nvSpPr>
        <xdr:spPr>
          <a:xfrm>
            <a:off x="-1333" y="-2143"/>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0" name="Line 712"/>
          <xdr:cNvSpPr>
            <a:spLocks/>
          </xdr:cNvSpPr>
        </xdr:nvSpPr>
        <xdr:spPr>
          <a:xfrm>
            <a:off x="-1333" y="16786"/>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819150</xdr:colOff>
      <xdr:row>226</xdr:row>
      <xdr:rowOff>76200</xdr:rowOff>
    </xdr:from>
    <xdr:to>
      <xdr:col>2</xdr:col>
      <xdr:colOff>47625</xdr:colOff>
      <xdr:row>230</xdr:row>
      <xdr:rowOff>76200</xdr:rowOff>
    </xdr:to>
    <xdr:grpSp>
      <xdr:nvGrpSpPr>
        <xdr:cNvPr id="161" name="Group 713"/>
        <xdr:cNvGrpSpPr>
          <a:grpSpLocks/>
        </xdr:cNvGrpSpPr>
      </xdr:nvGrpSpPr>
      <xdr:grpSpPr>
        <a:xfrm>
          <a:off x="1685925" y="39566850"/>
          <a:ext cx="95250" cy="647700"/>
          <a:chOff x="-1455" y="-2857"/>
          <a:chExt cx="2909" cy="20000"/>
        </a:xfrm>
        <a:solidFill>
          <a:srgbClr val="FFFFFF"/>
        </a:solidFill>
      </xdr:grpSpPr>
      <xdr:sp>
        <xdr:nvSpPr>
          <xdr:cNvPr id="162" name="Line 714"/>
          <xdr:cNvSpPr>
            <a:spLocks/>
          </xdr:cNvSpPr>
        </xdr:nvSpPr>
        <xdr:spPr>
          <a:xfrm>
            <a:off x="-1455"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3" name="Line 715"/>
          <xdr:cNvSpPr>
            <a:spLocks/>
          </xdr:cNvSpPr>
        </xdr:nvSpPr>
        <xdr:spPr>
          <a:xfrm>
            <a:off x="-1455" y="-2502"/>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4" name="Line 716"/>
          <xdr:cNvSpPr>
            <a:spLocks/>
          </xdr:cNvSpPr>
        </xdr:nvSpPr>
        <xdr:spPr>
          <a:xfrm>
            <a:off x="-1455" y="17143"/>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866775</xdr:colOff>
      <xdr:row>226</xdr:row>
      <xdr:rowOff>85725</xdr:rowOff>
    </xdr:from>
    <xdr:to>
      <xdr:col>4</xdr:col>
      <xdr:colOff>66675</xdr:colOff>
      <xdr:row>230</xdr:row>
      <xdr:rowOff>66675</xdr:rowOff>
    </xdr:to>
    <xdr:grpSp>
      <xdr:nvGrpSpPr>
        <xdr:cNvPr id="165" name="Group 717"/>
        <xdr:cNvGrpSpPr>
          <a:grpSpLocks/>
        </xdr:cNvGrpSpPr>
      </xdr:nvGrpSpPr>
      <xdr:grpSpPr>
        <a:xfrm>
          <a:off x="3467100" y="39576375"/>
          <a:ext cx="66675" cy="628650"/>
          <a:chOff x="-1333" y="-2500"/>
          <a:chExt cx="2933" cy="19286"/>
        </a:xfrm>
        <a:solidFill>
          <a:srgbClr val="FFFFFF"/>
        </a:solidFill>
      </xdr:grpSpPr>
      <xdr:sp>
        <xdr:nvSpPr>
          <xdr:cNvPr id="166" name="Line 718"/>
          <xdr:cNvSpPr>
            <a:spLocks/>
          </xdr:cNvSpPr>
        </xdr:nvSpPr>
        <xdr:spPr>
          <a:xfrm>
            <a:off x="-1333" y="-2500"/>
            <a:ext cx="0" cy="1928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7" name="Line 719"/>
          <xdr:cNvSpPr>
            <a:spLocks/>
          </xdr:cNvSpPr>
        </xdr:nvSpPr>
        <xdr:spPr>
          <a:xfrm>
            <a:off x="-1333" y="-2143"/>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8" name="Line 720"/>
          <xdr:cNvSpPr>
            <a:spLocks/>
          </xdr:cNvSpPr>
        </xdr:nvSpPr>
        <xdr:spPr>
          <a:xfrm>
            <a:off x="-1333" y="16786"/>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914400</xdr:colOff>
      <xdr:row>226</xdr:row>
      <xdr:rowOff>76200</xdr:rowOff>
    </xdr:from>
    <xdr:to>
      <xdr:col>8</xdr:col>
      <xdr:colOff>95250</xdr:colOff>
      <xdr:row>230</xdr:row>
      <xdr:rowOff>76200</xdr:rowOff>
    </xdr:to>
    <xdr:grpSp>
      <xdr:nvGrpSpPr>
        <xdr:cNvPr id="169" name="Group 721"/>
        <xdr:cNvGrpSpPr>
          <a:grpSpLocks/>
        </xdr:cNvGrpSpPr>
      </xdr:nvGrpSpPr>
      <xdr:grpSpPr>
        <a:xfrm>
          <a:off x="7324725" y="39566850"/>
          <a:ext cx="314325" cy="647700"/>
          <a:chOff x="-1067" y="-2857"/>
          <a:chExt cx="3200" cy="20000"/>
        </a:xfrm>
        <a:solidFill>
          <a:srgbClr val="FFFFFF"/>
        </a:solidFill>
      </xdr:grpSpPr>
      <xdr:sp>
        <xdr:nvSpPr>
          <xdr:cNvPr id="170" name="Line 722"/>
          <xdr:cNvSpPr>
            <a:spLocks/>
          </xdr:cNvSpPr>
        </xdr:nvSpPr>
        <xdr:spPr>
          <a:xfrm>
            <a:off x="-1067"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1" name="Line 723"/>
          <xdr:cNvSpPr>
            <a:spLocks/>
          </xdr:cNvSpPr>
        </xdr:nvSpPr>
        <xdr:spPr>
          <a:xfrm>
            <a:off x="-1067" y="-2502"/>
            <a:ext cx="2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2" name="Line 724"/>
          <xdr:cNvSpPr>
            <a:spLocks/>
          </xdr:cNvSpPr>
        </xdr:nvSpPr>
        <xdr:spPr>
          <a:xfrm>
            <a:off x="-1067" y="17143"/>
            <a:ext cx="3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904875</xdr:colOff>
      <xdr:row>226</xdr:row>
      <xdr:rowOff>95250</xdr:rowOff>
    </xdr:from>
    <xdr:to>
      <xdr:col>7</xdr:col>
      <xdr:colOff>47625</xdr:colOff>
      <xdr:row>230</xdr:row>
      <xdr:rowOff>133350</xdr:rowOff>
    </xdr:to>
    <xdr:grpSp>
      <xdr:nvGrpSpPr>
        <xdr:cNvPr id="173" name="Group 725"/>
        <xdr:cNvGrpSpPr>
          <a:grpSpLocks/>
        </xdr:cNvGrpSpPr>
      </xdr:nvGrpSpPr>
      <xdr:grpSpPr>
        <a:xfrm>
          <a:off x="6410325" y="39585900"/>
          <a:ext cx="47625" cy="685800"/>
          <a:chOff x="-2857" y="-2143"/>
          <a:chExt cx="4490" cy="21072"/>
        </a:xfrm>
        <a:solidFill>
          <a:srgbClr val="FFFFFF"/>
        </a:solidFill>
      </xdr:grpSpPr>
      <xdr:sp>
        <xdr:nvSpPr>
          <xdr:cNvPr id="174" name="Line 726"/>
          <xdr:cNvSpPr>
            <a:spLocks/>
          </xdr:cNvSpPr>
        </xdr:nvSpPr>
        <xdr:spPr>
          <a:xfrm>
            <a:off x="1633" y="-2143"/>
            <a:ext cx="0" cy="2107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5" name="Line 727"/>
          <xdr:cNvSpPr>
            <a:spLocks/>
          </xdr:cNvSpPr>
        </xdr:nvSpPr>
        <xdr:spPr>
          <a:xfrm flipH="1">
            <a:off x="-2857" y="-2143"/>
            <a:ext cx="326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6" name="Line 728"/>
          <xdr:cNvSpPr>
            <a:spLocks/>
          </xdr:cNvSpPr>
        </xdr:nvSpPr>
        <xdr:spPr>
          <a:xfrm flipH="1">
            <a:off x="-2857" y="18929"/>
            <a:ext cx="244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800100</xdr:colOff>
      <xdr:row>226</xdr:row>
      <xdr:rowOff>66675</xdr:rowOff>
    </xdr:from>
    <xdr:to>
      <xdr:col>10</xdr:col>
      <xdr:colOff>47625</xdr:colOff>
      <xdr:row>230</xdr:row>
      <xdr:rowOff>66675</xdr:rowOff>
    </xdr:to>
    <xdr:grpSp>
      <xdr:nvGrpSpPr>
        <xdr:cNvPr id="177" name="Group 729"/>
        <xdr:cNvGrpSpPr>
          <a:grpSpLocks/>
        </xdr:cNvGrpSpPr>
      </xdr:nvGrpSpPr>
      <xdr:grpSpPr>
        <a:xfrm>
          <a:off x="9210675" y="39557325"/>
          <a:ext cx="114300" cy="647700"/>
          <a:chOff x="-2400" y="-3214"/>
          <a:chExt cx="4000" cy="20000"/>
        </a:xfrm>
        <a:solidFill>
          <a:srgbClr val="FFFFFF"/>
        </a:solidFill>
      </xdr:grpSpPr>
      <xdr:sp>
        <xdr:nvSpPr>
          <xdr:cNvPr id="178" name="Line 730"/>
          <xdr:cNvSpPr>
            <a:spLocks/>
          </xdr:cNvSpPr>
        </xdr:nvSpPr>
        <xdr:spPr>
          <a:xfrm>
            <a:off x="-2400" y="-3214"/>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9" name="Line 731"/>
          <xdr:cNvSpPr>
            <a:spLocks/>
          </xdr:cNvSpPr>
        </xdr:nvSpPr>
        <xdr:spPr>
          <a:xfrm>
            <a:off x="-2400" y="-2859"/>
            <a:ext cx="3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0" name="Line 732"/>
          <xdr:cNvSpPr>
            <a:spLocks/>
          </xdr:cNvSpPr>
        </xdr:nvSpPr>
        <xdr:spPr>
          <a:xfrm>
            <a:off x="-2400" y="16786"/>
            <a:ext cx="4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11</xdr:col>
      <xdr:colOff>200025</xdr:colOff>
      <xdr:row>226</xdr:row>
      <xdr:rowOff>66675</xdr:rowOff>
    </xdr:from>
    <xdr:to>
      <xdr:col>11</xdr:col>
      <xdr:colOff>304800</xdr:colOff>
      <xdr:row>230</xdr:row>
      <xdr:rowOff>76200</xdr:rowOff>
    </xdr:to>
    <xdr:grpSp>
      <xdr:nvGrpSpPr>
        <xdr:cNvPr id="181" name="Group 733"/>
        <xdr:cNvGrpSpPr>
          <a:grpSpLocks/>
        </xdr:cNvGrpSpPr>
      </xdr:nvGrpSpPr>
      <xdr:grpSpPr>
        <a:xfrm>
          <a:off x="10344150" y="39557325"/>
          <a:ext cx="104775" cy="657225"/>
          <a:chOff x="-59" y="-3214"/>
          <a:chExt cx="10" cy="20357"/>
        </a:xfrm>
        <a:solidFill>
          <a:srgbClr val="FFFFFF"/>
        </a:solidFill>
      </xdr:grpSpPr>
      <xdr:sp>
        <xdr:nvSpPr>
          <xdr:cNvPr id="182" name="Line 734"/>
          <xdr:cNvSpPr>
            <a:spLocks/>
          </xdr:cNvSpPr>
        </xdr:nvSpPr>
        <xdr:spPr>
          <a:xfrm>
            <a:off x="-49" y="-3214"/>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3" name="Line 735"/>
          <xdr:cNvSpPr>
            <a:spLocks/>
          </xdr:cNvSpPr>
        </xdr:nvSpPr>
        <xdr:spPr>
          <a:xfrm flipH="1">
            <a:off x="-59" y="-3214"/>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4" name="Line 736"/>
          <xdr:cNvSpPr>
            <a:spLocks/>
          </xdr:cNvSpPr>
        </xdr:nvSpPr>
        <xdr:spPr>
          <a:xfrm flipH="1">
            <a:off x="-59" y="1714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171450</xdr:colOff>
      <xdr:row>226</xdr:row>
      <xdr:rowOff>76200</xdr:rowOff>
    </xdr:from>
    <xdr:to>
      <xdr:col>9</xdr:col>
      <xdr:colOff>219075</xdr:colOff>
      <xdr:row>230</xdr:row>
      <xdr:rowOff>85725</xdr:rowOff>
    </xdr:to>
    <xdr:grpSp>
      <xdr:nvGrpSpPr>
        <xdr:cNvPr id="185" name="Group 737"/>
        <xdr:cNvGrpSpPr>
          <a:grpSpLocks/>
        </xdr:cNvGrpSpPr>
      </xdr:nvGrpSpPr>
      <xdr:grpSpPr>
        <a:xfrm>
          <a:off x="8582025" y="39566850"/>
          <a:ext cx="47625" cy="657225"/>
          <a:chOff x="-60" y="-2857"/>
          <a:chExt cx="4" cy="20357"/>
        </a:xfrm>
        <a:solidFill>
          <a:srgbClr val="FFFFFF"/>
        </a:solidFill>
      </xdr:grpSpPr>
      <xdr:sp>
        <xdr:nvSpPr>
          <xdr:cNvPr id="186" name="Line 738"/>
          <xdr:cNvSpPr>
            <a:spLocks/>
          </xdr:cNvSpPr>
        </xdr:nvSpPr>
        <xdr:spPr>
          <a:xfrm>
            <a:off x="-56" y="-2857"/>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7" name="Line 739"/>
          <xdr:cNvSpPr>
            <a:spLocks/>
          </xdr:cNvSpPr>
        </xdr:nvSpPr>
        <xdr:spPr>
          <a:xfrm flipH="1">
            <a:off x="-60" y="-285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8" name="Line 740"/>
          <xdr:cNvSpPr>
            <a:spLocks/>
          </xdr:cNvSpPr>
        </xdr:nvSpPr>
        <xdr:spPr>
          <a:xfrm flipH="1">
            <a:off x="-60" y="17500"/>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152400</xdr:colOff>
      <xdr:row>226</xdr:row>
      <xdr:rowOff>85725</xdr:rowOff>
    </xdr:from>
    <xdr:to>
      <xdr:col>3</xdr:col>
      <xdr:colOff>295275</xdr:colOff>
      <xdr:row>230</xdr:row>
      <xdr:rowOff>95250</xdr:rowOff>
    </xdr:to>
    <xdr:grpSp>
      <xdr:nvGrpSpPr>
        <xdr:cNvPr id="189" name="Group 741"/>
        <xdr:cNvGrpSpPr>
          <a:grpSpLocks/>
        </xdr:cNvGrpSpPr>
      </xdr:nvGrpSpPr>
      <xdr:grpSpPr>
        <a:xfrm>
          <a:off x="2752725" y="39576375"/>
          <a:ext cx="142875" cy="657225"/>
          <a:chOff x="-76" y="-2500"/>
          <a:chExt cx="13" cy="20357"/>
        </a:xfrm>
        <a:solidFill>
          <a:srgbClr val="FFFFFF"/>
        </a:solidFill>
      </xdr:grpSpPr>
      <xdr:sp>
        <xdr:nvSpPr>
          <xdr:cNvPr id="190" name="Line 742"/>
          <xdr:cNvSpPr>
            <a:spLocks/>
          </xdr:cNvSpPr>
        </xdr:nvSpPr>
        <xdr:spPr>
          <a:xfrm>
            <a:off x="-63" y="-2500"/>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1" name="Line 743"/>
          <xdr:cNvSpPr>
            <a:spLocks/>
          </xdr:cNvSpPr>
        </xdr:nvSpPr>
        <xdr:spPr>
          <a:xfrm flipH="1">
            <a:off x="-76" y="-2500"/>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2" name="Line 744"/>
          <xdr:cNvSpPr>
            <a:spLocks/>
          </xdr:cNvSpPr>
        </xdr:nvSpPr>
        <xdr:spPr>
          <a:xfrm flipH="1">
            <a:off x="-76" y="1785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866775</xdr:colOff>
      <xdr:row>226</xdr:row>
      <xdr:rowOff>85725</xdr:rowOff>
    </xdr:from>
    <xdr:to>
      <xdr:col>4</xdr:col>
      <xdr:colOff>66675</xdr:colOff>
      <xdr:row>230</xdr:row>
      <xdr:rowOff>66675</xdr:rowOff>
    </xdr:to>
    <xdr:grpSp>
      <xdr:nvGrpSpPr>
        <xdr:cNvPr id="193" name="Group 745"/>
        <xdr:cNvGrpSpPr>
          <a:grpSpLocks/>
        </xdr:cNvGrpSpPr>
      </xdr:nvGrpSpPr>
      <xdr:grpSpPr>
        <a:xfrm>
          <a:off x="3467100" y="39576375"/>
          <a:ext cx="66675" cy="628650"/>
          <a:chOff x="-1333" y="-2500"/>
          <a:chExt cx="2933" cy="19286"/>
        </a:xfrm>
        <a:solidFill>
          <a:srgbClr val="FFFFFF"/>
        </a:solidFill>
      </xdr:grpSpPr>
      <xdr:sp>
        <xdr:nvSpPr>
          <xdr:cNvPr id="194" name="Line 746"/>
          <xdr:cNvSpPr>
            <a:spLocks/>
          </xdr:cNvSpPr>
        </xdr:nvSpPr>
        <xdr:spPr>
          <a:xfrm>
            <a:off x="-1333" y="-2500"/>
            <a:ext cx="0" cy="1928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5" name="Line 747"/>
          <xdr:cNvSpPr>
            <a:spLocks/>
          </xdr:cNvSpPr>
        </xdr:nvSpPr>
        <xdr:spPr>
          <a:xfrm>
            <a:off x="-1333" y="-2143"/>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6" name="Line 748"/>
          <xdr:cNvSpPr>
            <a:spLocks/>
          </xdr:cNvSpPr>
        </xdr:nvSpPr>
        <xdr:spPr>
          <a:xfrm>
            <a:off x="-1333" y="16786"/>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838200</xdr:colOff>
      <xdr:row>96</xdr:row>
      <xdr:rowOff>142875</xdr:rowOff>
    </xdr:from>
    <xdr:to>
      <xdr:col>4</xdr:col>
      <xdr:colOff>285750</xdr:colOff>
      <xdr:row>115</xdr:row>
      <xdr:rowOff>28575</xdr:rowOff>
    </xdr:to>
    <xdr:grpSp>
      <xdr:nvGrpSpPr>
        <xdr:cNvPr id="197" name="Group 750"/>
        <xdr:cNvGrpSpPr>
          <a:grpSpLocks/>
        </xdr:cNvGrpSpPr>
      </xdr:nvGrpSpPr>
      <xdr:grpSpPr>
        <a:xfrm>
          <a:off x="1704975" y="17125950"/>
          <a:ext cx="2047875" cy="3143250"/>
          <a:chOff x="-252" y="-266"/>
          <a:chExt cx="15966" cy="19336"/>
        </a:xfrm>
        <a:solidFill>
          <a:srgbClr val="FFFFFF"/>
        </a:solidFill>
      </xdr:grpSpPr>
      <xdr:sp>
        <xdr:nvSpPr>
          <xdr:cNvPr id="198" name="Line 751"/>
          <xdr:cNvSpPr>
            <a:spLocks/>
          </xdr:cNvSpPr>
        </xdr:nvSpPr>
        <xdr:spPr>
          <a:xfrm>
            <a:off x="758" y="2924"/>
            <a:ext cx="14956" cy="8174"/>
          </a:xfrm>
          <a:prstGeom prst="line">
            <a:avLst/>
          </a:prstGeom>
          <a:solidFill>
            <a:srgbClr val="FFFFFF"/>
          </a:solidFill>
          <a:ln w="2476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9" name="Line 752"/>
          <xdr:cNvSpPr>
            <a:spLocks/>
          </xdr:cNvSpPr>
        </xdr:nvSpPr>
        <xdr:spPr>
          <a:xfrm flipV="1">
            <a:off x="-168" y="3587"/>
            <a:ext cx="14286" cy="6313"/>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0" name="Line 753"/>
          <xdr:cNvSpPr>
            <a:spLocks/>
          </xdr:cNvSpPr>
        </xdr:nvSpPr>
        <xdr:spPr>
          <a:xfrm flipV="1">
            <a:off x="7312" y="3055"/>
            <a:ext cx="2523" cy="3853"/>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1" name="Line 754"/>
          <xdr:cNvSpPr>
            <a:spLocks/>
          </xdr:cNvSpPr>
        </xdr:nvSpPr>
        <xdr:spPr>
          <a:xfrm flipV="1">
            <a:off x="-252" y="6845"/>
            <a:ext cx="7648" cy="11031"/>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2" name="Line 755"/>
          <xdr:cNvSpPr>
            <a:spLocks/>
          </xdr:cNvSpPr>
        </xdr:nvSpPr>
        <xdr:spPr>
          <a:xfrm flipV="1">
            <a:off x="5292" y="1194"/>
            <a:ext cx="3026" cy="1787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3" name="Oval 756"/>
          <xdr:cNvSpPr>
            <a:spLocks/>
          </xdr:cNvSpPr>
        </xdr:nvSpPr>
        <xdr:spPr>
          <a:xfrm>
            <a:off x="7563" y="662"/>
            <a:ext cx="1345" cy="1063"/>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4" name="Line 757"/>
          <xdr:cNvSpPr>
            <a:spLocks/>
          </xdr:cNvSpPr>
        </xdr:nvSpPr>
        <xdr:spPr>
          <a:xfrm>
            <a:off x="3193" y="1663"/>
            <a:ext cx="5548" cy="865"/>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5" name="Line 758"/>
          <xdr:cNvSpPr>
            <a:spLocks/>
          </xdr:cNvSpPr>
        </xdr:nvSpPr>
        <xdr:spPr>
          <a:xfrm>
            <a:off x="4119" y="532"/>
            <a:ext cx="8737" cy="1329"/>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6" name="Line 759"/>
          <xdr:cNvSpPr>
            <a:spLocks/>
          </xdr:cNvSpPr>
        </xdr:nvSpPr>
        <xdr:spPr>
          <a:xfrm flipV="1">
            <a:off x="5041" y="-266"/>
            <a:ext cx="6470" cy="278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7" name="Line 760"/>
          <xdr:cNvSpPr>
            <a:spLocks/>
          </xdr:cNvSpPr>
        </xdr:nvSpPr>
        <xdr:spPr>
          <a:xfrm flipV="1">
            <a:off x="8825" y="730"/>
            <a:ext cx="4371" cy="179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8" name="Line 761"/>
          <xdr:cNvSpPr>
            <a:spLocks/>
          </xdr:cNvSpPr>
        </xdr:nvSpPr>
        <xdr:spPr>
          <a:xfrm flipV="1">
            <a:off x="3193" y="-198"/>
            <a:ext cx="4371" cy="179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9" name="Line 762"/>
          <xdr:cNvSpPr>
            <a:spLocks/>
          </xdr:cNvSpPr>
        </xdr:nvSpPr>
        <xdr:spPr>
          <a:xfrm>
            <a:off x="7563" y="-198"/>
            <a:ext cx="5544" cy="865"/>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210" name="Group 763"/>
          <xdr:cNvGrpSpPr>
            <a:grpSpLocks/>
          </xdr:cNvGrpSpPr>
        </xdr:nvGrpSpPr>
        <xdr:grpSpPr>
          <a:xfrm>
            <a:off x="842" y="13690"/>
            <a:ext cx="7815" cy="2659"/>
            <a:chOff x="840" y="13688"/>
            <a:chExt cx="7816" cy="2657"/>
          </a:xfrm>
          <a:solidFill>
            <a:srgbClr val="FFFFFF"/>
          </a:solidFill>
        </xdr:grpSpPr>
        <xdr:sp>
          <xdr:nvSpPr>
            <xdr:cNvPr id="211" name="Arc 764"/>
            <xdr:cNvSpPr>
              <a:spLocks/>
            </xdr:cNvSpPr>
          </xdr:nvSpPr>
          <xdr:spPr>
            <a:xfrm flipH="1" flipV="1">
              <a:off x="1764" y="15017"/>
              <a:ext cx="3949" cy="1196"/>
            </a:xfrm>
            <a:prstGeom prst="arc">
              <a:avLst/>
            </a:prstGeom>
            <a:noFill/>
            <a:ln w="17145"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2" name="Line 765"/>
            <xdr:cNvSpPr>
              <a:spLocks/>
            </xdr:cNvSpPr>
          </xdr:nvSpPr>
          <xdr:spPr>
            <a:xfrm flipH="1" flipV="1">
              <a:off x="5797" y="16279"/>
              <a:ext cx="2859" cy="66"/>
            </a:xfrm>
            <a:prstGeom prst="line">
              <a:avLst/>
            </a:prstGeom>
            <a:solidFill>
              <a:srgbClr val="FFFFFF"/>
            </a:solidFill>
            <a:ln w="17145" cmpd="sng">
              <a:solidFill>
                <a:srgbClr val="00ABEA"/>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13" name="Line 766"/>
            <xdr:cNvSpPr>
              <a:spLocks/>
            </xdr:cNvSpPr>
          </xdr:nvSpPr>
          <xdr:spPr>
            <a:xfrm>
              <a:off x="840" y="13688"/>
              <a:ext cx="840" cy="1329"/>
            </a:xfrm>
            <a:prstGeom prst="line">
              <a:avLst/>
            </a:prstGeom>
            <a:solidFill>
              <a:srgbClr val="FFFFFF"/>
            </a:solidFill>
            <a:ln w="17145" cmpd="sng">
              <a:solidFill>
                <a:srgbClr val="00ABEA"/>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sp>
        <xdr:nvSpPr>
          <xdr:cNvPr id="214" name="Arc 767"/>
          <xdr:cNvSpPr>
            <a:spLocks/>
          </xdr:cNvSpPr>
        </xdr:nvSpPr>
        <xdr:spPr>
          <a:xfrm>
            <a:off x="8992" y="4317"/>
            <a:ext cx="2439" cy="3456"/>
          </a:xfrm>
          <a:prstGeom prst="arc">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5" name="Arc 768"/>
          <xdr:cNvSpPr>
            <a:spLocks/>
          </xdr:cNvSpPr>
        </xdr:nvSpPr>
        <xdr:spPr>
          <a:xfrm flipV="1">
            <a:off x="7815" y="7841"/>
            <a:ext cx="3612" cy="2726"/>
          </a:xfrm>
          <a:prstGeom prst="arc">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6" name="Arc 769"/>
          <xdr:cNvSpPr>
            <a:spLocks/>
          </xdr:cNvSpPr>
        </xdr:nvSpPr>
        <xdr:spPr>
          <a:xfrm flipH="1" flipV="1">
            <a:off x="3444" y="7908"/>
            <a:ext cx="4287" cy="2726"/>
          </a:xfrm>
          <a:prstGeom prst="arc">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7" name="Arc 770"/>
          <xdr:cNvSpPr>
            <a:spLocks/>
          </xdr:cNvSpPr>
        </xdr:nvSpPr>
        <xdr:spPr>
          <a:xfrm flipH="1">
            <a:off x="3444" y="4118"/>
            <a:ext cx="2858" cy="3790"/>
          </a:xfrm>
          <a:prstGeom prst="arc">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8" name="Line 771"/>
          <xdr:cNvSpPr>
            <a:spLocks/>
          </xdr:cNvSpPr>
        </xdr:nvSpPr>
        <xdr:spPr>
          <a:xfrm>
            <a:off x="6302" y="4118"/>
            <a:ext cx="1597" cy="0"/>
          </a:xfrm>
          <a:prstGeom prst="line">
            <a:avLst/>
          </a:prstGeom>
          <a:solidFill>
            <a:srgbClr val="FFFFFF"/>
          </a:solidFill>
          <a:ln w="17145"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19" name="Line 772"/>
          <xdr:cNvSpPr>
            <a:spLocks/>
          </xdr:cNvSpPr>
        </xdr:nvSpPr>
        <xdr:spPr>
          <a:xfrm flipH="1" flipV="1">
            <a:off x="9411" y="10364"/>
            <a:ext cx="4874" cy="3988"/>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nvGrpSpPr>
          <xdr:cNvPr id="220" name="Group 773"/>
          <xdr:cNvGrpSpPr>
            <a:grpSpLocks/>
          </xdr:cNvGrpSpPr>
        </xdr:nvGrpSpPr>
        <xdr:grpSpPr>
          <a:xfrm>
            <a:off x="5883" y="5583"/>
            <a:ext cx="4371" cy="1194"/>
            <a:chOff x="5882" y="5581"/>
            <a:chExt cx="4370" cy="1196"/>
          </a:xfrm>
          <a:solidFill>
            <a:srgbClr val="FFFFFF"/>
          </a:solidFill>
        </xdr:grpSpPr>
        <xdr:sp>
          <xdr:nvSpPr>
            <xdr:cNvPr id="221" name="Line 774"/>
            <xdr:cNvSpPr>
              <a:spLocks/>
            </xdr:cNvSpPr>
          </xdr:nvSpPr>
          <xdr:spPr>
            <a:xfrm flipH="1">
              <a:off x="5882" y="5581"/>
              <a:ext cx="0" cy="119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2" name="Arc 775"/>
            <xdr:cNvSpPr>
              <a:spLocks/>
            </xdr:cNvSpPr>
          </xdr:nvSpPr>
          <xdr:spPr>
            <a:xfrm>
              <a:off x="8908" y="5980"/>
              <a:ext cx="672" cy="332"/>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3" name="Line 776"/>
            <xdr:cNvSpPr>
              <a:spLocks/>
            </xdr:cNvSpPr>
          </xdr:nvSpPr>
          <xdr:spPr>
            <a:xfrm>
              <a:off x="6218" y="5581"/>
              <a:ext cx="504" cy="39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4" name="Line 777"/>
            <xdr:cNvSpPr>
              <a:spLocks/>
            </xdr:cNvSpPr>
          </xdr:nvSpPr>
          <xdr:spPr>
            <a:xfrm flipH="1" flipV="1">
              <a:off x="9580" y="6312"/>
              <a:ext cx="336" cy="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5" name="Rectangle 778"/>
            <xdr:cNvSpPr>
              <a:spLocks/>
            </xdr:cNvSpPr>
          </xdr:nvSpPr>
          <xdr:spPr>
            <a:xfrm>
              <a:off x="5966" y="6379"/>
              <a:ext cx="2185" cy="13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6" name="Line 779"/>
            <xdr:cNvSpPr>
              <a:spLocks/>
            </xdr:cNvSpPr>
          </xdr:nvSpPr>
          <xdr:spPr>
            <a:xfrm>
              <a:off x="5882" y="6777"/>
              <a:ext cx="411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7" name="Rectangle 780"/>
            <xdr:cNvSpPr>
              <a:spLocks/>
            </xdr:cNvSpPr>
          </xdr:nvSpPr>
          <xdr:spPr>
            <a:xfrm>
              <a:off x="9160" y="6046"/>
              <a:ext cx="168" cy="266"/>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8" name="Line 781"/>
            <xdr:cNvSpPr>
              <a:spLocks/>
            </xdr:cNvSpPr>
          </xdr:nvSpPr>
          <xdr:spPr>
            <a:xfrm>
              <a:off x="5882" y="5581"/>
              <a:ext cx="3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9" name="Line 782"/>
            <xdr:cNvSpPr>
              <a:spLocks/>
            </xdr:cNvSpPr>
          </xdr:nvSpPr>
          <xdr:spPr>
            <a:xfrm>
              <a:off x="6723" y="5980"/>
              <a:ext cx="235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0" name="Arc 783"/>
            <xdr:cNvSpPr>
              <a:spLocks/>
            </xdr:cNvSpPr>
          </xdr:nvSpPr>
          <xdr:spPr>
            <a:xfrm>
              <a:off x="9832" y="6379"/>
              <a:ext cx="420" cy="19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1" name="Arc 784"/>
            <xdr:cNvSpPr>
              <a:spLocks/>
            </xdr:cNvSpPr>
          </xdr:nvSpPr>
          <xdr:spPr>
            <a:xfrm flipV="1">
              <a:off x="9916" y="6578"/>
              <a:ext cx="336" cy="19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2" name="Line 785"/>
            <xdr:cNvSpPr>
              <a:spLocks/>
            </xdr:cNvSpPr>
          </xdr:nvSpPr>
          <xdr:spPr>
            <a:xfrm>
              <a:off x="6807" y="5980"/>
              <a:ext cx="0" cy="26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3" name="Line 786"/>
            <xdr:cNvSpPr>
              <a:spLocks/>
            </xdr:cNvSpPr>
          </xdr:nvSpPr>
          <xdr:spPr>
            <a:xfrm>
              <a:off x="8740" y="5980"/>
              <a:ext cx="0" cy="26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4" name="Line 787"/>
            <xdr:cNvSpPr>
              <a:spLocks/>
            </xdr:cNvSpPr>
          </xdr:nvSpPr>
          <xdr:spPr>
            <a:xfrm>
              <a:off x="6807" y="6246"/>
              <a:ext cx="1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68</xdr:row>
      <xdr:rowOff>9525</xdr:rowOff>
    </xdr:from>
    <xdr:to>
      <xdr:col>5</xdr:col>
      <xdr:colOff>371475</xdr:colOff>
      <xdr:row>91</xdr:row>
      <xdr:rowOff>152400</xdr:rowOff>
    </xdr:to>
    <xdr:grpSp>
      <xdr:nvGrpSpPr>
        <xdr:cNvPr id="1" name="Group 1"/>
        <xdr:cNvGrpSpPr>
          <a:grpSpLocks/>
        </xdr:cNvGrpSpPr>
      </xdr:nvGrpSpPr>
      <xdr:grpSpPr>
        <a:xfrm>
          <a:off x="1438275" y="12325350"/>
          <a:ext cx="3762375" cy="4086225"/>
          <a:chOff x="-1610" y="-807"/>
          <a:chExt cx="18452" cy="20745"/>
        </a:xfrm>
        <a:solidFill>
          <a:srgbClr val="FFFFFF"/>
        </a:solidFill>
      </xdr:grpSpPr>
      <xdr:sp>
        <xdr:nvSpPr>
          <xdr:cNvPr id="2" name="Oval 2"/>
          <xdr:cNvSpPr>
            <a:spLocks/>
          </xdr:cNvSpPr>
        </xdr:nvSpPr>
        <xdr:spPr>
          <a:xfrm>
            <a:off x="-185" y="11116"/>
            <a:ext cx="15357" cy="5031"/>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3" name="Group 3"/>
          <xdr:cNvGrpSpPr>
            <a:grpSpLocks/>
          </xdr:cNvGrpSpPr>
        </xdr:nvGrpSpPr>
        <xdr:grpSpPr>
          <a:xfrm>
            <a:off x="-185" y="7641"/>
            <a:ext cx="15481" cy="12297"/>
            <a:chOff x="-186" y="7640"/>
            <a:chExt cx="15480" cy="12298"/>
          </a:xfrm>
          <a:solidFill>
            <a:srgbClr val="FFFFFF"/>
          </a:solidFill>
        </xdr:grpSpPr>
        <xdr:grpSp>
          <xdr:nvGrpSpPr>
            <xdr:cNvPr id="4" name="Group 4"/>
            <xdr:cNvGrpSpPr>
              <a:grpSpLocks/>
            </xdr:cNvGrpSpPr>
          </xdr:nvGrpSpPr>
          <xdr:grpSpPr>
            <a:xfrm>
              <a:off x="-186" y="7640"/>
              <a:ext cx="15418" cy="6026"/>
              <a:chOff x="-186" y="7640"/>
              <a:chExt cx="15418" cy="6025"/>
            </a:xfrm>
            <a:solidFill>
              <a:srgbClr val="FFFFFF"/>
            </a:solidFill>
          </xdr:grpSpPr>
          <xdr:sp>
            <xdr:nvSpPr>
              <xdr:cNvPr id="5" name="Arc 5"/>
              <xdr:cNvSpPr>
                <a:spLocks/>
              </xdr:cNvSpPr>
            </xdr:nvSpPr>
            <xdr:spPr>
              <a:xfrm flipH="1">
                <a:off x="-186" y="7640"/>
                <a:ext cx="7616" cy="6025"/>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 name="Arc 6"/>
              <xdr:cNvSpPr>
                <a:spLocks/>
              </xdr:cNvSpPr>
            </xdr:nvSpPr>
            <xdr:spPr>
              <a:xfrm>
                <a:off x="7369" y="7640"/>
                <a:ext cx="7863" cy="590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7" name="Group 7"/>
            <xdr:cNvGrpSpPr>
              <a:grpSpLocks/>
            </xdr:cNvGrpSpPr>
          </xdr:nvGrpSpPr>
          <xdr:grpSpPr>
            <a:xfrm>
              <a:off x="-186" y="13850"/>
              <a:ext cx="15480" cy="6088"/>
              <a:chOff x="-186" y="13851"/>
              <a:chExt cx="15480" cy="6087"/>
            </a:xfrm>
            <a:solidFill>
              <a:srgbClr val="FFFFFF"/>
            </a:solidFill>
          </xdr:grpSpPr>
          <xdr:sp>
            <xdr:nvSpPr>
              <xdr:cNvPr id="8" name="Arc 8"/>
              <xdr:cNvSpPr>
                <a:spLocks/>
              </xdr:cNvSpPr>
            </xdr:nvSpPr>
            <xdr:spPr>
              <a:xfrm flipH="1" flipV="1">
                <a:off x="-186" y="13851"/>
                <a:ext cx="7616" cy="6087"/>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 name="Arc 9"/>
              <xdr:cNvSpPr>
                <a:spLocks/>
              </xdr:cNvSpPr>
            </xdr:nvSpPr>
            <xdr:spPr>
              <a:xfrm flipV="1">
                <a:off x="7430" y="13851"/>
                <a:ext cx="7864" cy="6087"/>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0" name="Arc 10"/>
            <xdr:cNvSpPr>
              <a:spLocks/>
            </xdr:cNvSpPr>
          </xdr:nvSpPr>
          <xdr:spPr>
            <a:xfrm flipH="1">
              <a:off x="4706" y="7640"/>
              <a:ext cx="2724" cy="844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1" name="Group 11"/>
          <xdr:cNvGrpSpPr>
            <a:grpSpLocks/>
          </xdr:cNvGrpSpPr>
        </xdr:nvGrpSpPr>
        <xdr:grpSpPr>
          <a:xfrm>
            <a:off x="7307" y="7641"/>
            <a:ext cx="6071" cy="7764"/>
            <a:chOff x="7306" y="7640"/>
            <a:chExt cx="6069" cy="7764"/>
          </a:xfrm>
          <a:solidFill>
            <a:srgbClr val="FFFFFF"/>
          </a:solidFill>
        </xdr:grpSpPr>
        <xdr:sp>
          <xdr:nvSpPr>
            <xdr:cNvPr id="12" name="Arc 12"/>
            <xdr:cNvSpPr>
              <a:spLocks/>
            </xdr:cNvSpPr>
          </xdr:nvSpPr>
          <xdr:spPr>
            <a:xfrm>
              <a:off x="7430" y="7640"/>
              <a:ext cx="5945" cy="7764"/>
            </a:xfrm>
            <a:prstGeom prst="arc">
              <a:avLst/>
            </a:prstGeom>
            <a:no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 name="Line 13"/>
            <xdr:cNvSpPr>
              <a:spLocks/>
            </xdr:cNvSpPr>
          </xdr:nvSpPr>
          <xdr:spPr>
            <a:xfrm flipV="1">
              <a:off x="7306" y="10870"/>
              <a:ext cx="5016" cy="2609"/>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4" name="Group 14"/>
          <xdr:cNvGrpSpPr>
            <a:grpSpLocks/>
          </xdr:cNvGrpSpPr>
        </xdr:nvGrpSpPr>
        <xdr:grpSpPr>
          <a:xfrm>
            <a:off x="-1610" y="5712"/>
            <a:ext cx="18452" cy="10995"/>
            <a:chOff x="-1610" y="5714"/>
            <a:chExt cx="18452" cy="10994"/>
          </a:xfrm>
          <a:solidFill>
            <a:srgbClr val="FFFFFF"/>
          </a:solidFill>
        </xdr:grpSpPr>
        <xdr:sp>
          <xdr:nvSpPr>
            <xdr:cNvPr id="15" name="Line 15"/>
            <xdr:cNvSpPr>
              <a:spLocks/>
            </xdr:cNvSpPr>
          </xdr:nvSpPr>
          <xdr:spPr>
            <a:xfrm flipV="1">
              <a:off x="-1610" y="13479"/>
              <a:ext cx="18452"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 name="Line 16"/>
            <xdr:cNvSpPr>
              <a:spLocks/>
            </xdr:cNvSpPr>
          </xdr:nvSpPr>
          <xdr:spPr>
            <a:xfrm flipH="1">
              <a:off x="4087" y="11118"/>
              <a:ext cx="5632" cy="559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 name="Line 17"/>
            <xdr:cNvSpPr>
              <a:spLocks/>
            </xdr:cNvSpPr>
          </xdr:nvSpPr>
          <xdr:spPr>
            <a:xfrm flipV="1">
              <a:off x="7367" y="5714"/>
              <a:ext cx="0" cy="7765"/>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8" name="Line 18"/>
          <xdr:cNvSpPr>
            <a:spLocks/>
          </xdr:cNvSpPr>
        </xdr:nvSpPr>
        <xdr:spPr>
          <a:xfrm>
            <a:off x="9720" y="9068"/>
            <a:ext cx="2537" cy="180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 name="Line 19"/>
          <xdr:cNvSpPr>
            <a:spLocks/>
          </xdr:cNvSpPr>
        </xdr:nvSpPr>
        <xdr:spPr>
          <a:xfrm>
            <a:off x="11205" y="184"/>
            <a:ext cx="5014" cy="3604"/>
          </a:xfrm>
          <a:prstGeom prst="line">
            <a:avLst/>
          </a:prstGeom>
          <a:solidFill>
            <a:srgbClr val="FFFFFF"/>
          </a:solidFill>
          <a:ln w="2476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 name="Line 20"/>
          <xdr:cNvSpPr>
            <a:spLocks/>
          </xdr:cNvSpPr>
        </xdr:nvSpPr>
        <xdr:spPr>
          <a:xfrm flipV="1">
            <a:off x="10776" y="246"/>
            <a:ext cx="5014" cy="3231"/>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 name="Line 21"/>
          <xdr:cNvSpPr>
            <a:spLocks/>
          </xdr:cNvSpPr>
        </xdr:nvSpPr>
        <xdr:spPr>
          <a:xfrm flipV="1">
            <a:off x="13438" y="246"/>
            <a:ext cx="803" cy="1743"/>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22" name="Group 22"/>
          <xdr:cNvGrpSpPr>
            <a:grpSpLocks/>
          </xdr:cNvGrpSpPr>
        </xdr:nvGrpSpPr>
        <xdr:grpSpPr>
          <a:xfrm>
            <a:off x="7367" y="1926"/>
            <a:ext cx="6071" cy="13977"/>
            <a:chOff x="7368" y="1925"/>
            <a:chExt cx="6069" cy="13976"/>
          </a:xfrm>
          <a:solidFill>
            <a:srgbClr val="FFFFFF"/>
          </a:solidFill>
        </xdr:grpSpPr>
        <xdr:grpSp>
          <xdr:nvGrpSpPr>
            <xdr:cNvPr id="23" name="Group 23"/>
            <xdr:cNvGrpSpPr>
              <a:grpSpLocks/>
            </xdr:cNvGrpSpPr>
          </xdr:nvGrpSpPr>
          <xdr:grpSpPr>
            <a:xfrm>
              <a:off x="7368" y="1925"/>
              <a:ext cx="6069" cy="13976"/>
              <a:chOff x="7368" y="1925"/>
              <a:chExt cx="6069" cy="13976"/>
            </a:xfrm>
            <a:solidFill>
              <a:srgbClr val="FFFFFF"/>
            </a:solidFill>
          </xdr:grpSpPr>
          <xdr:sp>
            <xdr:nvSpPr>
              <xdr:cNvPr id="24" name="Arc 24"/>
              <xdr:cNvSpPr>
                <a:spLocks/>
              </xdr:cNvSpPr>
            </xdr:nvSpPr>
            <xdr:spPr>
              <a:xfrm>
                <a:off x="7492" y="7641"/>
                <a:ext cx="3776" cy="8260"/>
              </a:xfrm>
              <a:prstGeom prst="arc">
                <a:avLst/>
              </a:prstGeom>
              <a:no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 name="Line 25"/>
              <xdr:cNvSpPr>
                <a:spLocks/>
              </xdr:cNvSpPr>
            </xdr:nvSpPr>
            <xdr:spPr>
              <a:xfrm flipV="1">
                <a:off x="7368" y="1925"/>
                <a:ext cx="6069" cy="11555"/>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6" name="Line 26"/>
            <xdr:cNvSpPr>
              <a:spLocks/>
            </xdr:cNvSpPr>
          </xdr:nvSpPr>
          <xdr:spPr>
            <a:xfrm>
              <a:off x="7430" y="13417"/>
              <a:ext cx="3839" cy="2421"/>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7" name="Line 27"/>
          <xdr:cNvSpPr>
            <a:spLocks/>
          </xdr:cNvSpPr>
        </xdr:nvSpPr>
        <xdr:spPr>
          <a:xfrm flipV="1">
            <a:off x="12261" y="-558"/>
            <a:ext cx="1485" cy="1143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Oval 28"/>
          <xdr:cNvSpPr>
            <a:spLocks/>
          </xdr:cNvSpPr>
        </xdr:nvSpPr>
        <xdr:spPr>
          <a:xfrm>
            <a:off x="13562" y="-807"/>
            <a:ext cx="374" cy="373"/>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29" name="Group 29"/>
          <xdr:cNvGrpSpPr>
            <a:grpSpLocks/>
          </xdr:cNvGrpSpPr>
        </xdr:nvGrpSpPr>
        <xdr:grpSpPr>
          <a:xfrm>
            <a:off x="11828" y="1055"/>
            <a:ext cx="3220" cy="1120"/>
            <a:chOff x="11827" y="1056"/>
            <a:chExt cx="3219" cy="1118"/>
          </a:xfrm>
          <a:solidFill>
            <a:srgbClr val="FFFFFF"/>
          </a:solidFill>
        </xdr:grpSpPr>
        <xdr:sp>
          <xdr:nvSpPr>
            <xdr:cNvPr id="30" name="Line 30"/>
            <xdr:cNvSpPr>
              <a:spLocks/>
            </xdr:cNvSpPr>
          </xdr:nvSpPr>
          <xdr:spPr>
            <a:xfrm flipH="1">
              <a:off x="11827" y="1056"/>
              <a:ext cx="0" cy="111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 name="Arc 31"/>
            <xdr:cNvSpPr>
              <a:spLocks/>
            </xdr:cNvSpPr>
          </xdr:nvSpPr>
          <xdr:spPr>
            <a:xfrm>
              <a:off x="14056" y="1429"/>
              <a:ext cx="495" cy="311"/>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 name="Line 32"/>
            <xdr:cNvSpPr>
              <a:spLocks/>
            </xdr:cNvSpPr>
          </xdr:nvSpPr>
          <xdr:spPr>
            <a:xfrm>
              <a:off x="12074" y="1056"/>
              <a:ext cx="372" cy="37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Line 33"/>
            <xdr:cNvSpPr>
              <a:spLocks/>
            </xdr:cNvSpPr>
          </xdr:nvSpPr>
          <xdr:spPr>
            <a:xfrm flipH="1" flipV="1">
              <a:off x="14551" y="1740"/>
              <a:ext cx="248" cy="6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 name="Rectangle 34"/>
            <xdr:cNvSpPr>
              <a:spLocks/>
            </xdr:cNvSpPr>
          </xdr:nvSpPr>
          <xdr:spPr>
            <a:xfrm>
              <a:off x="11889" y="1802"/>
              <a:ext cx="1609" cy="12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 name="Line 35"/>
            <xdr:cNvSpPr>
              <a:spLocks/>
            </xdr:cNvSpPr>
          </xdr:nvSpPr>
          <xdr:spPr>
            <a:xfrm>
              <a:off x="11827" y="2174"/>
              <a:ext cx="30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Rectangle 36"/>
            <xdr:cNvSpPr>
              <a:spLocks/>
            </xdr:cNvSpPr>
          </xdr:nvSpPr>
          <xdr:spPr>
            <a:xfrm>
              <a:off x="14241" y="1491"/>
              <a:ext cx="124" cy="249"/>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 name="Line 37"/>
            <xdr:cNvSpPr>
              <a:spLocks/>
            </xdr:cNvSpPr>
          </xdr:nvSpPr>
          <xdr:spPr>
            <a:xfrm>
              <a:off x="11827" y="1056"/>
              <a:ext cx="24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 name="Line 38"/>
            <xdr:cNvSpPr>
              <a:spLocks/>
            </xdr:cNvSpPr>
          </xdr:nvSpPr>
          <xdr:spPr>
            <a:xfrm>
              <a:off x="12446" y="1429"/>
              <a:ext cx="17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Arc 39"/>
            <xdr:cNvSpPr>
              <a:spLocks/>
            </xdr:cNvSpPr>
          </xdr:nvSpPr>
          <xdr:spPr>
            <a:xfrm>
              <a:off x="14737" y="1802"/>
              <a:ext cx="309" cy="186"/>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 name="Arc 40"/>
            <xdr:cNvSpPr>
              <a:spLocks/>
            </xdr:cNvSpPr>
          </xdr:nvSpPr>
          <xdr:spPr>
            <a:xfrm flipV="1">
              <a:off x="14799" y="1988"/>
              <a:ext cx="247" cy="186"/>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 name="Line 41"/>
            <xdr:cNvSpPr>
              <a:spLocks/>
            </xdr:cNvSpPr>
          </xdr:nvSpPr>
          <xdr:spPr>
            <a:xfrm>
              <a:off x="12508" y="1429"/>
              <a:ext cx="0" cy="24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Line 42"/>
            <xdr:cNvSpPr>
              <a:spLocks/>
            </xdr:cNvSpPr>
          </xdr:nvSpPr>
          <xdr:spPr>
            <a:xfrm>
              <a:off x="13932" y="1429"/>
              <a:ext cx="0" cy="24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 name="Line 43"/>
            <xdr:cNvSpPr>
              <a:spLocks/>
            </xdr:cNvSpPr>
          </xdr:nvSpPr>
          <xdr:spPr>
            <a:xfrm>
              <a:off x="12508" y="1677"/>
              <a:ext cx="14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7</xdr:col>
      <xdr:colOff>476250</xdr:colOff>
      <xdr:row>69</xdr:row>
      <xdr:rowOff>76200</xdr:rowOff>
    </xdr:from>
    <xdr:to>
      <xdr:col>10</xdr:col>
      <xdr:colOff>371475</xdr:colOff>
      <xdr:row>90</xdr:row>
      <xdr:rowOff>152400</xdr:rowOff>
    </xdr:to>
    <xdr:grpSp>
      <xdr:nvGrpSpPr>
        <xdr:cNvPr id="44" name="Group 44"/>
        <xdr:cNvGrpSpPr>
          <a:grpSpLocks/>
        </xdr:cNvGrpSpPr>
      </xdr:nvGrpSpPr>
      <xdr:grpSpPr>
        <a:xfrm>
          <a:off x="7096125" y="12563475"/>
          <a:ext cx="2495550" cy="3676650"/>
          <a:chOff x="571" y="197"/>
          <a:chExt cx="216" cy="301"/>
        </a:xfrm>
        <a:solidFill>
          <a:srgbClr val="FFFFFF"/>
        </a:solidFill>
      </xdr:grpSpPr>
      <xdr:sp>
        <xdr:nvSpPr>
          <xdr:cNvPr id="45" name="Line 45"/>
          <xdr:cNvSpPr>
            <a:spLocks/>
          </xdr:cNvSpPr>
        </xdr:nvSpPr>
        <xdr:spPr>
          <a:xfrm>
            <a:off x="608" y="257"/>
            <a:ext cx="179" cy="123"/>
          </a:xfrm>
          <a:prstGeom prst="line">
            <a:avLst/>
          </a:prstGeom>
          <a:solidFill>
            <a:srgbClr val="FFFFFF"/>
          </a:solidFill>
          <a:ln w="2476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 name="Line 46"/>
          <xdr:cNvSpPr>
            <a:spLocks/>
          </xdr:cNvSpPr>
        </xdr:nvSpPr>
        <xdr:spPr>
          <a:xfrm flipV="1">
            <a:off x="607" y="276"/>
            <a:ext cx="164" cy="95"/>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 name="Line 47"/>
          <xdr:cNvSpPr>
            <a:spLocks/>
          </xdr:cNvSpPr>
        </xdr:nvSpPr>
        <xdr:spPr>
          <a:xfrm flipV="1">
            <a:off x="698" y="243"/>
            <a:ext cx="63" cy="78"/>
          </a:xfrm>
          <a:prstGeom prst="line">
            <a:avLst/>
          </a:prstGeom>
          <a:solidFill>
            <a:srgbClr val="FFFFFF"/>
          </a:solidFill>
          <a:ln w="1905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 name="Line 48"/>
          <xdr:cNvSpPr>
            <a:spLocks/>
          </xdr:cNvSpPr>
        </xdr:nvSpPr>
        <xdr:spPr>
          <a:xfrm flipV="1">
            <a:off x="571" y="316"/>
            <a:ext cx="131" cy="145"/>
          </a:xfrm>
          <a:prstGeom prst="line">
            <a:avLst/>
          </a:prstGeom>
          <a:solidFill>
            <a:srgbClr val="FFFFFF"/>
          </a:solidFill>
          <a:ln w="1905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9" name="Line 49"/>
          <xdr:cNvSpPr>
            <a:spLocks/>
          </xdr:cNvSpPr>
        </xdr:nvSpPr>
        <xdr:spPr>
          <a:xfrm flipV="1">
            <a:off x="691" y="231"/>
            <a:ext cx="9" cy="2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50" name="Group 50"/>
          <xdr:cNvGrpSpPr>
            <a:grpSpLocks/>
          </xdr:cNvGrpSpPr>
        </xdr:nvGrpSpPr>
        <xdr:grpSpPr>
          <a:xfrm>
            <a:off x="643" y="210"/>
            <a:ext cx="112" cy="41"/>
            <a:chOff x="2759" y="2798"/>
            <a:chExt cx="10603" cy="2440"/>
          </a:xfrm>
          <a:solidFill>
            <a:srgbClr val="FFFFFF"/>
          </a:solidFill>
        </xdr:grpSpPr>
        <xdr:sp>
          <xdr:nvSpPr>
            <xdr:cNvPr id="51" name="Line 51"/>
            <xdr:cNvSpPr>
              <a:spLocks/>
            </xdr:cNvSpPr>
          </xdr:nvSpPr>
          <xdr:spPr>
            <a:xfrm>
              <a:off x="2759" y="4464"/>
              <a:ext cx="5861" cy="774"/>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 name="Line 52"/>
            <xdr:cNvSpPr>
              <a:spLocks/>
            </xdr:cNvSpPr>
          </xdr:nvSpPr>
          <xdr:spPr>
            <a:xfrm>
              <a:off x="5086" y="3631"/>
              <a:ext cx="6036" cy="833"/>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 name="Line 53"/>
            <xdr:cNvSpPr>
              <a:spLocks/>
            </xdr:cNvSpPr>
          </xdr:nvSpPr>
          <xdr:spPr>
            <a:xfrm flipV="1">
              <a:off x="5776" y="3155"/>
              <a:ext cx="4570" cy="16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 name="Line 54"/>
            <xdr:cNvSpPr>
              <a:spLocks/>
            </xdr:cNvSpPr>
          </xdr:nvSpPr>
          <xdr:spPr>
            <a:xfrm flipV="1">
              <a:off x="8707" y="3631"/>
              <a:ext cx="4655" cy="160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 name="Line 55"/>
            <xdr:cNvSpPr>
              <a:spLocks/>
            </xdr:cNvSpPr>
          </xdr:nvSpPr>
          <xdr:spPr>
            <a:xfrm flipV="1">
              <a:off x="2759" y="2798"/>
              <a:ext cx="4570" cy="160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 name="Line 56"/>
            <xdr:cNvSpPr>
              <a:spLocks/>
            </xdr:cNvSpPr>
          </xdr:nvSpPr>
          <xdr:spPr>
            <a:xfrm>
              <a:off x="7329" y="2798"/>
              <a:ext cx="5948" cy="774"/>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57" name="Group 57"/>
          <xdr:cNvGrpSpPr>
            <a:grpSpLocks/>
          </xdr:cNvGrpSpPr>
        </xdr:nvGrpSpPr>
        <xdr:grpSpPr>
          <a:xfrm>
            <a:off x="661" y="299"/>
            <a:ext cx="83" cy="30"/>
            <a:chOff x="3535" y="7679"/>
            <a:chExt cx="6207" cy="1785"/>
          </a:xfrm>
          <a:solidFill>
            <a:srgbClr val="FFFFFF"/>
          </a:solidFill>
        </xdr:grpSpPr>
        <xdr:sp>
          <xdr:nvSpPr>
            <xdr:cNvPr id="58" name="Line 58"/>
            <xdr:cNvSpPr>
              <a:spLocks/>
            </xdr:cNvSpPr>
          </xdr:nvSpPr>
          <xdr:spPr>
            <a:xfrm flipH="1">
              <a:off x="3535" y="7679"/>
              <a:ext cx="0" cy="17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9" name="Arc 59"/>
            <xdr:cNvSpPr>
              <a:spLocks/>
            </xdr:cNvSpPr>
          </xdr:nvSpPr>
          <xdr:spPr>
            <a:xfrm>
              <a:off x="7846" y="8274"/>
              <a:ext cx="948" cy="476"/>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 name="Line 60"/>
            <xdr:cNvSpPr>
              <a:spLocks/>
            </xdr:cNvSpPr>
          </xdr:nvSpPr>
          <xdr:spPr>
            <a:xfrm>
              <a:off x="4052" y="7679"/>
              <a:ext cx="691" cy="59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1" name="Line 61"/>
            <xdr:cNvSpPr>
              <a:spLocks/>
            </xdr:cNvSpPr>
          </xdr:nvSpPr>
          <xdr:spPr>
            <a:xfrm flipH="1" flipV="1">
              <a:off x="8792" y="8750"/>
              <a:ext cx="431" cy="1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2" name="Rectangle 62"/>
            <xdr:cNvSpPr>
              <a:spLocks/>
            </xdr:cNvSpPr>
          </xdr:nvSpPr>
          <xdr:spPr>
            <a:xfrm>
              <a:off x="3620" y="8869"/>
              <a:ext cx="3104" cy="17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3" name="Line 63"/>
            <xdr:cNvSpPr>
              <a:spLocks/>
            </xdr:cNvSpPr>
          </xdr:nvSpPr>
          <xdr:spPr>
            <a:xfrm>
              <a:off x="3535" y="9464"/>
              <a:ext cx="586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4" name="Rectangle 64"/>
            <xdr:cNvSpPr>
              <a:spLocks/>
            </xdr:cNvSpPr>
          </xdr:nvSpPr>
          <xdr:spPr>
            <a:xfrm>
              <a:off x="8190" y="8393"/>
              <a:ext cx="258" cy="357"/>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5" name="Line 65"/>
            <xdr:cNvSpPr>
              <a:spLocks/>
            </xdr:cNvSpPr>
          </xdr:nvSpPr>
          <xdr:spPr>
            <a:xfrm>
              <a:off x="3535" y="7679"/>
              <a:ext cx="5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6" name="Line 66"/>
            <xdr:cNvSpPr>
              <a:spLocks/>
            </xdr:cNvSpPr>
          </xdr:nvSpPr>
          <xdr:spPr>
            <a:xfrm>
              <a:off x="4742" y="8274"/>
              <a:ext cx="336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7" name="Arc 67"/>
            <xdr:cNvSpPr>
              <a:spLocks/>
            </xdr:cNvSpPr>
          </xdr:nvSpPr>
          <xdr:spPr>
            <a:xfrm>
              <a:off x="9138" y="8869"/>
              <a:ext cx="604" cy="29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8" name="Arc 68"/>
            <xdr:cNvSpPr>
              <a:spLocks/>
            </xdr:cNvSpPr>
          </xdr:nvSpPr>
          <xdr:spPr>
            <a:xfrm flipV="1">
              <a:off x="9224" y="9167"/>
              <a:ext cx="518" cy="297"/>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9" name="Line 69"/>
            <xdr:cNvSpPr>
              <a:spLocks/>
            </xdr:cNvSpPr>
          </xdr:nvSpPr>
          <xdr:spPr>
            <a:xfrm>
              <a:off x="4828" y="8274"/>
              <a:ext cx="0" cy="41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0" name="Line 70"/>
            <xdr:cNvSpPr>
              <a:spLocks/>
            </xdr:cNvSpPr>
          </xdr:nvSpPr>
          <xdr:spPr>
            <a:xfrm>
              <a:off x="7587" y="8274"/>
              <a:ext cx="0" cy="41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1" name="Line 71"/>
            <xdr:cNvSpPr>
              <a:spLocks/>
            </xdr:cNvSpPr>
          </xdr:nvSpPr>
          <xdr:spPr>
            <a:xfrm>
              <a:off x="4828" y="8691"/>
              <a:ext cx="275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72" name="Line 72"/>
          <xdr:cNvSpPr>
            <a:spLocks/>
          </xdr:cNvSpPr>
        </xdr:nvSpPr>
        <xdr:spPr>
          <a:xfrm>
            <a:off x="730" y="237"/>
            <a:ext cx="29" cy="5"/>
          </a:xfrm>
          <a:prstGeom prst="line">
            <a:avLst/>
          </a:prstGeom>
          <a:noFill/>
          <a:ln w="1905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3" name="Line 73"/>
          <xdr:cNvSpPr>
            <a:spLocks/>
          </xdr:cNvSpPr>
        </xdr:nvSpPr>
        <xdr:spPr>
          <a:xfrm flipH="1" flipV="1">
            <a:off x="665" y="235"/>
            <a:ext cx="100" cy="257"/>
          </a:xfrm>
          <a:prstGeom prst="line">
            <a:avLst/>
          </a:prstGeom>
          <a:noFill/>
          <a:ln w="19050" cmpd="sng">
            <a:solidFill>
              <a:srgbClr val="1FB714"/>
            </a:solidFill>
            <a:headEnd type="none"/>
            <a:tailEnd type="oval"/>
          </a:ln>
        </xdr:spPr>
        <xdr:txBody>
          <a:bodyPr vertOverflow="clip" wrap="square"/>
          <a:p>
            <a:pPr algn="l">
              <a:defRPr/>
            </a:pPr>
            <a:r>
              <a:rPr lang="en-US" cap="none" u="none" baseline="0">
                <a:latin typeface="Geneva"/>
                <a:ea typeface="Geneva"/>
                <a:cs typeface="Geneva"/>
              </a:rPr>
              <a:t/>
            </a:r>
          </a:p>
        </xdr:txBody>
      </xdr:sp>
      <xdr:sp>
        <xdr:nvSpPr>
          <xdr:cNvPr id="74" name="Line 74"/>
          <xdr:cNvSpPr>
            <a:spLocks/>
          </xdr:cNvSpPr>
        </xdr:nvSpPr>
        <xdr:spPr>
          <a:xfrm>
            <a:off x="611" y="197"/>
            <a:ext cx="47" cy="3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75" name="Polygon 75"/>
          <xdr:cNvSpPr>
            <a:spLocks/>
          </xdr:cNvSpPr>
        </xdr:nvSpPr>
        <xdr:spPr>
          <a:xfrm>
            <a:off x="695" y="404"/>
            <a:ext cx="34" cy="9"/>
          </a:xfrm>
          <a:custGeom>
            <a:pathLst>
              <a:path h="9" w="34">
                <a:moveTo>
                  <a:pt x="0" y="8"/>
                </a:moveTo>
                <a:cubicBezTo>
                  <a:pt x="7" y="9"/>
                  <a:pt x="13" y="8"/>
                  <a:pt x="21" y="7"/>
                </a:cubicBezTo>
                <a:cubicBezTo>
                  <a:pt x="26" y="5"/>
                  <a:pt x="30" y="3"/>
                  <a:pt x="34" y="0"/>
                </a:cubicBezTo>
              </a:path>
            </a:pathLst>
          </a:custGeom>
          <a:noFill/>
          <a:ln w="19050" cmpd="sng">
            <a:solidFill>
              <a:srgbClr val="000000"/>
            </a:solidFill>
            <a:headEnd type="stealth"/>
            <a:tailEnd type="stealth"/>
          </a:ln>
        </xdr:spPr>
        <xdr:txBody>
          <a:bodyPr vertOverflow="clip" wrap="square"/>
          <a:p>
            <a:pPr algn="l">
              <a:defRPr/>
            </a:pPr>
            <a:r>
              <a:rPr lang="en-US" cap="none" u="none" baseline="0">
                <a:latin typeface="Geneva"/>
                <a:ea typeface="Geneva"/>
                <a:cs typeface="Geneva"/>
              </a:rPr>
              <a:t/>
            </a:r>
          </a:p>
        </xdr:txBody>
      </xdr:sp>
      <xdr:sp>
        <xdr:nvSpPr>
          <xdr:cNvPr id="76" name="Polygon 76"/>
          <xdr:cNvSpPr>
            <a:spLocks/>
          </xdr:cNvSpPr>
        </xdr:nvSpPr>
        <xdr:spPr>
          <a:xfrm flipV="1">
            <a:off x="674" y="262"/>
            <a:ext cx="27" cy="3"/>
          </a:xfrm>
          <a:custGeom>
            <a:pathLst>
              <a:path h="9" w="34">
                <a:moveTo>
                  <a:pt x="0" y="8"/>
                </a:moveTo>
                <a:cubicBezTo>
                  <a:pt x="7" y="9"/>
                  <a:pt x="13" y="8"/>
                  <a:pt x="21" y="7"/>
                </a:cubicBezTo>
                <a:cubicBezTo>
                  <a:pt x="26" y="5"/>
                  <a:pt x="30" y="3"/>
                  <a:pt x="34" y="0"/>
                </a:cubicBezTo>
              </a:path>
            </a:pathLst>
          </a:custGeom>
          <a:noFill/>
          <a:ln w="19050" cmpd="sng">
            <a:solidFill>
              <a:srgbClr val="000000"/>
            </a:solidFill>
            <a:headEnd type="stealth"/>
            <a:tailEnd type="stealth"/>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409575</xdr:colOff>
      <xdr:row>155</xdr:row>
      <xdr:rowOff>142875</xdr:rowOff>
    </xdr:from>
    <xdr:to>
      <xdr:col>10</xdr:col>
      <xdr:colOff>314325</xdr:colOff>
      <xdr:row>179</xdr:row>
      <xdr:rowOff>9525</xdr:rowOff>
    </xdr:to>
    <xdr:grpSp>
      <xdr:nvGrpSpPr>
        <xdr:cNvPr id="77" name="Group 77"/>
        <xdr:cNvGrpSpPr>
          <a:grpSpLocks/>
        </xdr:cNvGrpSpPr>
      </xdr:nvGrpSpPr>
      <xdr:grpSpPr>
        <a:xfrm>
          <a:off x="7029450" y="27374850"/>
          <a:ext cx="2505075" cy="3981450"/>
          <a:chOff x="571" y="197"/>
          <a:chExt cx="216" cy="301"/>
        </a:xfrm>
        <a:solidFill>
          <a:srgbClr val="FFFFFF"/>
        </a:solidFill>
      </xdr:grpSpPr>
      <xdr:sp>
        <xdr:nvSpPr>
          <xdr:cNvPr id="78" name="Line 78"/>
          <xdr:cNvSpPr>
            <a:spLocks/>
          </xdr:cNvSpPr>
        </xdr:nvSpPr>
        <xdr:spPr>
          <a:xfrm>
            <a:off x="608" y="257"/>
            <a:ext cx="179" cy="123"/>
          </a:xfrm>
          <a:prstGeom prst="line">
            <a:avLst/>
          </a:prstGeom>
          <a:solidFill>
            <a:srgbClr val="FFFFFF"/>
          </a:solidFill>
          <a:ln w="2476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9" name="Line 79"/>
          <xdr:cNvSpPr>
            <a:spLocks/>
          </xdr:cNvSpPr>
        </xdr:nvSpPr>
        <xdr:spPr>
          <a:xfrm flipV="1">
            <a:off x="607" y="276"/>
            <a:ext cx="164" cy="95"/>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0" name="Line 80"/>
          <xdr:cNvSpPr>
            <a:spLocks/>
          </xdr:cNvSpPr>
        </xdr:nvSpPr>
        <xdr:spPr>
          <a:xfrm flipV="1">
            <a:off x="698" y="243"/>
            <a:ext cx="63" cy="78"/>
          </a:xfrm>
          <a:prstGeom prst="line">
            <a:avLst/>
          </a:prstGeom>
          <a:solidFill>
            <a:srgbClr val="FFFFFF"/>
          </a:solidFill>
          <a:ln w="1905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1" name="Line 81"/>
          <xdr:cNvSpPr>
            <a:spLocks/>
          </xdr:cNvSpPr>
        </xdr:nvSpPr>
        <xdr:spPr>
          <a:xfrm flipV="1">
            <a:off x="571" y="316"/>
            <a:ext cx="131" cy="145"/>
          </a:xfrm>
          <a:prstGeom prst="line">
            <a:avLst/>
          </a:prstGeom>
          <a:solidFill>
            <a:srgbClr val="FFFFFF"/>
          </a:solidFill>
          <a:ln w="1905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2" name="Line 82"/>
          <xdr:cNvSpPr>
            <a:spLocks/>
          </xdr:cNvSpPr>
        </xdr:nvSpPr>
        <xdr:spPr>
          <a:xfrm flipV="1">
            <a:off x="691" y="231"/>
            <a:ext cx="9" cy="2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83" name="Group 83"/>
          <xdr:cNvGrpSpPr>
            <a:grpSpLocks/>
          </xdr:cNvGrpSpPr>
        </xdr:nvGrpSpPr>
        <xdr:grpSpPr>
          <a:xfrm>
            <a:off x="643" y="210"/>
            <a:ext cx="112" cy="41"/>
            <a:chOff x="2759" y="2798"/>
            <a:chExt cx="10603" cy="2440"/>
          </a:xfrm>
          <a:solidFill>
            <a:srgbClr val="FFFFFF"/>
          </a:solidFill>
        </xdr:grpSpPr>
        <xdr:sp>
          <xdr:nvSpPr>
            <xdr:cNvPr id="84" name="Line 84"/>
            <xdr:cNvSpPr>
              <a:spLocks/>
            </xdr:cNvSpPr>
          </xdr:nvSpPr>
          <xdr:spPr>
            <a:xfrm>
              <a:off x="2759" y="4464"/>
              <a:ext cx="5861" cy="774"/>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5" name="Line 85"/>
            <xdr:cNvSpPr>
              <a:spLocks/>
            </xdr:cNvSpPr>
          </xdr:nvSpPr>
          <xdr:spPr>
            <a:xfrm>
              <a:off x="5086" y="3631"/>
              <a:ext cx="6036" cy="833"/>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6" name="Line 86"/>
            <xdr:cNvSpPr>
              <a:spLocks/>
            </xdr:cNvSpPr>
          </xdr:nvSpPr>
          <xdr:spPr>
            <a:xfrm flipV="1">
              <a:off x="5776" y="3155"/>
              <a:ext cx="4570" cy="16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7" name="Line 87"/>
            <xdr:cNvSpPr>
              <a:spLocks/>
            </xdr:cNvSpPr>
          </xdr:nvSpPr>
          <xdr:spPr>
            <a:xfrm flipV="1">
              <a:off x="8707" y="3631"/>
              <a:ext cx="4655" cy="160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8" name="Line 88"/>
            <xdr:cNvSpPr>
              <a:spLocks/>
            </xdr:cNvSpPr>
          </xdr:nvSpPr>
          <xdr:spPr>
            <a:xfrm flipV="1">
              <a:off x="2759" y="2798"/>
              <a:ext cx="4570" cy="160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9" name="Line 89"/>
            <xdr:cNvSpPr>
              <a:spLocks/>
            </xdr:cNvSpPr>
          </xdr:nvSpPr>
          <xdr:spPr>
            <a:xfrm>
              <a:off x="7329" y="2798"/>
              <a:ext cx="5948" cy="774"/>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90" name="Group 90"/>
          <xdr:cNvGrpSpPr>
            <a:grpSpLocks/>
          </xdr:cNvGrpSpPr>
        </xdr:nvGrpSpPr>
        <xdr:grpSpPr>
          <a:xfrm>
            <a:off x="661" y="299"/>
            <a:ext cx="83" cy="30"/>
            <a:chOff x="3535" y="7679"/>
            <a:chExt cx="6207" cy="1785"/>
          </a:xfrm>
          <a:solidFill>
            <a:srgbClr val="FFFFFF"/>
          </a:solidFill>
        </xdr:grpSpPr>
        <xdr:sp>
          <xdr:nvSpPr>
            <xdr:cNvPr id="91" name="Line 91"/>
            <xdr:cNvSpPr>
              <a:spLocks/>
            </xdr:cNvSpPr>
          </xdr:nvSpPr>
          <xdr:spPr>
            <a:xfrm flipH="1">
              <a:off x="3535" y="7679"/>
              <a:ext cx="0" cy="17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2" name="Arc 92"/>
            <xdr:cNvSpPr>
              <a:spLocks/>
            </xdr:cNvSpPr>
          </xdr:nvSpPr>
          <xdr:spPr>
            <a:xfrm>
              <a:off x="7846" y="8274"/>
              <a:ext cx="948" cy="476"/>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3" name="Line 93"/>
            <xdr:cNvSpPr>
              <a:spLocks/>
            </xdr:cNvSpPr>
          </xdr:nvSpPr>
          <xdr:spPr>
            <a:xfrm>
              <a:off x="4052" y="7679"/>
              <a:ext cx="691" cy="59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4" name="Line 94"/>
            <xdr:cNvSpPr>
              <a:spLocks/>
            </xdr:cNvSpPr>
          </xdr:nvSpPr>
          <xdr:spPr>
            <a:xfrm flipH="1" flipV="1">
              <a:off x="8792" y="8750"/>
              <a:ext cx="431" cy="1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5" name="Rectangle 95"/>
            <xdr:cNvSpPr>
              <a:spLocks/>
            </xdr:cNvSpPr>
          </xdr:nvSpPr>
          <xdr:spPr>
            <a:xfrm>
              <a:off x="3620" y="8869"/>
              <a:ext cx="3104" cy="17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6" name="Line 96"/>
            <xdr:cNvSpPr>
              <a:spLocks/>
            </xdr:cNvSpPr>
          </xdr:nvSpPr>
          <xdr:spPr>
            <a:xfrm>
              <a:off x="3535" y="9464"/>
              <a:ext cx="586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7" name="Rectangle 97"/>
            <xdr:cNvSpPr>
              <a:spLocks/>
            </xdr:cNvSpPr>
          </xdr:nvSpPr>
          <xdr:spPr>
            <a:xfrm>
              <a:off x="8190" y="8393"/>
              <a:ext cx="258" cy="357"/>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8" name="Line 98"/>
            <xdr:cNvSpPr>
              <a:spLocks/>
            </xdr:cNvSpPr>
          </xdr:nvSpPr>
          <xdr:spPr>
            <a:xfrm>
              <a:off x="3535" y="7679"/>
              <a:ext cx="5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9" name="Line 99"/>
            <xdr:cNvSpPr>
              <a:spLocks/>
            </xdr:cNvSpPr>
          </xdr:nvSpPr>
          <xdr:spPr>
            <a:xfrm>
              <a:off x="4742" y="8274"/>
              <a:ext cx="336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0" name="Arc 100"/>
            <xdr:cNvSpPr>
              <a:spLocks/>
            </xdr:cNvSpPr>
          </xdr:nvSpPr>
          <xdr:spPr>
            <a:xfrm>
              <a:off x="9138" y="8869"/>
              <a:ext cx="604" cy="29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1" name="Arc 101"/>
            <xdr:cNvSpPr>
              <a:spLocks/>
            </xdr:cNvSpPr>
          </xdr:nvSpPr>
          <xdr:spPr>
            <a:xfrm flipV="1">
              <a:off x="9224" y="9167"/>
              <a:ext cx="518" cy="297"/>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2" name="Line 102"/>
            <xdr:cNvSpPr>
              <a:spLocks/>
            </xdr:cNvSpPr>
          </xdr:nvSpPr>
          <xdr:spPr>
            <a:xfrm>
              <a:off x="4828" y="8274"/>
              <a:ext cx="0" cy="41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3" name="Line 103"/>
            <xdr:cNvSpPr>
              <a:spLocks/>
            </xdr:cNvSpPr>
          </xdr:nvSpPr>
          <xdr:spPr>
            <a:xfrm>
              <a:off x="7587" y="8274"/>
              <a:ext cx="0" cy="41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4" name="Line 104"/>
            <xdr:cNvSpPr>
              <a:spLocks/>
            </xdr:cNvSpPr>
          </xdr:nvSpPr>
          <xdr:spPr>
            <a:xfrm>
              <a:off x="4828" y="8691"/>
              <a:ext cx="275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05" name="Line 105"/>
          <xdr:cNvSpPr>
            <a:spLocks/>
          </xdr:cNvSpPr>
        </xdr:nvSpPr>
        <xdr:spPr>
          <a:xfrm>
            <a:off x="730" y="237"/>
            <a:ext cx="29" cy="5"/>
          </a:xfrm>
          <a:prstGeom prst="line">
            <a:avLst/>
          </a:prstGeom>
          <a:noFill/>
          <a:ln w="19050"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6" name="Line 106"/>
          <xdr:cNvSpPr>
            <a:spLocks/>
          </xdr:cNvSpPr>
        </xdr:nvSpPr>
        <xdr:spPr>
          <a:xfrm flipH="1" flipV="1">
            <a:off x="665" y="235"/>
            <a:ext cx="100" cy="257"/>
          </a:xfrm>
          <a:prstGeom prst="line">
            <a:avLst/>
          </a:prstGeom>
          <a:noFill/>
          <a:ln w="19050" cmpd="sng">
            <a:solidFill>
              <a:srgbClr val="1FB714"/>
            </a:solidFill>
            <a:headEnd type="none"/>
            <a:tailEnd type="oval"/>
          </a:ln>
        </xdr:spPr>
        <xdr:txBody>
          <a:bodyPr vertOverflow="clip" wrap="square"/>
          <a:p>
            <a:pPr algn="l">
              <a:defRPr/>
            </a:pPr>
            <a:r>
              <a:rPr lang="en-US" cap="none" u="none" baseline="0">
                <a:latin typeface="Geneva"/>
                <a:ea typeface="Geneva"/>
                <a:cs typeface="Geneva"/>
              </a:rPr>
              <a:t/>
            </a:r>
          </a:p>
        </xdr:txBody>
      </xdr:sp>
      <xdr:sp>
        <xdr:nvSpPr>
          <xdr:cNvPr id="107" name="Line 107"/>
          <xdr:cNvSpPr>
            <a:spLocks/>
          </xdr:cNvSpPr>
        </xdr:nvSpPr>
        <xdr:spPr>
          <a:xfrm>
            <a:off x="611" y="197"/>
            <a:ext cx="47" cy="3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108" name="Polygon 108"/>
          <xdr:cNvSpPr>
            <a:spLocks/>
          </xdr:cNvSpPr>
        </xdr:nvSpPr>
        <xdr:spPr>
          <a:xfrm>
            <a:off x="695" y="404"/>
            <a:ext cx="34" cy="9"/>
          </a:xfrm>
          <a:custGeom>
            <a:pathLst>
              <a:path h="9" w="34">
                <a:moveTo>
                  <a:pt x="0" y="8"/>
                </a:moveTo>
                <a:cubicBezTo>
                  <a:pt x="7" y="9"/>
                  <a:pt x="13" y="8"/>
                  <a:pt x="21" y="7"/>
                </a:cubicBezTo>
                <a:cubicBezTo>
                  <a:pt x="26" y="5"/>
                  <a:pt x="30" y="3"/>
                  <a:pt x="34" y="0"/>
                </a:cubicBezTo>
              </a:path>
            </a:pathLst>
          </a:custGeom>
          <a:noFill/>
          <a:ln w="19050" cmpd="sng">
            <a:solidFill>
              <a:srgbClr val="000000"/>
            </a:solidFill>
            <a:headEnd type="stealth"/>
            <a:tailEnd type="stealth"/>
          </a:ln>
        </xdr:spPr>
        <xdr:txBody>
          <a:bodyPr vertOverflow="clip" wrap="square"/>
          <a:p>
            <a:pPr algn="l">
              <a:defRPr/>
            </a:pPr>
            <a:r>
              <a:rPr lang="en-US" cap="none" u="none" baseline="0">
                <a:latin typeface="Geneva"/>
                <a:ea typeface="Geneva"/>
                <a:cs typeface="Geneva"/>
              </a:rPr>
              <a:t/>
            </a:r>
          </a:p>
        </xdr:txBody>
      </xdr:sp>
      <xdr:sp>
        <xdr:nvSpPr>
          <xdr:cNvPr id="109" name="Polygon 109"/>
          <xdr:cNvSpPr>
            <a:spLocks/>
          </xdr:cNvSpPr>
        </xdr:nvSpPr>
        <xdr:spPr>
          <a:xfrm flipV="1">
            <a:off x="674" y="262"/>
            <a:ext cx="27" cy="3"/>
          </a:xfrm>
          <a:custGeom>
            <a:pathLst>
              <a:path h="9" w="34">
                <a:moveTo>
                  <a:pt x="0" y="8"/>
                </a:moveTo>
                <a:cubicBezTo>
                  <a:pt x="7" y="9"/>
                  <a:pt x="13" y="8"/>
                  <a:pt x="21" y="7"/>
                </a:cubicBezTo>
                <a:cubicBezTo>
                  <a:pt x="26" y="5"/>
                  <a:pt x="30" y="3"/>
                  <a:pt x="34" y="0"/>
                </a:cubicBezTo>
              </a:path>
            </a:pathLst>
          </a:custGeom>
          <a:noFill/>
          <a:ln w="19050" cmpd="sng">
            <a:solidFill>
              <a:srgbClr val="000000"/>
            </a:solidFill>
            <a:headEnd type="stealth"/>
            <a:tailEnd type="stealth"/>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476250</xdr:colOff>
      <xdr:row>168</xdr:row>
      <xdr:rowOff>0</xdr:rowOff>
    </xdr:from>
    <xdr:to>
      <xdr:col>2</xdr:col>
      <xdr:colOff>504825</xdr:colOff>
      <xdr:row>174</xdr:row>
      <xdr:rowOff>104775</xdr:rowOff>
    </xdr:to>
    <xdr:sp>
      <xdr:nvSpPr>
        <xdr:cNvPr id="110" name="Line 110"/>
        <xdr:cNvSpPr>
          <a:spLocks/>
        </xdr:cNvSpPr>
      </xdr:nvSpPr>
      <xdr:spPr>
        <a:xfrm flipV="1">
          <a:off x="2314575" y="29460825"/>
          <a:ext cx="19050" cy="1133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742950</xdr:colOff>
      <xdr:row>166</xdr:row>
      <xdr:rowOff>66675</xdr:rowOff>
    </xdr:from>
    <xdr:to>
      <xdr:col>3</xdr:col>
      <xdr:colOff>238125</xdr:colOff>
      <xdr:row>169</xdr:row>
      <xdr:rowOff>85725</xdr:rowOff>
    </xdr:to>
    <xdr:grpSp>
      <xdr:nvGrpSpPr>
        <xdr:cNvPr id="111" name="Group 111"/>
        <xdr:cNvGrpSpPr>
          <a:grpSpLocks/>
        </xdr:cNvGrpSpPr>
      </xdr:nvGrpSpPr>
      <xdr:grpSpPr>
        <a:xfrm>
          <a:off x="1609725" y="29184600"/>
          <a:ext cx="1381125" cy="533400"/>
          <a:chOff x="2759" y="2798"/>
          <a:chExt cx="10603" cy="2440"/>
        </a:xfrm>
        <a:solidFill>
          <a:srgbClr val="FFFFFF"/>
        </a:solidFill>
      </xdr:grpSpPr>
      <xdr:sp>
        <xdr:nvSpPr>
          <xdr:cNvPr id="112" name="Line 112"/>
          <xdr:cNvSpPr>
            <a:spLocks/>
          </xdr:cNvSpPr>
        </xdr:nvSpPr>
        <xdr:spPr>
          <a:xfrm>
            <a:off x="2759" y="4464"/>
            <a:ext cx="5861" cy="774"/>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3" name="Line 113"/>
          <xdr:cNvSpPr>
            <a:spLocks/>
          </xdr:cNvSpPr>
        </xdr:nvSpPr>
        <xdr:spPr>
          <a:xfrm>
            <a:off x="5086" y="3631"/>
            <a:ext cx="6036" cy="833"/>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4" name="Line 114"/>
          <xdr:cNvSpPr>
            <a:spLocks/>
          </xdr:cNvSpPr>
        </xdr:nvSpPr>
        <xdr:spPr>
          <a:xfrm flipV="1">
            <a:off x="5776" y="3155"/>
            <a:ext cx="4570" cy="16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5" name="Line 115"/>
          <xdr:cNvSpPr>
            <a:spLocks/>
          </xdr:cNvSpPr>
        </xdr:nvSpPr>
        <xdr:spPr>
          <a:xfrm flipV="1">
            <a:off x="8707" y="3631"/>
            <a:ext cx="4655" cy="160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6" name="Line 116"/>
          <xdr:cNvSpPr>
            <a:spLocks/>
          </xdr:cNvSpPr>
        </xdr:nvSpPr>
        <xdr:spPr>
          <a:xfrm flipV="1">
            <a:off x="2759" y="2798"/>
            <a:ext cx="4570" cy="160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7" name="Line 117"/>
          <xdr:cNvSpPr>
            <a:spLocks/>
          </xdr:cNvSpPr>
        </xdr:nvSpPr>
        <xdr:spPr>
          <a:xfrm>
            <a:off x="7329" y="2798"/>
            <a:ext cx="5948" cy="774"/>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123825</xdr:colOff>
      <xdr:row>168</xdr:row>
      <xdr:rowOff>47625</xdr:rowOff>
    </xdr:from>
    <xdr:to>
      <xdr:col>2</xdr:col>
      <xdr:colOff>476250</xdr:colOff>
      <xdr:row>174</xdr:row>
      <xdr:rowOff>114300</xdr:rowOff>
    </xdr:to>
    <xdr:sp>
      <xdr:nvSpPr>
        <xdr:cNvPr id="118" name="Line 118"/>
        <xdr:cNvSpPr>
          <a:spLocks/>
        </xdr:cNvSpPr>
      </xdr:nvSpPr>
      <xdr:spPr>
        <a:xfrm flipH="1" flipV="1">
          <a:off x="1962150" y="29508450"/>
          <a:ext cx="361950" cy="1095375"/>
        </a:xfrm>
        <a:prstGeom prst="line">
          <a:avLst/>
        </a:prstGeom>
        <a:noFill/>
        <a:ln w="19050" cmpd="sng">
          <a:solidFill>
            <a:srgbClr val="1FB714"/>
          </a:solidFill>
          <a:headEnd type="none"/>
          <a:tailEnd type="ova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219075</xdr:colOff>
      <xdr:row>170</xdr:row>
      <xdr:rowOff>66675</xdr:rowOff>
    </xdr:from>
    <xdr:to>
      <xdr:col>2</xdr:col>
      <xdr:colOff>514350</xdr:colOff>
      <xdr:row>170</xdr:row>
      <xdr:rowOff>104775</xdr:rowOff>
    </xdr:to>
    <xdr:sp>
      <xdr:nvSpPr>
        <xdr:cNvPr id="119" name="Polygon 119"/>
        <xdr:cNvSpPr>
          <a:spLocks/>
        </xdr:cNvSpPr>
      </xdr:nvSpPr>
      <xdr:spPr>
        <a:xfrm flipV="1">
          <a:off x="2057400" y="29870400"/>
          <a:ext cx="295275" cy="38100"/>
        </a:xfrm>
        <a:custGeom>
          <a:pathLst>
            <a:path h="9" w="34">
              <a:moveTo>
                <a:pt x="0" y="8"/>
              </a:moveTo>
              <a:cubicBezTo>
                <a:pt x="7" y="9"/>
                <a:pt x="13" y="8"/>
                <a:pt x="21" y="7"/>
              </a:cubicBezTo>
              <a:cubicBezTo>
                <a:pt x="26" y="5"/>
                <a:pt x="30" y="3"/>
                <a:pt x="34" y="0"/>
              </a:cubicBezTo>
            </a:path>
          </a:pathLst>
        </a:custGeom>
        <a:noFill/>
        <a:ln w="19050" cmpd="sng">
          <a:solidFill>
            <a:srgbClr val="000000"/>
          </a:solidFill>
          <a:headEnd type="stealth"/>
          <a:tailEnd type="stealth"/>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542925</xdr:colOff>
      <xdr:row>168</xdr:row>
      <xdr:rowOff>66675</xdr:rowOff>
    </xdr:from>
    <xdr:to>
      <xdr:col>3</xdr:col>
      <xdr:colOff>28575</xdr:colOff>
      <xdr:row>174</xdr:row>
      <xdr:rowOff>104775</xdr:rowOff>
    </xdr:to>
    <xdr:sp>
      <xdr:nvSpPr>
        <xdr:cNvPr id="120" name="Polygon 120"/>
        <xdr:cNvSpPr>
          <a:spLocks/>
        </xdr:cNvSpPr>
      </xdr:nvSpPr>
      <xdr:spPr>
        <a:xfrm>
          <a:off x="2381250" y="29527500"/>
          <a:ext cx="400050" cy="1066800"/>
        </a:xfrm>
        <a:custGeom>
          <a:pathLst>
            <a:path h="85" w="30">
              <a:moveTo>
                <a:pt x="0" y="0"/>
              </a:moveTo>
              <a:cubicBezTo>
                <a:pt x="1" y="2"/>
                <a:pt x="4" y="11"/>
                <a:pt x="7" y="12"/>
              </a:cubicBezTo>
              <a:cubicBezTo>
                <a:pt x="10" y="13"/>
                <a:pt x="13" y="14"/>
                <a:pt x="16" y="15"/>
              </a:cubicBezTo>
              <a:cubicBezTo>
                <a:pt x="17" y="15"/>
                <a:pt x="19" y="16"/>
                <a:pt x="19" y="16"/>
              </a:cubicBezTo>
              <a:cubicBezTo>
                <a:pt x="20" y="20"/>
                <a:pt x="23" y="30"/>
                <a:pt x="23" y="30"/>
              </a:cubicBezTo>
              <a:cubicBezTo>
                <a:pt x="21" y="47"/>
                <a:pt x="19" y="48"/>
                <a:pt x="30" y="56"/>
              </a:cubicBezTo>
              <a:cubicBezTo>
                <a:pt x="26" y="57"/>
                <a:pt x="23" y="66"/>
                <a:pt x="23" y="66"/>
              </a:cubicBezTo>
              <a:cubicBezTo>
                <a:pt x="22" y="76"/>
                <a:pt x="21" y="81"/>
                <a:pt x="11" y="85"/>
              </a:cubicBezTo>
              <a:cubicBezTo>
                <a:pt x="6" y="83"/>
                <a:pt x="9" y="84"/>
                <a:pt x="2" y="84"/>
              </a:cubicBezTo>
            </a:path>
          </a:pathLst>
        </a:custGeom>
        <a:noFill/>
        <a:ln w="19050" cmpd="sng">
          <a:solidFill>
            <a:srgbClr val="3366FF"/>
          </a:solidFill>
          <a:headEnd type="stealth"/>
          <a:tailEnd type="stealth"/>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838200</xdr:colOff>
      <xdr:row>168</xdr:row>
      <xdr:rowOff>114300</xdr:rowOff>
    </xdr:from>
    <xdr:to>
      <xdr:col>2</xdr:col>
      <xdr:colOff>428625</xdr:colOff>
      <xdr:row>174</xdr:row>
      <xdr:rowOff>133350</xdr:rowOff>
    </xdr:to>
    <xdr:sp>
      <xdr:nvSpPr>
        <xdr:cNvPr id="121" name="Polygon 121"/>
        <xdr:cNvSpPr>
          <a:spLocks/>
        </xdr:cNvSpPr>
      </xdr:nvSpPr>
      <xdr:spPr>
        <a:xfrm>
          <a:off x="1704975" y="29575125"/>
          <a:ext cx="561975" cy="1047750"/>
        </a:xfrm>
        <a:custGeom>
          <a:pathLst>
            <a:path h="80" w="42">
              <a:moveTo>
                <a:pt x="7" y="0"/>
              </a:moveTo>
              <a:cubicBezTo>
                <a:pt x="1" y="3"/>
                <a:pt x="1" y="5"/>
                <a:pt x="1" y="13"/>
              </a:cubicBezTo>
              <a:cubicBezTo>
                <a:pt x="1" y="20"/>
                <a:pt x="0" y="23"/>
                <a:pt x="6" y="27"/>
              </a:cubicBezTo>
              <a:cubicBezTo>
                <a:pt x="7" y="30"/>
                <a:pt x="8" y="32"/>
                <a:pt x="10" y="36"/>
              </a:cubicBezTo>
              <a:cubicBezTo>
                <a:pt x="9" y="42"/>
                <a:pt x="9" y="45"/>
                <a:pt x="6" y="50"/>
              </a:cubicBezTo>
              <a:cubicBezTo>
                <a:pt x="13" y="55"/>
                <a:pt x="16" y="51"/>
                <a:pt x="24" y="59"/>
              </a:cubicBezTo>
              <a:cubicBezTo>
                <a:pt x="25" y="63"/>
                <a:pt x="32" y="69"/>
                <a:pt x="32" y="69"/>
              </a:cubicBezTo>
              <a:cubicBezTo>
                <a:pt x="34" y="76"/>
                <a:pt x="32" y="80"/>
                <a:pt x="42" y="80"/>
              </a:cubicBezTo>
            </a:path>
          </a:pathLst>
        </a:custGeom>
        <a:noFill/>
        <a:ln w="25400" cmpd="sng">
          <a:solidFill>
            <a:srgbClr val="F309ED"/>
          </a:solidFill>
          <a:headEnd type="stealth"/>
          <a:tailEnd type="stealth"/>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838200</xdr:colOff>
      <xdr:row>37</xdr:row>
      <xdr:rowOff>142875</xdr:rowOff>
    </xdr:from>
    <xdr:to>
      <xdr:col>4</xdr:col>
      <xdr:colOff>285750</xdr:colOff>
      <xdr:row>56</xdr:row>
      <xdr:rowOff>28575</xdr:rowOff>
    </xdr:to>
    <xdr:grpSp>
      <xdr:nvGrpSpPr>
        <xdr:cNvPr id="122" name="Group 122"/>
        <xdr:cNvGrpSpPr>
          <a:grpSpLocks/>
        </xdr:cNvGrpSpPr>
      </xdr:nvGrpSpPr>
      <xdr:grpSpPr>
        <a:xfrm>
          <a:off x="1704975" y="7029450"/>
          <a:ext cx="2543175" cy="3143250"/>
          <a:chOff x="147" y="1296"/>
          <a:chExt cx="182" cy="256"/>
        </a:xfrm>
        <a:solidFill>
          <a:srgbClr val="FFFFFF"/>
        </a:solidFill>
      </xdr:grpSpPr>
      <xdr:sp>
        <xdr:nvSpPr>
          <xdr:cNvPr id="123" name="Line 123"/>
          <xdr:cNvSpPr>
            <a:spLocks/>
          </xdr:cNvSpPr>
        </xdr:nvSpPr>
        <xdr:spPr>
          <a:xfrm>
            <a:off x="158" y="1338"/>
            <a:ext cx="171" cy="108"/>
          </a:xfrm>
          <a:prstGeom prst="line">
            <a:avLst/>
          </a:prstGeom>
          <a:solidFill>
            <a:srgbClr val="FFFFFF"/>
          </a:solidFill>
          <a:ln w="2476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4" name="Line 124"/>
          <xdr:cNvSpPr>
            <a:spLocks/>
          </xdr:cNvSpPr>
        </xdr:nvSpPr>
        <xdr:spPr>
          <a:xfrm flipV="1">
            <a:off x="148" y="1347"/>
            <a:ext cx="163" cy="84"/>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5" name="Line 125"/>
          <xdr:cNvSpPr>
            <a:spLocks/>
          </xdr:cNvSpPr>
        </xdr:nvSpPr>
        <xdr:spPr>
          <a:xfrm flipV="1">
            <a:off x="233" y="1340"/>
            <a:ext cx="29" cy="51"/>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6" name="Line 126"/>
          <xdr:cNvSpPr>
            <a:spLocks/>
          </xdr:cNvSpPr>
        </xdr:nvSpPr>
        <xdr:spPr>
          <a:xfrm flipV="1">
            <a:off x="147" y="1390"/>
            <a:ext cx="87" cy="146"/>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7" name="Line 127"/>
          <xdr:cNvSpPr>
            <a:spLocks/>
          </xdr:cNvSpPr>
        </xdr:nvSpPr>
        <xdr:spPr>
          <a:xfrm flipV="1">
            <a:off x="210" y="1315"/>
            <a:ext cx="35" cy="23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8" name="Oval 128"/>
          <xdr:cNvSpPr>
            <a:spLocks/>
          </xdr:cNvSpPr>
        </xdr:nvSpPr>
        <xdr:spPr>
          <a:xfrm>
            <a:off x="236" y="1308"/>
            <a:ext cx="15" cy="14"/>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9" name="Line 129"/>
          <xdr:cNvSpPr>
            <a:spLocks/>
          </xdr:cNvSpPr>
        </xdr:nvSpPr>
        <xdr:spPr>
          <a:xfrm>
            <a:off x="186" y="1322"/>
            <a:ext cx="64" cy="11"/>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0" name="Line 130"/>
          <xdr:cNvSpPr>
            <a:spLocks/>
          </xdr:cNvSpPr>
        </xdr:nvSpPr>
        <xdr:spPr>
          <a:xfrm>
            <a:off x="197" y="1307"/>
            <a:ext cx="99" cy="17"/>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1" name="Line 131"/>
          <xdr:cNvSpPr>
            <a:spLocks/>
          </xdr:cNvSpPr>
        </xdr:nvSpPr>
        <xdr:spPr>
          <a:xfrm flipV="1">
            <a:off x="207" y="1296"/>
            <a:ext cx="74" cy="3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2" name="Line 132"/>
          <xdr:cNvSpPr>
            <a:spLocks/>
          </xdr:cNvSpPr>
        </xdr:nvSpPr>
        <xdr:spPr>
          <a:xfrm flipV="1">
            <a:off x="250" y="1309"/>
            <a:ext cx="50" cy="2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3" name="Line 133"/>
          <xdr:cNvSpPr>
            <a:spLocks/>
          </xdr:cNvSpPr>
        </xdr:nvSpPr>
        <xdr:spPr>
          <a:xfrm flipV="1">
            <a:off x="186" y="1297"/>
            <a:ext cx="50" cy="2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4" name="Line 134"/>
          <xdr:cNvSpPr>
            <a:spLocks/>
          </xdr:cNvSpPr>
        </xdr:nvSpPr>
        <xdr:spPr>
          <a:xfrm>
            <a:off x="236" y="1297"/>
            <a:ext cx="63" cy="11"/>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135" name="Group 135"/>
          <xdr:cNvGrpSpPr>
            <a:grpSpLocks/>
          </xdr:cNvGrpSpPr>
        </xdr:nvGrpSpPr>
        <xdr:grpSpPr>
          <a:xfrm>
            <a:off x="217" y="1373"/>
            <a:ext cx="50" cy="16"/>
            <a:chOff x="5882" y="5581"/>
            <a:chExt cx="4370" cy="1196"/>
          </a:xfrm>
          <a:solidFill>
            <a:srgbClr val="FFFFFF"/>
          </a:solidFill>
        </xdr:grpSpPr>
        <xdr:sp>
          <xdr:nvSpPr>
            <xdr:cNvPr id="136" name="Line 136"/>
            <xdr:cNvSpPr>
              <a:spLocks/>
            </xdr:cNvSpPr>
          </xdr:nvSpPr>
          <xdr:spPr>
            <a:xfrm flipH="1">
              <a:off x="5882" y="5581"/>
              <a:ext cx="0" cy="119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7" name="Arc 137"/>
            <xdr:cNvSpPr>
              <a:spLocks/>
            </xdr:cNvSpPr>
          </xdr:nvSpPr>
          <xdr:spPr>
            <a:xfrm>
              <a:off x="8908" y="5980"/>
              <a:ext cx="672" cy="332"/>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8" name="Line 138"/>
            <xdr:cNvSpPr>
              <a:spLocks/>
            </xdr:cNvSpPr>
          </xdr:nvSpPr>
          <xdr:spPr>
            <a:xfrm>
              <a:off x="6218" y="5581"/>
              <a:ext cx="504" cy="39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9" name="Line 139"/>
            <xdr:cNvSpPr>
              <a:spLocks/>
            </xdr:cNvSpPr>
          </xdr:nvSpPr>
          <xdr:spPr>
            <a:xfrm flipH="1" flipV="1">
              <a:off x="9580" y="6312"/>
              <a:ext cx="336" cy="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0" name="Rectangle 140"/>
            <xdr:cNvSpPr>
              <a:spLocks/>
            </xdr:cNvSpPr>
          </xdr:nvSpPr>
          <xdr:spPr>
            <a:xfrm>
              <a:off x="5966" y="6379"/>
              <a:ext cx="2185" cy="13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1" name="Line 141"/>
            <xdr:cNvSpPr>
              <a:spLocks/>
            </xdr:cNvSpPr>
          </xdr:nvSpPr>
          <xdr:spPr>
            <a:xfrm>
              <a:off x="5882" y="6777"/>
              <a:ext cx="411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2" name="Rectangle 142"/>
            <xdr:cNvSpPr>
              <a:spLocks/>
            </xdr:cNvSpPr>
          </xdr:nvSpPr>
          <xdr:spPr>
            <a:xfrm>
              <a:off x="9160" y="6046"/>
              <a:ext cx="168" cy="266"/>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3" name="Line 143"/>
            <xdr:cNvSpPr>
              <a:spLocks/>
            </xdr:cNvSpPr>
          </xdr:nvSpPr>
          <xdr:spPr>
            <a:xfrm>
              <a:off x="5882" y="5581"/>
              <a:ext cx="3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4" name="Line 144"/>
            <xdr:cNvSpPr>
              <a:spLocks/>
            </xdr:cNvSpPr>
          </xdr:nvSpPr>
          <xdr:spPr>
            <a:xfrm>
              <a:off x="6723" y="5980"/>
              <a:ext cx="235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5" name="Arc 145"/>
            <xdr:cNvSpPr>
              <a:spLocks/>
            </xdr:cNvSpPr>
          </xdr:nvSpPr>
          <xdr:spPr>
            <a:xfrm>
              <a:off x="9832" y="6379"/>
              <a:ext cx="420" cy="19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6" name="Arc 146"/>
            <xdr:cNvSpPr>
              <a:spLocks/>
            </xdr:cNvSpPr>
          </xdr:nvSpPr>
          <xdr:spPr>
            <a:xfrm flipV="1">
              <a:off x="9916" y="6578"/>
              <a:ext cx="336" cy="19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7" name="Line 147"/>
            <xdr:cNvSpPr>
              <a:spLocks/>
            </xdr:cNvSpPr>
          </xdr:nvSpPr>
          <xdr:spPr>
            <a:xfrm>
              <a:off x="6807" y="5980"/>
              <a:ext cx="0" cy="26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8" name="Line 148"/>
            <xdr:cNvSpPr>
              <a:spLocks/>
            </xdr:cNvSpPr>
          </xdr:nvSpPr>
          <xdr:spPr>
            <a:xfrm>
              <a:off x="8740" y="5980"/>
              <a:ext cx="0" cy="26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9" name="Line 149"/>
            <xdr:cNvSpPr>
              <a:spLocks/>
            </xdr:cNvSpPr>
          </xdr:nvSpPr>
          <xdr:spPr>
            <a:xfrm>
              <a:off x="6807" y="6246"/>
              <a:ext cx="1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1</xdr:col>
      <xdr:colOff>828675</xdr:colOff>
      <xdr:row>207</xdr:row>
      <xdr:rowOff>76200</xdr:rowOff>
    </xdr:from>
    <xdr:to>
      <xdr:col>2</xdr:col>
      <xdr:colOff>47625</xdr:colOff>
      <xdr:row>211</xdr:row>
      <xdr:rowOff>76200</xdr:rowOff>
    </xdr:to>
    <xdr:grpSp>
      <xdr:nvGrpSpPr>
        <xdr:cNvPr id="150" name="Group 150"/>
        <xdr:cNvGrpSpPr>
          <a:grpSpLocks/>
        </xdr:cNvGrpSpPr>
      </xdr:nvGrpSpPr>
      <xdr:grpSpPr>
        <a:xfrm>
          <a:off x="1695450" y="36223575"/>
          <a:ext cx="190500" cy="647700"/>
          <a:chOff x="-1455" y="-2857"/>
          <a:chExt cx="2909" cy="20000"/>
        </a:xfrm>
        <a:solidFill>
          <a:srgbClr val="FFFFFF"/>
        </a:solidFill>
      </xdr:grpSpPr>
      <xdr:sp>
        <xdr:nvSpPr>
          <xdr:cNvPr id="151" name="Line 151"/>
          <xdr:cNvSpPr>
            <a:spLocks/>
          </xdr:cNvSpPr>
        </xdr:nvSpPr>
        <xdr:spPr>
          <a:xfrm>
            <a:off x="-1455"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2" name="Line 152"/>
          <xdr:cNvSpPr>
            <a:spLocks/>
          </xdr:cNvSpPr>
        </xdr:nvSpPr>
        <xdr:spPr>
          <a:xfrm>
            <a:off x="-1455" y="-2502"/>
            <a:ext cx="25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3" name="Line 153"/>
          <xdr:cNvSpPr>
            <a:spLocks/>
          </xdr:cNvSpPr>
        </xdr:nvSpPr>
        <xdr:spPr>
          <a:xfrm>
            <a:off x="-1455" y="17143"/>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971550</xdr:colOff>
      <xdr:row>207</xdr:row>
      <xdr:rowOff>85725</xdr:rowOff>
    </xdr:from>
    <xdr:to>
      <xdr:col>4</xdr:col>
      <xdr:colOff>66675</xdr:colOff>
      <xdr:row>211</xdr:row>
      <xdr:rowOff>66675</xdr:rowOff>
    </xdr:to>
    <xdr:grpSp>
      <xdr:nvGrpSpPr>
        <xdr:cNvPr id="154" name="Group 154"/>
        <xdr:cNvGrpSpPr>
          <a:grpSpLocks/>
        </xdr:cNvGrpSpPr>
      </xdr:nvGrpSpPr>
      <xdr:grpSpPr>
        <a:xfrm>
          <a:off x="3724275" y="36233100"/>
          <a:ext cx="304800" cy="628650"/>
          <a:chOff x="-1333" y="-2500"/>
          <a:chExt cx="2933" cy="19286"/>
        </a:xfrm>
        <a:solidFill>
          <a:srgbClr val="FFFFFF"/>
        </a:solidFill>
      </xdr:grpSpPr>
      <xdr:sp>
        <xdr:nvSpPr>
          <xdr:cNvPr id="155" name="Line 155"/>
          <xdr:cNvSpPr>
            <a:spLocks/>
          </xdr:cNvSpPr>
        </xdr:nvSpPr>
        <xdr:spPr>
          <a:xfrm>
            <a:off x="-1333" y="-2500"/>
            <a:ext cx="0" cy="1928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6" name="Line 156"/>
          <xdr:cNvSpPr>
            <a:spLocks/>
          </xdr:cNvSpPr>
        </xdr:nvSpPr>
        <xdr:spPr>
          <a:xfrm>
            <a:off x="-1333" y="-2143"/>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7" name="Line 157"/>
          <xdr:cNvSpPr>
            <a:spLocks/>
          </xdr:cNvSpPr>
        </xdr:nvSpPr>
        <xdr:spPr>
          <a:xfrm>
            <a:off x="-1333" y="16786"/>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866775</xdr:colOff>
      <xdr:row>207</xdr:row>
      <xdr:rowOff>76200</xdr:rowOff>
    </xdr:from>
    <xdr:to>
      <xdr:col>8</xdr:col>
      <xdr:colOff>95250</xdr:colOff>
      <xdr:row>211</xdr:row>
      <xdr:rowOff>76200</xdr:rowOff>
    </xdr:to>
    <xdr:grpSp>
      <xdr:nvGrpSpPr>
        <xdr:cNvPr id="158" name="Group 158"/>
        <xdr:cNvGrpSpPr>
          <a:grpSpLocks/>
        </xdr:cNvGrpSpPr>
      </xdr:nvGrpSpPr>
      <xdr:grpSpPr>
        <a:xfrm>
          <a:off x="7486650" y="36223575"/>
          <a:ext cx="95250" cy="647700"/>
          <a:chOff x="-1067" y="-2857"/>
          <a:chExt cx="3200" cy="20000"/>
        </a:xfrm>
        <a:solidFill>
          <a:srgbClr val="FFFFFF"/>
        </a:solidFill>
      </xdr:grpSpPr>
      <xdr:sp>
        <xdr:nvSpPr>
          <xdr:cNvPr id="159" name="Line 159"/>
          <xdr:cNvSpPr>
            <a:spLocks/>
          </xdr:cNvSpPr>
        </xdr:nvSpPr>
        <xdr:spPr>
          <a:xfrm>
            <a:off x="-1067"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0" name="Line 160"/>
          <xdr:cNvSpPr>
            <a:spLocks/>
          </xdr:cNvSpPr>
        </xdr:nvSpPr>
        <xdr:spPr>
          <a:xfrm>
            <a:off x="-1067" y="-2502"/>
            <a:ext cx="2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1" name="Line 161"/>
          <xdr:cNvSpPr>
            <a:spLocks/>
          </xdr:cNvSpPr>
        </xdr:nvSpPr>
        <xdr:spPr>
          <a:xfrm>
            <a:off x="-1067" y="17143"/>
            <a:ext cx="3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923925</xdr:colOff>
      <xdr:row>207</xdr:row>
      <xdr:rowOff>95250</xdr:rowOff>
    </xdr:from>
    <xdr:to>
      <xdr:col>7</xdr:col>
      <xdr:colOff>47625</xdr:colOff>
      <xdr:row>211</xdr:row>
      <xdr:rowOff>133350</xdr:rowOff>
    </xdr:to>
    <xdr:grpSp>
      <xdr:nvGrpSpPr>
        <xdr:cNvPr id="162" name="Group 162"/>
        <xdr:cNvGrpSpPr>
          <a:grpSpLocks/>
        </xdr:cNvGrpSpPr>
      </xdr:nvGrpSpPr>
      <xdr:grpSpPr>
        <a:xfrm>
          <a:off x="6619875" y="36242625"/>
          <a:ext cx="47625" cy="685800"/>
          <a:chOff x="-2857" y="-2143"/>
          <a:chExt cx="4490" cy="21072"/>
        </a:xfrm>
        <a:solidFill>
          <a:srgbClr val="FFFFFF"/>
        </a:solidFill>
      </xdr:grpSpPr>
      <xdr:sp>
        <xdr:nvSpPr>
          <xdr:cNvPr id="163" name="Line 163"/>
          <xdr:cNvSpPr>
            <a:spLocks/>
          </xdr:cNvSpPr>
        </xdr:nvSpPr>
        <xdr:spPr>
          <a:xfrm>
            <a:off x="1633" y="-2143"/>
            <a:ext cx="0" cy="2107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4" name="Line 164"/>
          <xdr:cNvSpPr>
            <a:spLocks/>
          </xdr:cNvSpPr>
        </xdr:nvSpPr>
        <xdr:spPr>
          <a:xfrm flipH="1">
            <a:off x="-2857" y="-2143"/>
            <a:ext cx="326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5" name="Line 165"/>
          <xdr:cNvSpPr>
            <a:spLocks/>
          </xdr:cNvSpPr>
        </xdr:nvSpPr>
        <xdr:spPr>
          <a:xfrm flipH="1">
            <a:off x="-2857" y="18929"/>
            <a:ext cx="244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800100</xdr:colOff>
      <xdr:row>207</xdr:row>
      <xdr:rowOff>66675</xdr:rowOff>
    </xdr:from>
    <xdr:to>
      <xdr:col>10</xdr:col>
      <xdr:colOff>47625</xdr:colOff>
      <xdr:row>211</xdr:row>
      <xdr:rowOff>66675</xdr:rowOff>
    </xdr:to>
    <xdr:grpSp>
      <xdr:nvGrpSpPr>
        <xdr:cNvPr id="166" name="Group 166"/>
        <xdr:cNvGrpSpPr>
          <a:grpSpLocks/>
        </xdr:cNvGrpSpPr>
      </xdr:nvGrpSpPr>
      <xdr:grpSpPr>
        <a:xfrm>
          <a:off x="9153525" y="36214050"/>
          <a:ext cx="114300" cy="647700"/>
          <a:chOff x="-2400" y="-3214"/>
          <a:chExt cx="4000" cy="20000"/>
        </a:xfrm>
        <a:solidFill>
          <a:srgbClr val="FFFFFF"/>
        </a:solidFill>
      </xdr:grpSpPr>
      <xdr:sp>
        <xdr:nvSpPr>
          <xdr:cNvPr id="167" name="Line 167"/>
          <xdr:cNvSpPr>
            <a:spLocks/>
          </xdr:cNvSpPr>
        </xdr:nvSpPr>
        <xdr:spPr>
          <a:xfrm>
            <a:off x="-2400" y="-3214"/>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8" name="Line 168"/>
          <xdr:cNvSpPr>
            <a:spLocks/>
          </xdr:cNvSpPr>
        </xdr:nvSpPr>
        <xdr:spPr>
          <a:xfrm>
            <a:off x="-2400" y="-2859"/>
            <a:ext cx="3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9" name="Line 169"/>
          <xdr:cNvSpPr>
            <a:spLocks/>
          </xdr:cNvSpPr>
        </xdr:nvSpPr>
        <xdr:spPr>
          <a:xfrm>
            <a:off x="-2400" y="16786"/>
            <a:ext cx="4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11</xdr:col>
      <xdr:colOff>190500</xdr:colOff>
      <xdr:row>207</xdr:row>
      <xdr:rowOff>66675</xdr:rowOff>
    </xdr:from>
    <xdr:to>
      <xdr:col>11</xdr:col>
      <xdr:colOff>304800</xdr:colOff>
      <xdr:row>211</xdr:row>
      <xdr:rowOff>76200</xdr:rowOff>
    </xdr:to>
    <xdr:grpSp>
      <xdr:nvGrpSpPr>
        <xdr:cNvPr id="170" name="Group 170"/>
        <xdr:cNvGrpSpPr>
          <a:grpSpLocks/>
        </xdr:cNvGrpSpPr>
      </xdr:nvGrpSpPr>
      <xdr:grpSpPr>
        <a:xfrm>
          <a:off x="10277475" y="36214050"/>
          <a:ext cx="104775" cy="657225"/>
          <a:chOff x="-59" y="-3214"/>
          <a:chExt cx="10" cy="20357"/>
        </a:xfrm>
        <a:solidFill>
          <a:srgbClr val="FFFFFF"/>
        </a:solidFill>
      </xdr:grpSpPr>
      <xdr:sp>
        <xdr:nvSpPr>
          <xdr:cNvPr id="171" name="Line 171"/>
          <xdr:cNvSpPr>
            <a:spLocks/>
          </xdr:cNvSpPr>
        </xdr:nvSpPr>
        <xdr:spPr>
          <a:xfrm>
            <a:off x="-49" y="-3214"/>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2" name="Line 172"/>
          <xdr:cNvSpPr>
            <a:spLocks/>
          </xdr:cNvSpPr>
        </xdr:nvSpPr>
        <xdr:spPr>
          <a:xfrm flipH="1">
            <a:off x="-59" y="-3214"/>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3" name="Line 173"/>
          <xdr:cNvSpPr>
            <a:spLocks/>
          </xdr:cNvSpPr>
        </xdr:nvSpPr>
        <xdr:spPr>
          <a:xfrm flipH="1">
            <a:off x="-59" y="17143"/>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171450</xdr:colOff>
      <xdr:row>207</xdr:row>
      <xdr:rowOff>76200</xdr:rowOff>
    </xdr:from>
    <xdr:to>
      <xdr:col>9</xdr:col>
      <xdr:colOff>219075</xdr:colOff>
      <xdr:row>211</xdr:row>
      <xdr:rowOff>85725</xdr:rowOff>
    </xdr:to>
    <xdr:grpSp>
      <xdr:nvGrpSpPr>
        <xdr:cNvPr id="174" name="Group 174"/>
        <xdr:cNvGrpSpPr>
          <a:grpSpLocks/>
        </xdr:cNvGrpSpPr>
      </xdr:nvGrpSpPr>
      <xdr:grpSpPr>
        <a:xfrm>
          <a:off x="8524875" y="36223575"/>
          <a:ext cx="47625" cy="657225"/>
          <a:chOff x="-60" y="-2857"/>
          <a:chExt cx="4" cy="20357"/>
        </a:xfrm>
        <a:solidFill>
          <a:srgbClr val="FFFFFF"/>
        </a:solidFill>
      </xdr:grpSpPr>
      <xdr:sp>
        <xdr:nvSpPr>
          <xdr:cNvPr id="175" name="Line 175"/>
          <xdr:cNvSpPr>
            <a:spLocks/>
          </xdr:cNvSpPr>
        </xdr:nvSpPr>
        <xdr:spPr>
          <a:xfrm>
            <a:off x="-56" y="-2857"/>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6" name="Line 176"/>
          <xdr:cNvSpPr>
            <a:spLocks/>
          </xdr:cNvSpPr>
        </xdr:nvSpPr>
        <xdr:spPr>
          <a:xfrm flipH="1">
            <a:off x="-60" y="-285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7" name="Line 177"/>
          <xdr:cNvSpPr>
            <a:spLocks/>
          </xdr:cNvSpPr>
        </xdr:nvSpPr>
        <xdr:spPr>
          <a:xfrm flipH="1">
            <a:off x="-60" y="17500"/>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152400</xdr:colOff>
      <xdr:row>207</xdr:row>
      <xdr:rowOff>85725</xdr:rowOff>
    </xdr:from>
    <xdr:to>
      <xdr:col>3</xdr:col>
      <xdr:colOff>295275</xdr:colOff>
      <xdr:row>211</xdr:row>
      <xdr:rowOff>95250</xdr:rowOff>
    </xdr:to>
    <xdr:grpSp>
      <xdr:nvGrpSpPr>
        <xdr:cNvPr id="178" name="Group 178"/>
        <xdr:cNvGrpSpPr>
          <a:grpSpLocks/>
        </xdr:cNvGrpSpPr>
      </xdr:nvGrpSpPr>
      <xdr:grpSpPr>
        <a:xfrm>
          <a:off x="2905125" y="36233100"/>
          <a:ext cx="142875" cy="657225"/>
          <a:chOff x="-76" y="-2500"/>
          <a:chExt cx="13" cy="20357"/>
        </a:xfrm>
        <a:solidFill>
          <a:srgbClr val="FFFFFF"/>
        </a:solidFill>
      </xdr:grpSpPr>
      <xdr:sp>
        <xdr:nvSpPr>
          <xdr:cNvPr id="179" name="Line 179"/>
          <xdr:cNvSpPr>
            <a:spLocks/>
          </xdr:cNvSpPr>
        </xdr:nvSpPr>
        <xdr:spPr>
          <a:xfrm>
            <a:off x="-63" y="-2500"/>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0" name="Line 180"/>
          <xdr:cNvSpPr>
            <a:spLocks/>
          </xdr:cNvSpPr>
        </xdr:nvSpPr>
        <xdr:spPr>
          <a:xfrm flipH="1">
            <a:off x="-76" y="-2500"/>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1" name="Line 181"/>
          <xdr:cNvSpPr>
            <a:spLocks/>
          </xdr:cNvSpPr>
        </xdr:nvSpPr>
        <xdr:spPr>
          <a:xfrm flipH="1">
            <a:off x="-76" y="1785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971550</xdr:colOff>
      <xdr:row>207</xdr:row>
      <xdr:rowOff>85725</xdr:rowOff>
    </xdr:from>
    <xdr:to>
      <xdr:col>4</xdr:col>
      <xdr:colOff>66675</xdr:colOff>
      <xdr:row>211</xdr:row>
      <xdr:rowOff>66675</xdr:rowOff>
    </xdr:to>
    <xdr:grpSp>
      <xdr:nvGrpSpPr>
        <xdr:cNvPr id="182" name="Group 182"/>
        <xdr:cNvGrpSpPr>
          <a:grpSpLocks/>
        </xdr:cNvGrpSpPr>
      </xdr:nvGrpSpPr>
      <xdr:grpSpPr>
        <a:xfrm>
          <a:off x="3724275" y="36233100"/>
          <a:ext cx="304800" cy="628650"/>
          <a:chOff x="-1333" y="-2500"/>
          <a:chExt cx="2933" cy="19286"/>
        </a:xfrm>
        <a:solidFill>
          <a:srgbClr val="FFFFFF"/>
        </a:solidFill>
      </xdr:grpSpPr>
      <xdr:sp>
        <xdr:nvSpPr>
          <xdr:cNvPr id="183" name="Line 183"/>
          <xdr:cNvSpPr>
            <a:spLocks/>
          </xdr:cNvSpPr>
        </xdr:nvSpPr>
        <xdr:spPr>
          <a:xfrm>
            <a:off x="-1333" y="-2500"/>
            <a:ext cx="0" cy="1928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4" name="Line 184"/>
          <xdr:cNvSpPr>
            <a:spLocks/>
          </xdr:cNvSpPr>
        </xdr:nvSpPr>
        <xdr:spPr>
          <a:xfrm>
            <a:off x="-1333" y="-2143"/>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5" name="Line 185"/>
          <xdr:cNvSpPr>
            <a:spLocks/>
          </xdr:cNvSpPr>
        </xdr:nvSpPr>
        <xdr:spPr>
          <a:xfrm>
            <a:off x="-1333" y="16786"/>
            <a:ext cx="2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447675</xdr:colOff>
      <xdr:row>237</xdr:row>
      <xdr:rowOff>66675</xdr:rowOff>
    </xdr:from>
    <xdr:to>
      <xdr:col>8</xdr:col>
      <xdr:colOff>419100</xdr:colOff>
      <xdr:row>257</xdr:row>
      <xdr:rowOff>76200</xdr:rowOff>
    </xdr:to>
    <xdr:grpSp>
      <xdr:nvGrpSpPr>
        <xdr:cNvPr id="186" name="Group 187"/>
        <xdr:cNvGrpSpPr>
          <a:grpSpLocks/>
        </xdr:cNvGrpSpPr>
      </xdr:nvGrpSpPr>
      <xdr:grpSpPr>
        <a:xfrm>
          <a:off x="2286000" y="41186100"/>
          <a:ext cx="5619750" cy="3248025"/>
          <a:chOff x="0" y="6071"/>
          <a:chExt cx="16545" cy="10852"/>
        </a:xfrm>
        <a:solidFill>
          <a:srgbClr val="FFFFFF"/>
        </a:solidFill>
      </xdr:grpSpPr>
      <xdr:sp>
        <xdr:nvSpPr>
          <xdr:cNvPr id="187" name="Line 188"/>
          <xdr:cNvSpPr>
            <a:spLocks/>
          </xdr:cNvSpPr>
        </xdr:nvSpPr>
        <xdr:spPr>
          <a:xfrm flipV="1">
            <a:off x="0" y="13722"/>
            <a:ext cx="16545"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8" name="Line 189"/>
          <xdr:cNvSpPr>
            <a:spLocks/>
          </xdr:cNvSpPr>
        </xdr:nvSpPr>
        <xdr:spPr>
          <a:xfrm flipH="1">
            <a:off x="5092" y="11394"/>
            <a:ext cx="5017" cy="5529"/>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9" name="Line 190"/>
          <xdr:cNvSpPr>
            <a:spLocks/>
          </xdr:cNvSpPr>
        </xdr:nvSpPr>
        <xdr:spPr>
          <a:xfrm flipV="1">
            <a:off x="8037" y="6071"/>
            <a:ext cx="0" cy="7651"/>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0</xdr:colOff>
      <xdr:row>247</xdr:row>
      <xdr:rowOff>38100</xdr:rowOff>
    </xdr:from>
    <xdr:to>
      <xdr:col>7</xdr:col>
      <xdr:colOff>809625</xdr:colOff>
      <xdr:row>256</xdr:row>
      <xdr:rowOff>76200</xdr:rowOff>
    </xdr:to>
    <xdr:sp>
      <xdr:nvSpPr>
        <xdr:cNvPr id="190" name="Oval 191"/>
        <xdr:cNvSpPr>
          <a:spLocks/>
        </xdr:cNvSpPr>
      </xdr:nvSpPr>
      <xdr:spPr>
        <a:xfrm>
          <a:off x="2752725" y="42776775"/>
          <a:ext cx="4676775" cy="1495425"/>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0</xdr:colOff>
      <xdr:row>240</xdr:row>
      <xdr:rowOff>152400</xdr:rowOff>
    </xdr:from>
    <xdr:to>
      <xdr:col>7</xdr:col>
      <xdr:colOff>838200</xdr:colOff>
      <xdr:row>251</xdr:row>
      <xdr:rowOff>95250</xdr:rowOff>
    </xdr:to>
    <xdr:grpSp>
      <xdr:nvGrpSpPr>
        <xdr:cNvPr id="191" name="Group 192"/>
        <xdr:cNvGrpSpPr>
          <a:grpSpLocks/>
        </xdr:cNvGrpSpPr>
      </xdr:nvGrpSpPr>
      <xdr:grpSpPr>
        <a:xfrm>
          <a:off x="2752725" y="41757600"/>
          <a:ext cx="4705350" cy="1724025"/>
          <a:chOff x="1236" y="7983"/>
          <a:chExt cx="13855" cy="5780"/>
        </a:xfrm>
        <a:solidFill>
          <a:srgbClr val="FFFFFF"/>
        </a:solidFill>
      </xdr:grpSpPr>
      <xdr:sp>
        <xdr:nvSpPr>
          <xdr:cNvPr id="192" name="Arc 193"/>
          <xdr:cNvSpPr>
            <a:spLocks/>
          </xdr:cNvSpPr>
        </xdr:nvSpPr>
        <xdr:spPr>
          <a:xfrm flipH="1">
            <a:off x="1236" y="7983"/>
            <a:ext cx="6837" cy="578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3" name="Arc 194"/>
          <xdr:cNvSpPr>
            <a:spLocks/>
          </xdr:cNvSpPr>
        </xdr:nvSpPr>
        <xdr:spPr>
          <a:xfrm>
            <a:off x="8035" y="7983"/>
            <a:ext cx="7056" cy="5698"/>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0</xdr:colOff>
      <xdr:row>251</xdr:row>
      <xdr:rowOff>85725</xdr:rowOff>
    </xdr:from>
    <xdr:to>
      <xdr:col>7</xdr:col>
      <xdr:colOff>838200</xdr:colOff>
      <xdr:row>263</xdr:row>
      <xdr:rowOff>123825</xdr:rowOff>
    </xdr:to>
    <xdr:grpSp>
      <xdr:nvGrpSpPr>
        <xdr:cNvPr id="194" name="Group 195"/>
        <xdr:cNvGrpSpPr>
          <a:grpSpLocks/>
        </xdr:cNvGrpSpPr>
      </xdr:nvGrpSpPr>
      <xdr:grpSpPr>
        <a:xfrm>
          <a:off x="2752725" y="43472100"/>
          <a:ext cx="4705350" cy="1981200"/>
          <a:chOff x="1236" y="13721"/>
          <a:chExt cx="13855" cy="6196"/>
        </a:xfrm>
        <a:solidFill>
          <a:srgbClr val="FFFFFF"/>
        </a:solidFill>
      </xdr:grpSpPr>
      <xdr:sp>
        <xdr:nvSpPr>
          <xdr:cNvPr id="195" name="Arc 196"/>
          <xdr:cNvSpPr>
            <a:spLocks/>
          </xdr:cNvSpPr>
        </xdr:nvSpPr>
        <xdr:spPr>
          <a:xfrm flipH="1" flipV="1">
            <a:off x="1236" y="13721"/>
            <a:ext cx="6837" cy="619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6" name="Arc 197"/>
          <xdr:cNvSpPr>
            <a:spLocks/>
          </xdr:cNvSpPr>
        </xdr:nvSpPr>
        <xdr:spPr>
          <a:xfrm flipV="1">
            <a:off x="8073" y="13721"/>
            <a:ext cx="7018" cy="619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4</xdr:col>
      <xdr:colOff>504825</xdr:colOff>
      <xdr:row>240</xdr:row>
      <xdr:rowOff>152400</xdr:rowOff>
    </xdr:from>
    <xdr:to>
      <xdr:col>5</xdr:col>
      <xdr:colOff>390525</xdr:colOff>
      <xdr:row>256</xdr:row>
      <xdr:rowOff>0</xdr:rowOff>
    </xdr:to>
    <xdr:sp>
      <xdr:nvSpPr>
        <xdr:cNvPr id="197" name="Arc 198"/>
        <xdr:cNvSpPr>
          <a:spLocks/>
        </xdr:cNvSpPr>
      </xdr:nvSpPr>
      <xdr:spPr>
        <a:xfrm flipH="1">
          <a:off x="4467225" y="41757600"/>
          <a:ext cx="752475" cy="243840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371475</xdr:colOff>
      <xdr:row>240</xdr:row>
      <xdr:rowOff>152400</xdr:rowOff>
    </xdr:from>
    <xdr:to>
      <xdr:col>7</xdr:col>
      <xdr:colOff>152400</xdr:colOff>
      <xdr:row>255</xdr:row>
      <xdr:rowOff>9525</xdr:rowOff>
    </xdr:to>
    <xdr:sp>
      <xdr:nvSpPr>
        <xdr:cNvPr id="198" name="Arc 199"/>
        <xdr:cNvSpPr>
          <a:spLocks/>
        </xdr:cNvSpPr>
      </xdr:nvSpPr>
      <xdr:spPr>
        <a:xfrm>
          <a:off x="5200650" y="41757600"/>
          <a:ext cx="1571625" cy="2286000"/>
        </a:xfrm>
        <a:prstGeom prst="arc">
          <a:avLst/>
        </a:prstGeom>
        <a:noFill/>
        <a:ln w="19050"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390525</xdr:colOff>
      <xdr:row>247</xdr:row>
      <xdr:rowOff>152400</xdr:rowOff>
    </xdr:from>
    <xdr:to>
      <xdr:col>6</xdr:col>
      <xdr:colOff>752475</xdr:colOff>
      <xdr:row>251</xdr:row>
      <xdr:rowOff>76200</xdr:rowOff>
    </xdr:to>
    <xdr:sp>
      <xdr:nvSpPr>
        <xdr:cNvPr id="199" name="Line 200"/>
        <xdr:cNvSpPr>
          <a:spLocks/>
        </xdr:cNvSpPr>
      </xdr:nvSpPr>
      <xdr:spPr>
        <a:xfrm flipV="1">
          <a:off x="5219700" y="42891075"/>
          <a:ext cx="1228725" cy="571500"/>
        </a:xfrm>
        <a:prstGeom prst="line">
          <a:avLst/>
        </a:prstGeom>
        <a:solidFill>
          <a:srgbClr val="FFFFFF"/>
        </a:solidFill>
        <a:ln w="19050"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409575</xdr:colOff>
      <xdr:row>240</xdr:row>
      <xdr:rowOff>152400</xdr:rowOff>
    </xdr:from>
    <xdr:to>
      <xdr:col>6</xdr:col>
      <xdr:colOff>533400</xdr:colOff>
      <xdr:row>256</xdr:row>
      <xdr:rowOff>0</xdr:rowOff>
    </xdr:to>
    <xdr:sp>
      <xdr:nvSpPr>
        <xdr:cNvPr id="200" name="Arc 201"/>
        <xdr:cNvSpPr>
          <a:spLocks/>
        </xdr:cNvSpPr>
      </xdr:nvSpPr>
      <xdr:spPr>
        <a:xfrm>
          <a:off x="5238750" y="41757600"/>
          <a:ext cx="990600" cy="2438400"/>
        </a:xfrm>
        <a:prstGeom prst="arc">
          <a:avLst/>
        </a:prstGeom>
        <a:noFill/>
        <a:ln w="19050" cmpd="sng">
          <a:solidFill>
            <a:srgbClr val="F309ED"/>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381000</xdr:colOff>
      <xdr:row>237</xdr:row>
      <xdr:rowOff>66675</xdr:rowOff>
    </xdr:from>
    <xdr:to>
      <xdr:col>7</xdr:col>
      <xdr:colOff>95250</xdr:colOff>
      <xdr:row>251</xdr:row>
      <xdr:rowOff>85725</xdr:rowOff>
    </xdr:to>
    <xdr:sp>
      <xdr:nvSpPr>
        <xdr:cNvPr id="201" name="Line 202"/>
        <xdr:cNvSpPr>
          <a:spLocks/>
        </xdr:cNvSpPr>
      </xdr:nvSpPr>
      <xdr:spPr>
        <a:xfrm flipV="1">
          <a:off x="5210175" y="41186100"/>
          <a:ext cx="1504950" cy="2286000"/>
        </a:xfrm>
        <a:prstGeom prst="line">
          <a:avLst/>
        </a:prstGeom>
        <a:solidFill>
          <a:srgbClr val="FFFFFF"/>
        </a:solidFill>
        <a:ln w="19050" cmpd="sng">
          <a:solidFill>
            <a:srgbClr val="F309ED"/>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390525</xdr:colOff>
      <xdr:row>251</xdr:row>
      <xdr:rowOff>76200</xdr:rowOff>
    </xdr:from>
    <xdr:to>
      <xdr:col>6</xdr:col>
      <xdr:colOff>533400</xdr:colOff>
      <xdr:row>255</xdr:row>
      <xdr:rowOff>152400</xdr:rowOff>
    </xdr:to>
    <xdr:sp>
      <xdr:nvSpPr>
        <xdr:cNvPr id="202" name="Line 203"/>
        <xdr:cNvSpPr>
          <a:spLocks/>
        </xdr:cNvSpPr>
      </xdr:nvSpPr>
      <xdr:spPr>
        <a:xfrm>
          <a:off x="5219700" y="43462575"/>
          <a:ext cx="1009650" cy="723900"/>
        </a:xfrm>
        <a:prstGeom prst="line">
          <a:avLst/>
        </a:prstGeom>
        <a:solidFill>
          <a:srgbClr val="FFFFFF"/>
        </a:solidFill>
        <a:ln w="19050" cmpd="sng">
          <a:solidFill>
            <a:srgbClr val="F309ED"/>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714375</xdr:colOff>
      <xdr:row>236</xdr:row>
      <xdr:rowOff>76200</xdr:rowOff>
    </xdr:from>
    <xdr:to>
      <xdr:col>7</xdr:col>
      <xdr:colOff>485775</xdr:colOff>
      <xdr:row>237</xdr:row>
      <xdr:rowOff>133350</xdr:rowOff>
    </xdr:to>
    <xdr:grpSp>
      <xdr:nvGrpSpPr>
        <xdr:cNvPr id="203" name="Group 204"/>
        <xdr:cNvGrpSpPr>
          <a:grpSpLocks/>
        </xdr:cNvGrpSpPr>
      </xdr:nvGrpSpPr>
      <xdr:grpSpPr>
        <a:xfrm rot="1511241">
          <a:off x="6410325" y="41033700"/>
          <a:ext cx="695325" cy="219075"/>
          <a:chOff x="12109" y="5572"/>
          <a:chExt cx="1891" cy="748"/>
        </a:xfrm>
        <a:solidFill>
          <a:srgbClr val="FFFFFF"/>
        </a:solidFill>
      </xdr:grpSpPr>
      <xdr:sp>
        <xdr:nvSpPr>
          <xdr:cNvPr id="204" name="Line 205"/>
          <xdr:cNvSpPr>
            <a:spLocks/>
          </xdr:cNvSpPr>
        </xdr:nvSpPr>
        <xdr:spPr>
          <a:xfrm flipH="1">
            <a:off x="12109" y="5572"/>
            <a:ext cx="0" cy="74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5" name="Arc 206"/>
          <xdr:cNvSpPr>
            <a:spLocks/>
          </xdr:cNvSpPr>
        </xdr:nvSpPr>
        <xdr:spPr>
          <a:xfrm>
            <a:off x="13418" y="5821"/>
            <a:ext cx="291" cy="20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6" name="Line 207"/>
          <xdr:cNvSpPr>
            <a:spLocks/>
          </xdr:cNvSpPr>
        </xdr:nvSpPr>
        <xdr:spPr>
          <a:xfrm>
            <a:off x="12255" y="5572"/>
            <a:ext cx="218" cy="24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7" name="Line 208"/>
          <xdr:cNvSpPr>
            <a:spLocks/>
          </xdr:cNvSpPr>
        </xdr:nvSpPr>
        <xdr:spPr>
          <a:xfrm flipH="1" flipV="1">
            <a:off x="13709" y="6029"/>
            <a:ext cx="146" cy="4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8" name="Rectangle 209"/>
          <xdr:cNvSpPr>
            <a:spLocks/>
          </xdr:cNvSpPr>
        </xdr:nvSpPr>
        <xdr:spPr>
          <a:xfrm>
            <a:off x="12145" y="6071"/>
            <a:ext cx="946" cy="8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9" name="Line 210"/>
          <xdr:cNvSpPr>
            <a:spLocks/>
          </xdr:cNvSpPr>
        </xdr:nvSpPr>
        <xdr:spPr>
          <a:xfrm>
            <a:off x="12109" y="6320"/>
            <a:ext cx="178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0" name="Rectangle 211"/>
          <xdr:cNvSpPr>
            <a:spLocks/>
          </xdr:cNvSpPr>
        </xdr:nvSpPr>
        <xdr:spPr>
          <a:xfrm>
            <a:off x="13527" y="5863"/>
            <a:ext cx="73" cy="166"/>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1" name="Line 212"/>
          <xdr:cNvSpPr>
            <a:spLocks/>
          </xdr:cNvSpPr>
        </xdr:nvSpPr>
        <xdr:spPr>
          <a:xfrm>
            <a:off x="12109" y="5572"/>
            <a:ext cx="1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2" name="Line 213"/>
          <xdr:cNvSpPr>
            <a:spLocks/>
          </xdr:cNvSpPr>
        </xdr:nvSpPr>
        <xdr:spPr>
          <a:xfrm>
            <a:off x="12473" y="5821"/>
            <a:ext cx="101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3" name="Arc 214"/>
          <xdr:cNvSpPr>
            <a:spLocks/>
          </xdr:cNvSpPr>
        </xdr:nvSpPr>
        <xdr:spPr>
          <a:xfrm>
            <a:off x="13818" y="6071"/>
            <a:ext cx="182" cy="12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4" name="Arc 215"/>
          <xdr:cNvSpPr>
            <a:spLocks/>
          </xdr:cNvSpPr>
        </xdr:nvSpPr>
        <xdr:spPr>
          <a:xfrm flipV="1">
            <a:off x="13855" y="6196"/>
            <a:ext cx="145" cy="124"/>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5" name="Line 216"/>
          <xdr:cNvSpPr>
            <a:spLocks/>
          </xdr:cNvSpPr>
        </xdr:nvSpPr>
        <xdr:spPr>
          <a:xfrm>
            <a:off x="12509" y="5821"/>
            <a:ext cx="0" cy="1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6" name="Line 217"/>
          <xdr:cNvSpPr>
            <a:spLocks/>
          </xdr:cNvSpPr>
        </xdr:nvSpPr>
        <xdr:spPr>
          <a:xfrm>
            <a:off x="13345" y="5821"/>
            <a:ext cx="0" cy="1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7" name="Line 218"/>
          <xdr:cNvSpPr>
            <a:spLocks/>
          </xdr:cNvSpPr>
        </xdr:nvSpPr>
        <xdr:spPr>
          <a:xfrm>
            <a:off x="12509" y="5988"/>
            <a:ext cx="8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161925</xdr:colOff>
      <xdr:row>244</xdr:row>
      <xdr:rowOff>66675</xdr:rowOff>
    </xdr:from>
    <xdr:to>
      <xdr:col>6</xdr:col>
      <xdr:colOff>247650</xdr:colOff>
      <xdr:row>244</xdr:row>
      <xdr:rowOff>152400</xdr:rowOff>
    </xdr:to>
    <xdr:sp>
      <xdr:nvSpPr>
        <xdr:cNvPr id="218" name="Oval 219"/>
        <xdr:cNvSpPr>
          <a:spLocks/>
        </xdr:cNvSpPr>
      </xdr:nvSpPr>
      <xdr:spPr>
        <a:xfrm>
          <a:off x="5857875" y="42319575"/>
          <a:ext cx="85725" cy="85725"/>
        </a:xfrm>
        <a:prstGeom prst="ellipse">
          <a:avLst/>
        </a:prstGeom>
        <a:solidFill>
          <a:srgbClr val="F309ED"/>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714375</xdr:colOff>
      <xdr:row>247</xdr:row>
      <xdr:rowOff>85725</xdr:rowOff>
    </xdr:from>
    <xdr:to>
      <xdr:col>6</xdr:col>
      <xdr:colOff>800100</xdr:colOff>
      <xdr:row>248</xdr:row>
      <xdr:rowOff>9525</xdr:rowOff>
    </xdr:to>
    <xdr:sp>
      <xdr:nvSpPr>
        <xdr:cNvPr id="219" name="Oval 220"/>
        <xdr:cNvSpPr>
          <a:spLocks/>
        </xdr:cNvSpPr>
      </xdr:nvSpPr>
      <xdr:spPr>
        <a:xfrm>
          <a:off x="6410325" y="42824400"/>
          <a:ext cx="85725" cy="85725"/>
        </a:xfrm>
        <a:prstGeom prst="ellipse">
          <a:avLst/>
        </a:prstGeom>
        <a:solidFill>
          <a:srgbClr val="69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238125</xdr:colOff>
      <xdr:row>244</xdr:row>
      <xdr:rowOff>133350</xdr:rowOff>
    </xdr:from>
    <xdr:to>
      <xdr:col>7</xdr:col>
      <xdr:colOff>361950</xdr:colOff>
      <xdr:row>250</xdr:row>
      <xdr:rowOff>0</xdr:rowOff>
    </xdr:to>
    <xdr:sp>
      <xdr:nvSpPr>
        <xdr:cNvPr id="220" name="Line 221"/>
        <xdr:cNvSpPr>
          <a:spLocks/>
        </xdr:cNvSpPr>
      </xdr:nvSpPr>
      <xdr:spPr>
        <a:xfrm>
          <a:off x="5934075" y="42386250"/>
          <a:ext cx="1047750" cy="838200"/>
        </a:xfrm>
        <a:prstGeom prst="line">
          <a:avLst/>
        </a:prstGeom>
        <a:noFill/>
        <a:ln w="38100" cmpd="sng">
          <a:solidFill>
            <a:srgbClr val="1FB714"/>
          </a:solidFill>
          <a:headEnd type="none"/>
          <a:tailEnd type="stealth"/>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857250</xdr:colOff>
      <xdr:row>255</xdr:row>
      <xdr:rowOff>76200</xdr:rowOff>
    </xdr:from>
    <xdr:to>
      <xdr:col>9</xdr:col>
      <xdr:colOff>333375</xdr:colOff>
      <xdr:row>257</xdr:row>
      <xdr:rowOff>0</xdr:rowOff>
    </xdr:to>
    <xdr:sp>
      <xdr:nvSpPr>
        <xdr:cNvPr id="221" name="TextBox 222"/>
        <xdr:cNvSpPr txBox="1">
          <a:spLocks noChangeArrowheads="1"/>
        </xdr:cNvSpPr>
      </xdr:nvSpPr>
      <xdr:spPr>
        <a:xfrm>
          <a:off x="7477125" y="44110275"/>
          <a:ext cx="1209675" cy="247650"/>
        </a:xfrm>
        <a:prstGeom prst="rect">
          <a:avLst/>
        </a:prstGeom>
        <a:noFill/>
        <a:ln w="19050" cmpd="sng">
          <a:solidFill>
            <a:srgbClr val="DD0806"/>
          </a:solidFill>
          <a:headEnd type="none"/>
          <a:tailEnd type="none"/>
        </a:ln>
      </xdr:spPr>
      <xdr:txBody>
        <a:bodyPr vertOverflow="clip" wrap="square"/>
        <a:p>
          <a:pPr algn="l">
            <a:defRPr/>
          </a:pPr>
          <a:r>
            <a:rPr lang="en-US" cap="none" sz="1200" b="1" i="0" u="none" baseline="0">
              <a:latin typeface="Geneva"/>
              <a:ea typeface="Geneva"/>
              <a:cs typeface="Geneva"/>
            </a:rPr>
            <a:t>Top of Photo</a:t>
          </a:r>
        </a:p>
      </xdr:txBody>
    </xdr:sp>
    <xdr:clientData/>
  </xdr:twoCellAnchor>
  <xdr:twoCellAnchor>
    <xdr:from>
      <xdr:col>7</xdr:col>
      <xdr:colOff>142875</xdr:colOff>
      <xdr:row>251</xdr:row>
      <xdr:rowOff>9525</xdr:rowOff>
    </xdr:from>
    <xdr:to>
      <xdr:col>8</xdr:col>
      <xdr:colOff>219075</xdr:colOff>
      <xdr:row>255</xdr:row>
      <xdr:rowOff>76200</xdr:rowOff>
    </xdr:to>
    <xdr:sp>
      <xdr:nvSpPr>
        <xdr:cNvPr id="222" name="Line 223"/>
        <xdr:cNvSpPr>
          <a:spLocks/>
        </xdr:cNvSpPr>
      </xdr:nvSpPr>
      <xdr:spPr>
        <a:xfrm>
          <a:off x="6762750" y="43395900"/>
          <a:ext cx="942975" cy="714375"/>
        </a:xfrm>
        <a:prstGeom prst="line">
          <a:avLst/>
        </a:prstGeom>
        <a:noFill/>
        <a:ln w="19050" cmpd="sng">
          <a:solidFill>
            <a:srgbClr val="993366"/>
          </a:solidFill>
          <a:headEnd type="stealth"/>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361950</xdr:colOff>
      <xdr:row>250</xdr:row>
      <xdr:rowOff>38100</xdr:rowOff>
    </xdr:from>
    <xdr:to>
      <xdr:col>8</xdr:col>
      <xdr:colOff>581025</xdr:colOff>
      <xdr:row>255</xdr:row>
      <xdr:rowOff>38100</xdr:rowOff>
    </xdr:to>
    <xdr:sp>
      <xdr:nvSpPr>
        <xdr:cNvPr id="223" name="Line 224"/>
        <xdr:cNvSpPr>
          <a:spLocks/>
        </xdr:cNvSpPr>
      </xdr:nvSpPr>
      <xdr:spPr>
        <a:xfrm>
          <a:off x="6981825" y="43262550"/>
          <a:ext cx="1085850" cy="809625"/>
        </a:xfrm>
        <a:prstGeom prst="line">
          <a:avLst/>
        </a:prstGeom>
        <a:noFill/>
        <a:ln w="19050" cmpd="sng">
          <a:solidFill>
            <a:srgbClr val="993366"/>
          </a:solidFill>
          <a:headEnd type="stealth"/>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561975</xdr:colOff>
      <xdr:row>249</xdr:row>
      <xdr:rowOff>38100</xdr:rowOff>
    </xdr:from>
    <xdr:to>
      <xdr:col>9</xdr:col>
      <xdr:colOff>133350</xdr:colOff>
      <xdr:row>255</xdr:row>
      <xdr:rowOff>38100</xdr:rowOff>
    </xdr:to>
    <xdr:sp>
      <xdr:nvSpPr>
        <xdr:cNvPr id="224" name="Line 225"/>
        <xdr:cNvSpPr>
          <a:spLocks/>
        </xdr:cNvSpPr>
      </xdr:nvSpPr>
      <xdr:spPr>
        <a:xfrm>
          <a:off x="7181850" y="43100625"/>
          <a:ext cx="1304925" cy="971550"/>
        </a:xfrm>
        <a:prstGeom prst="line">
          <a:avLst/>
        </a:prstGeom>
        <a:noFill/>
        <a:ln w="19050" cmpd="sng">
          <a:solidFill>
            <a:srgbClr val="993366"/>
          </a:solidFill>
          <a:headEnd type="stealth"/>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257175</xdr:colOff>
      <xdr:row>234</xdr:row>
      <xdr:rowOff>28575</xdr:rowOff>
    </xdr:from>
    <xdr:to>
      <xdr:col>7</xdr:col>
      <xdr:colOff>819150</xdr:colOff>
      <xdr:row>240</xdr:row>
      <xdr:rowOff>114300</xdr:rowOff>
    </xdr:to>
    <xdr:sp>
      <xdr:nvSpPr>
        <xdr:cNvPr id="225" name="Line 226"/>
        <xdr:cNvSpPr>
          <a:spLocks/>
        </xdr:cNvSpPr>
      </xdr:nvSpPr>
      <xdr:spPr>
        <a:xfrm rot="21366789">
          <a:off x="5953125" y="40662225"/>
          <a:ext cx="1485900" cy="1057275"/>
        </a:xfrm>
        <a:prstGeom prst="line">
          <a:avLst/>
        </a:prstGeom>
        <a:solidFill>
          <a:srgbClr val="FFFFFF"/>
        </a:solidFill>
        <a:ln w="1" cmpd="sng">
          <a:solidFill>
            <a:srgbClr val="FF00FF"/>
          </a:solidFill>
          <a:prstDash val="lg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247650</xdr:colOff>
      <xdr:row>234</xdr:row>
      <xdr:rowOff>28575</xdr:rowOff>
    </xdr:from>
    <xdr:to>
      <xdr:col>7</xdr:col>
      <xdr:colOff>809625</xdr:colOff>
      <xdr:row>240</xdr:row>
      <xdr:rowOff>0</xdr:rowOff>
    </xdr:to>
    <xdr:sp>
      <xdr:nvSpPr>
        <xdr:cNvPr id="226" name="Line 227"/>
        <xdr:cNvSpPr>
          <a:spLocks/>
        </xdr:cNvSpPr>
      </xdr:nvSpPr>
      <xdr:spPr>
        <a:xfrm rot="21366789" flipV="1">
          <a:off x="5943600" y="40662225"/>
          <a:ext cx="1485900" cy="942975"/>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676275</xdr:colOff>
      <xdr:row>226</xdr:row>
      <xdr:rowOff>152400</xdr:rowOff>
    </xdr:from>
    <xdr:to>
      <xdr:col>7</xdr:col>
      <xdr:colOff>304800</xdr:colOff>
      <xdr:row>247</xdr:row>
      <xdr:rowOff>123825</xdr:rowOff>
    </xdr:to>
    <xdr:sp>
      <xdr:nvSpPr>
        <xdr:cNvPr id="227" name="Line 228"/>
        <xdr:cNvSpPr>
          <a:spLocks/>
        </xdr:cNvSpPr>
      </xdr:nvSpPr>
      <xdr:spPr>
        <a:xfrm rot="21366789" flipV="1">
          <a:off x="6372225" y="39490650"/>
          <a:ext cx="552450" cy="3371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152400</xdr:colOff>
      <xdr:row>226</xdr:row>
      <xdr:rowOff>66675</xdr:rowOff>
    </xdr:from>
    <xdr:to>
      <xdr:col>7</xdr:col>
      <xdr:colOff>238125</xdr:colOff>
      <xdr:row>227</xdr:row>
      <xdr:rowOff>9525</xdr:rowOff>
    </xdr:to>
    <xdr:sp>
      <xdr:nvSpPr>
        <xdr:cNvPr id="228" name="Oval 229"/>
        <xdr:cNvSpPr>
          <a:spLocks/>
        </xdr:cNvSpPr>
      </xdr:nvSpPr>
      <xdr:spPr>
        <a:xfrm rot="21366789">
          <a:off x="6772275" y="39404925"/>
          <a:ext cx="85725" cy="104775"/>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152400</xdr:colOff>
      <xdr:row>225</xdr:row>
      <xdr:rowOff>114300</xdr:rowOff>
    </xdr:from>
    <xdr:to>
      <xdr:col>8</xdr:col>
      <xdr:colOff>47625</xdr:colOff>
      <xdr:row>251</xdr:row>
      <xdr:rowOff>152400</xdr:rowOff>
    </xdr:to>
    <xdr:grpSp>
      <xdr:nvGrpSpPr>
        <xdr:cNvPr id="229" name="Group 230"/>
        <xdr:cNvGrpSpPr>
          <a:grpSpLocks/>
        </xdr:cNvGrpSpPr>
      </xdr:nvGrpSpPr>
      <xdr:grpSpPr>
        <a:xfrm rot="21366789">
          <a:off x="5848350" y="39290625"/>
          <a:ext cx="1685925" cy="4248150"/>
          <a:chOff x="10436" y="-166"/>
          <a:chExt cx="5128" cy="14179"/>
        </a:xfrm>
        <a:solidFill>
          <a:srgbClr val="FFFFFF"/>
        </a:solidFill>
      </xdr:grpSpPr>
      <xdr:sp>
        <xdr:nvSpPr>
          <xdr:cNvPr id="230" name="Line 231"/>
          <xdr:cNvSpPr>
            <a:spLocks/>
          </xdr:cNvSpPr>
        </xdr:nvSpPr>
        <xdr:spPr>
          <a:xfrm flipH="1">
            <a:off x="10436" y="249"/>
            <a:ext cx="5128" cy="11145"/>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1" name="Line 232"/>
          <xdr:cNvSpPr>
            <a:spLocks/>
          </xdr:cNvSpPr>
        </xdr:nvSpPr>
        <xdr:spPr>
          <a:xfrm>
            <a:off x="11855" y="624"/>
            <a:ext cx="2472" cy="11808"/>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2" name="Line 233"/>
          <xdr:cNvSpPr>
            <a:spLocks/>
          </xdr:cNvSpPr>
        </xdr:nvSpPr>
        <xdr:spPr>
          <a:xfrm flipH="1">
            <a:off x="12218" y="-166"/>
            <a:ext cx="1273" cy="14136"/>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3" name="Line 234"/>
          <xdr:cNvSpPr>
            <a:spLocks/>
          </xdr:cNvSpPr>
        </xdr:nvSpPr>
        <xdr:spPr>
          <a:xfrm flipH="1">
            <a:off x="12145" y="997"/>
            <a:ext cx="1855" cy="9440"/>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4" name="Line 235"/>
          <xdr:cNvSpPr>
            <a:spLocks/>
          </xdr:cNvSpPr>
        </xdr:nvSpPr>
        <xdr:spPr>
          <a:xfrm flipV="1">
            <a:off x="12218" y="12432"/>
            <a:ext cx="2073" cy="1581"/>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5" name="Line 236"/>
          <xdr:cNvSpPr>
            <a:spLocks/>
          </xdr:cNvSpPr>
        </xdr:nvSpPr>
        <xdr:spPr>
          <a:xfrm flipH="1" flipV="1">
            <a:off x="12145" y="10394"/>
            <a:ext cx="2146" cy="1996"/>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6" name="Line 237"/>
          <xdr:cNvSpPr>
            <a:spLocks/>
          </xdr:cNvSpPr>
        </xdr:nvSpPr>
        <xdr:spPr>
          <a:xfrm>
            <a:off x="10436" y="11393"/>
            <a:ext cx="1782" cy="2620"/>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7" name="Line 238"/>
          <xdr:cNvSpPr>
            <a:spLocks/>
          </xdr:cNvSpPr>
        </xdr:nvSpPr>
        <xdr:spPr>
          <a:xfrm flipH="1">
            <a:off x="10436" y="10394"/>
            <a:ext cx="1709" cy="957"/>
          </a:xfrm>
          <a:prstGeom prst="line">
            <a:avLst/>
          </a:prstGeom>
          <a:solidFill>
            <a:srgbClr val="FFFFFF"/>
          </a:solidFill>
          <a:ln w="19050"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438150</xdr:colOff>
      <xdr:row>227</xdr:row>
      <xdr:rowOff>28575</xdr:rowOff>
    </xdr:from>
    <xdr:to>
      <xdr:col>7</xdr:col>
      <xdr:colOff>266700</xdr:colOff>
      <xdr:row>227</xdr:row>
      <xdr:rowOff>133350</xdr:rowOff>
    </xdr:to>
    <xdr:sp>
      <xdr:nvSpPr>
        <xdr:cNvPr id="238" name="Line 240"/>
        <xdr:cNvSpPr>
          <a:spLocks/>
        </xdr:cNvSpPr>
      </xdr:nvSpPr>
      <xdr:spPr>
        <a:xfrm rot="21366789">
          <a:off x="6134100" y="39528750"/>
          <a:ext cx="752475" cy="104775"/>
        </a:xfrm>
        <a:prstGeom prst="lin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400050</xdr:colOff>
      <xdr:row>225</xdr:row>
      <xdr:rowOff>152400</xdr:rowOff>
    </xdr:from>
    <xdr:to>
      <xdr:col>8</xdr:col>
      <xdr:colOff>142875</xdr:colOff>
      <xdr:row>227</xdr:row>
      <xdr:rowOff>85725</xdr:rowOff>
    </xdr:to>
    <xdr:sp>
      <xdr:nvSpPr>
        <xdr:cNvPr id="239" name="Line 241"/>
        <xdr:cNvSpPr>
          <a:spLocks/>
        </xdr:cNvSpPr>
      </xdr:nvSpPr>
      <xdr:spPr>
        <a:xfrm rot="21366789">
          <a:off x="6096000" y="39328725"/>
          <a:ext cx="1533525" cy="257175"/>
        </a:xfrm>
        <a:prstGeom prst="line">
          <a:avLst/>
        </a:prstGeom>
        <a:solidFill>
          <a:srgbClr val="FFFFFF"/>
        </a:solidFill>
        <a:ln w="19050" cmpd="sng">
          <a:solidFill>
            <a:srgbClr val="3366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600075</xdr:colOff>
      <xdr:row>225</xdr:row>
      <xdr:rowOff>9525</xdr:rowOff>
    </xdr:from>
    <xdr:to>
      <xdr:col>7</xdr:col>
      <xdr:colOff>838200</xdr:colOff>
      <xdr:row>227</xdr:row>
      <xdr:rowOff>133350</xdr:rowOff>
    </xdr:to>
    <xdr:sp>
      <xdr:nvSpPr>
        <xdr:cNvPr id="240" name="Line 242"/>
        <xdr:cNvSpPr>
          <a:spLocks/>
        </xdr:cNvSpPr>
      </xdr:nvSpPr>
      <xdr:spPr>
        <a:xfrm rot="21366789" flipV="1">
          <a:off x="6296025" y="39185850"/>
          <a:ext cx="1162050" cy="447675"/>
        </a:xfrm>
        <a:prstGeom prst="line">
          <a:avLst/>
        </a:prstGeom>
        <a:solidFill>
          <a:srgbClr val="FFFFFF"/>
        </a:solidFill>
        <a:ln w="19050"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285750</xdr:colOff>
      <xdr:row>226</xdr:row>
      <xdr:rowOff>28575</xdr:rowOff>
    </xdr:from>
    <xdr:to>
      <xdr:col>7</xdr:col>
      <xdr:colOff>800100</xdr:colOff>
      <xdr:row>227</xdr:row>
      <xdr:rowOff>85725</xdr:rowOff>
    </xdr:to>
    <xdr:sp>
      <xdr:nvSpPr>
        <xdr:cNvPr id="241" name="Line 243"/>
        <xdr:cNvSpPr>
          <a:spLocks/>
        </xdr:cNvSpPr>
      </xdr:nvSpPr>
      <xdr:spPr>
        <a:xfrm rot="21366789" flipV="1">
          <a:off x="6905625" y="39366825"/>
          <a:ext cx="523875" cy="219075"/>
        </a:xfrm>
        <a:prstGeom prst="lin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428625</xdr:colOff>
      <xdr:row>225</xdr:row>
      <xdr:rowOff>123825</xdr:rowOff>
    </xdr:from>
    <xdr:to>
      <xdr:col>7</xdr:col>
      <xdr:colOff>123825</xdr:colOff>
      <xdr:row>227</xdr:row>
      <xdr:rowOff>28575</xdr:rowOff>
    </xdr:to>
    <xdr:sp>
      <xdr:nvSpPr>
        <xdr:cNvPr id="242" name="Line 244"/>
        <xdr:cNvSpPr>
          <a:spLocks/>
        </xdr:cNvSpPr>
      </xdr:nvSpPr>
      <xdr:spPr>
        <a:xfrm rot="21366789" flipV="1">
          <a:off x="6124575" y="39300150"/>
          <a:ext cx="619125" cy="228600"/>
        </a:xfrm>
        <a:prstGeom prst="lin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123825</xdr:colOff>
      <xdr:row>225</xdr:row>
      <xdr:rowOff>85725</xdr:rowOff>
    </xdr:from>
    <xdr:to>
      <xdr:col>7</xdr:col>
      <xdr:colOff>771525</xdr:colOff>
      <xdr:row>226</xdr:row>
      <xdr:rowOff>38100</xdr:rowOff>
    </xdr:to>
    <xdr:sp>
      <xdr:nvSpPr>
        <xdr:cNvPr id="243" name="Line 245"/>
        <xdr:cNvSpPr>
          <a:spLocks/>
        </xdr:cNvSpPr>
      </xdr:nvSpPr>
      <xdr:spPr>
        <a:xfrm rot="21366789">
          <a:off x="6743700" y="39262050"/>
          <a:ext cx="647700" cy="114300"/>
        </a:xfrm>
        <a:prstGeom prst="lin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561975</xdr:colOff>
      <xdr:row>227</xdr:row>
      <xdr:rowOff>0</xdr:rowOff>
    </xdr:from>
    <xdr:to>
      <xdr:col>6</xdr:col>
      <xdr:colOff>438150</xdr:colOff>
      <xdr:row>227</xdr:row>
      <xdr:rowOff>133350</xdr:rowOff>
    </xdr:to>
    <xdr:sp>
      <xdr:nvSpPr>
        <xdr:cNvPr id="244" name="Line 284"/>
        <xdr:cNvSpPr>
          <a:spLocks/>
        </xdr:cNvSpPr>
      </xdr:nvSpPr>
      <xdr:spPr>
        <a:xfrm flipH="1">
          <a:off x="4524375" y="39500175"/>
          <a:ext cx="1609725" cy="133350"/>
        </a:xfrm>
        <a:prstGeom prst="line">
          <a:avLst/>
        </a:prstGeom>
        <a:noFill/>
        <a:ln w="38100" cmpd="sng">
          <a:solidFill>
            <a:srgbClr val="F309ED"/>
          </a:solidFill>
          <a:headEnd type="stealth"/>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9525</xdr:colOff>
      <xdr:row>270</xdr:row>
      <xdr:rowOff>0</xdr:rowOff>
    </xdr:from>
    <xdr:to>
      <xdr:col>6</xdr:col>
      <xdr:colOff>790575</xdr:colOff>
      <xdr:row>289</xdr:row>
      <xdr:rowOff>9525</xdr:rowOff>
    </xdr:to>
    <xdr:sp>
      <xdr:nvSpPr>
        <xdr:cNvPr id="245" name="Rectangle 285"/>
        <xdr:cNvSpPr>
          <a:spLocks/>
        </xdr:cNvSpPr>
      </xdr:nvSpPr>
      <xdr:spPr>
        <a:xfrm>
          <a:off x="2762250" y="46529625"/>
          <a:ext cx="3724275" cy="30861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279</xdr:row>
      <xdr:rowOff>0</xdr:rowOff>
    </xdr:from>
    <xdr:to>
      <xdr:col>5</xdr:col>
      <xdr:colOff>0</xdr:colOff>
      <xdr:row>294</xdr:row>
      <xdr:rowOff>38100</xdr:rowOff>
    </xdr:to>
    <xdr:sp>
      <xdr:nvSpPr>
        <xdr:cNvPr id="246" name="Line 286"/>
        <xdr:cNvSpPr>
          <a:spLocks/>
        </xdr:cNvSpPr>
      </xdr:nvSpPr>
      <xdr:spPr>
        <a:xfrm>
          <a:off x="4829175" y="47986950"/>
          <a:ext cx="0" cy="24669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9525</xdr:colOff>
      <xdr:row>278</xdr:row>
      <xdr:rowOff>152400</xdr:rowOff>
    </xdr:from>
    <xdr:to>
      <xdr:col>8</xdr:col>
      <xdr:colOff>28575</xdr:colOff>
      <xdr:row>278</xdr:row>
      <xdr:rowOff>152400</xdr:rowOff>
    </xdr:to>
    <xdr:sp>
      <xdr:nvSpPr>
        <xdr:cNvPr id="247" name="Line 287"/>
        <xdr:cNvSpPr>
          <a:spLocks/>
        </xdr:cNvSpPr>
      </xdr:nvSpPr>
      <xdr:spPr>
        <a:xfrm flipV="1">
          <a:off x="4838700" y="47977425"/>
          <a:ext cx="26765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857250</xdr:colOff>
      <xdr:row>269</xdr:row>
      <xdr:rowOff>28575</xdr:rowOff>
    </xdr:from>
    <xdr:to>
      <xdr:col>4</xdr:col>
      <xdr:colOff>857250</xdr:colOff>
      <xdr:row>278</xdr:row>
      <xdr:rowOff>152400</xdr:rowOff>
    </xdr:to>
    <xdr:sp>
      <xdr:nvSpPr>
        <xdr:cNvPr id="248" name="Line 298"/>
        <xdr:cNvSpPr>
          <a:spLocks/>
        </xdr:cNvSpPr>
      </xdr:nvSpPr>
      <xdr:spPr>
        <a:xfrm flipV="1">
          <a:off x="4819650" y="46396275"/>
          <a:ext cx="0" cy="1581150"/>
        </a:xfrm>
        <a:prstGeom prst="line">
          <a:avLst/>
        </a:prstGeom>
        <a:noFill/>
        <a:ln w="38100" cmpd="sng">
          <a:solidFill>
            <a:srgbClr val="DD0806"/>
          </a:solidFill>
          <a:headEnd type="none"/>
          <a:tailEnd type="stealth"/>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323850</xdr:colOff>
      <xdr:row>280</xdr:row>
      <xdr:rowOff>47625</xdr:rowOff>
    </xdr:from>
    <xdr:to>
      <xdr:col>3</xdr:col>
      <xdr:colOff>447675</xdr:colOff>
      <xdr:row>281</xdr:row>
      <xdr:rowOff>0</xdr:rowOff>
    </xdr:to>
    <xdr:sp>
      <xdr:nvSpPr>
        <xdr:cNvPr id="249" name="Oval 299"/>
        <xdr:cNvSpPr>
          <a:spLocks/>
        </xdr:cNvSpPr>
      </xdr:nvSpPr>
      <xdr:spPr>
        <a:xfrm>
          <a:off x="3076575" y="48196500"/>
          <a:ext cx="123825" cy="114300"/>
        </a:xfrm>
        <a:prstGeom prst="ellipse">
          <a:avLst/>
        </a:prstGeom>
        <a:solidFill>
          <a:srgbClr val="F309ED"/>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428625</xdr:colOff>
      <xdr:row>278</xdr:row>
      <xdr:rowOff>123825</xdr:rowOff>
    </xdr:from>
    <xdr:to>
      <xdr:col>4</xdr:col>
      <xdr:colOff>857250</xdr:colOff>
      <xdr:row>280</xdr:row>
      <xdr:rowOff>85725</xdr:rowOff>
    </xdr:to>
    <xdr:sp>
      <xdr:nvSpPr>
        <xdr:cNvPr id="250" name="Line 300"/>
        <xdr:cNvSpPr>
          <a:spLocks/>
        </xdr:cNvSpPr>
      </xdr:nvSpPr>
      <xdr:spPr>
        <a:xfrm flipH="1">
          <a:off x="3181350" y="47948850"/>
          <a:ext cx="1638300" cy="285750"/>
        </a:xfrm>
        <a:prstGeom prst="line">
          <a:avLst/>
        </a:prstGeom>
        <a:noFill/>
        <a:ln w="38100" cmpd="sng">
          <a:solidFill>
            <a:srgbClr val="F309ED"/>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47625</xdr:colOff>
      <xdr:row>273</xdr:row>
      <xdr:rowOff>152400</xdr:rowOff>
    </xdr:from>
    <xdr:to>
      <xdr:col>4</xdr:col>
      <xdr:colOff>847725</xdr:colOff>
      <xdr:row>279</xdr:row>
      <xdr:rowOff>152400</xdr:rowOff>
    </xdr:to>
    <xdr:sp>
      <xdr:nvSpPr>
        <xdr:cNvPr id="251" name="Polygon 301"/>
        <xdr:cNvSpPr>
          <a:spLocks/>
        </xdr:cNvSpPr>
      </xdr:nvSpPr>
      <xdr:spPr>
        <a:xfrm>
          <a:off x="4010025" y="47167800"/>
          <a:ext cx="800100" cy="971550"/>
        </a:xfrm>
        <a:custGeom>
          <a:pathLst>
            <a:path h="78" w="69">
              <a:moveTo>
                <a:pt x="69" y="0"/>
              </a:moveTo>
              <a:cubicBezTo>
                <a:pt x="60" y="2"/>
                <a:pt x="53" y="4"/>
                <a:pt x="44" y="6"/>
              </a:cubicBezTo>
              <a:cubicBezTo>
                <a:pt x="39" y="7"/>
                <a:pt x="35" y="7"/>
                <a:pt x="31" y="9"/>
              </a:cubicBezTo>
              <a:cubicBezTo>
                <a:pt x="26" y="12"/>
                <a:pt x="23" y="15"/>
                <a:pt x="19" y="20"/>
              </a:cubicBezTo>
              <a:cubicBezTo>
                <a:pt x="15" y="29"/>
                <a:pt x="10" y="38"/>
                <a:pt x="7" y="49"/>
              </a:cubicBezTo>
              <a:cubicBezTo>
                <a:pt x="5" y="53"/>
                <a:pt x="4" y="57"/>
                <a:pt x="3" y="61"/>
              </a:cubicBezTo>
              <a:cubicBezTo>
                <a:pt x="2" y="62"/>
                <a:pt x="2" y="64"/>
                <a:pt x="2" y="64"/>
              </a:cubicBezTo>
              <a:cubicBezTo>
                <a:pt x="0" y="76"/>
                <a:pt x="1" y="71"/>
                <a:pt x="1" y="78"/>
              </a:cubicBezTo>
            </a:path>
          </a:pathLst>
        </a:custGeom>
        <a:noFill/>
        <a:ln w="19050" cmpd="sng">
          <a:solidFill>
            <a:srgbClr val="000000"/>
          </a:solidFill>
          <a:headEnd type="none"/>
          <a:tailEnd type="stealth"/>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200025</xdr:colOff>
      <xdr:row>272</xdr:row>
      <xdr:rowOff>76200</xdr:rowOff>
    </xdr:from>
    <xdr:to>
      <xdr:col>4</xdr:col>
      <xdr:colOff>190500</xdr:colOff>
      <xdr:row>275</xdr:row>
      <xdr:rowOff>133350</xdr:rowOff>
    </xdr:to>
    <xdr:sp>
      <xdr:nvSpPr>
        <xdr:cNvPr id="252" name="TextBox 302"/>
        <xdr:cNvSpPr txBox="1">
          <a:spLocks noChangeArrowheads="1"/>
        </xdr:cNvSpPr>
      </xdr:nvSpPr>
      <xdr:spPr>
        <a:xfrm>
          <a:off x="2952750" y="46929675"/>
          <a:ext cx="1200150" cy="542925"/>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Rotation Angle
Relative to -X
Axis</a:t>
          </a:r>
        </a:p>
      </xdr:txBody>
    </xdr:sp>
    <xdr:clientData/>
  </xdr:twoCellAnchor>
  <xdr:twoCellAnchor>
    <xdr:from>
      <xdr:col>3</xdr:col>
      <xdr:colOff>200025</xdr:colOff>
      <xdr:row>281</xdr:row>
      <xdr:rowOff>38100</xdr:rowOff>
    </xdr:from>
    <xdr:to>
      <xdr:col>4</xdr:col>
      <xdr:colOff>323850</xdr:colOff>
      <xdr:row>282</xdr:row>
      <xdr:rowOff>76200</xdr:rowOff>
    </xdr:to>
    <xdr:sp>
      <xdr:nvSpPr>
        <xdr:cNvPr id="253" name="Rectangle 303"/>
        <xdr:cNvSpPr>
          <a:spLocks/>
        </xdr:cNvSpPr>
      </xdr:nvSpPr>
      <xdr:spPr>
        <a:xfrm>
          <a:off x="2952750" y="48348900"/>
          <a:ext cx="1333500" cy="200025"/>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Auxiliary Point</a:t>
          </a:r>
        </a:p>
      </xdr:txBody>
    </xdr:sp>
    <xdr:clientData/>
  </xdr:twoCellAnchor>
  <xdr:twoCellAnchor>
    <xdr:from>
      <xdr:col>5</xdr:col>
      <xdr:colOff>209550</xdr:colOff>
      <xdr:row>271</xdr:row>
      <xdr:rowOff>76200</xdr:rowOff>
    </xdr:from>
    <xdr:to>
      <xdr:col>6</xdr:col>
      <xdr:colOff>438150</xdr:colOff>
      <xdr:row>273</xdr:row>
      <xdr:rowOff>133350</xdr:rowOff>
    </xdr:to>
    <xdr:sp>
      <xdr:nvSpPr>
        <xdr:cNvPr id="254" name="Rectangle 305"/>
        <xdr:cNvSpPr>
          <a:spLocks/>
        </xdr:cNvSpPr>
      </xdr:nvSpPr>
      <xdr:spPr>
        <a:xfrm>
          <a:off x="5038725" y="46767750"/>
          <a:ext cx="1095375" cy="381000"/>
        </a:xfrm>
        <a:prstGeom prst="rect">
          <a:avLst/>
        </a:prstGeom>
        <a:noFill/>
        <a:ln w="28575" cmpd="sng">
          <a:solidFill>
            <a:srgbClr val="DD0806"/>
          </a:solidFill>
          <a:headEnd type="none"/>
          <a:tailEnd type="none"/>
        </a:ln>
      </xdr:spPr>
      <xdr:txBody>
        <a:bodyPr vertOverflow="clip" wrap="square"/>
        <a:p>
          <a:pPr algn="l">
            <a:defRPr/>
          </a:pPr>
          <a:r>
            <a:rPr lang="en-US" cap="none" sz="1000" b="0" i="0" u="none" baseline="0">
              <a:latin typeface="Geneva"/>
              <a:ea typeface="Geneva"/>
              <a:cs typeface="Geneva"/>
            </a:rPr>
            <a:t>-X axis of Photo
Coordinate System</a:t>
          </a:r>
        </a:p>
      </xdr:txBody>
    </xdr:sp>
    <xdr:clientData/>
  </xdr:twoCellAnchor>
  <xdr:twoCellAnchor>
    <xdr:from>
      <xdr:col>6</xdr:col>
      <xdr:colOff>295275</xdr:colOff>
      <xdr:row>300</xdr:row>
      <xdr:rowOff>95250</xdr:rowOff>
    </xdr:from>
    <xdr:to>
      <xdr:col>11</xdr:col>
      <xdr:colOff>390525</xdr:colOff>
      <xdr:row>325</xdr:row>
      <xdr:rowOff>114300</xdr:rowOff>
    </xdr:to>
    <xdr:grpSp>
      <xdr:nvGrpSpPr>
        <xdr:cNvPr id="255" name="Group 561"/>
        <xdr:cNvGrpSpPr>
          <a:grpSpLocks/>
        </xdr:cNvGrpSpPr>
      </xdr:nvGrpSpPr>
      <xdr:grpSpPr>
        <a:xfrm>
          <a:off x="5991225" y="51501675"/>
          <a:ext cx="4486275" cy="4067175"/>
          <a:chOff x="542" y="5407"/>
          <a:chExt cx="414" cy="427"/>
        </a:xfrm>
        <a:solidFill>
          <a:srgbClr val="FFFFFF"/>
        </a:solidFill>
      </xdr:grpSpPr>
      <xdr:sp>
        <xdr:nvSpPr>
          <xdr:cNvPr id="256" name="Rectangle 314"/>
          <xdr:cNvSpPr>
            <a:spLocks/>
          </xdr:cNvSpPr>
        </xdr:nvSpPr>
        <xdr:spPr>
          <a:xfrm>
            <a:off x="543" y="5468"/>
            <a:ext cx="60" cy="41"/>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Auxiliary Point</a:t>
            </a:r>
          </a:p>
        </xdr:txBody>
      </xdr:sp>
      <xdr:sp>
        <xdr:nvSpPr>
          <xdr:cNvPr id="257" name="Rectangle 306"/>
          <xdr:cNvSpPr>
            <a:spLocks/>
          </xdr:cNvSpPr>
        </xdr:nvSpPr>
        <xdr:spPr>
          <a:xfrm>
            <a:off x="542" y="5421"/>
            <a:ext cx="319" cy="3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8" name="Line 307"/>
          <xdr:cNvSpPr>
            <a:spLocks/>
          </xdr:cNvSpPr>
        </xdr:nvSpPr>
        <xdr:spPr>
          <a:xfrm>
            <a:off x="699" y="5575"/>
            <a:ext cx="0" cy="259"/>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59" name="Line 308"/>
          <xdr:cNvSpPr>
            <a:spLocks/>
          </xdr:cNvSpPr>
        </xdr:nvSpPr>
        <xdr:spPr>
          <a:xfrm flipV="1">
            <a:off x="700" y="5573"/>
            <a:ext cx="256"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60" name="Line 309"/>
          <xdr:cNvSpPr>
            <a:spLocks/>
          </xdr:cNvSpPr>
        </xdr:nvSpPr>
        <xdr:spPr>
          <a:xfrm flipV="1">
            <a:off x="698" y="5407"/>
            <a:ext cx="0" cy="166"/>
          </a:xfrm>
          <a:prstGeom prst="line">
            <a:avLst/>
          </a:prstGeom>
          <a:noFill/>
          <a:ln w="38100" cmpd="sng">
            <a:solidFill>
              <a:srgbClr val="DD0806"/>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261" name="Oval 310"/>
          <xdr:cNvSpPr>
            <a:spLocks/>
          </xdr:cNvSpPr>
        </xdr:nvSpPr>
        <xdr:spPr>
          <a:xfrm>
            <a:off x="591" y="5491"/>
            <a:ext cx="10" cy="12"/>
          </a:xfrm>
          <a:prstGeom prst="ellipse">
            <a:avLst/>
          </a:prstGeom>
          <a:solidFill>
            <a:srgbClr val="F309ED"/>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2" name="Line 311"/>
          <xdr:cNvSpPr>
            <a:spLocks/>
          </xdr:cNvSpPr>
        </xdr:nvSpPr>
        <xdr:spPr>
          <a:xfrm flipH="1" flipV="1">
            <a:off x="600" y="5501"/>
            <a:ext cx="98" cy="70"/>
          </a:xfrm>
          <a:prstGeom prst="line">
            <a:avLst/>
          </a:prstGeom>
          <a:noFill/>
          <a:ln w="38100" cmpd="sng">
            <a:solidFill>
              <a:srgbClr val="F309ED"/>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63" name="Rectangle 315"/>
          <xdr:cNvSpPr>
            <a:spLocks/>
          </xdr:cNvSpPr>
        </xdr:nvSpPr>
        <xdr:spPr>
          <a:xfrm>
            <a:off x="719" y="5446"/>
            <a:ext cx="107" cy="41"/>
          </a:xfrm>
          <a:prstGeom prst="rect">
            <a:avLst/>
          </a:prstGeom>
          <a:noFill/>
          <a:ln w="28575" cmpd="sng">
            <a:solidFill>
              <a:srgbClr val="DD0806"/>
            </a:solidFill>
            <a:headEnd type="none"/>
            <a:tailEnd type="none"/>
          </a:ln>
        </xdr:spPr>
        <xdr:txBody>
          <a:bodyPr vertOverflow="clip" wrap="square"/>
          <a:p>
            <a:pPr algn="l">
              <a:defRPr/>
            </a:pPr>
            <a:r>
              <a:rPr lang="en-US" cap="none" sz="1000" b="0" i="0" u="none" baseline="0">
                <a:latin typeface="Geneva"/>
                <a:ea typeface="Geneva"/>
                <a:cs typeface="Geneva"/>
              </a:rPr>
              <a:t>-X axis of Photo
Coordinate System</a:t>
            </a:r>
          </a:p>
        </xdr:txBody>
      </xdr:sp>
      <xdr:sp>
        <xdr:nvSpPr>
          <xdr:cNvPr id="264" name="Line 316"/>
          <xdr:cNvSpPr>
            <a:spLocks/>
          </xdr:cNvSpPr>
        </xdr:nvSpPr>
        <xdr:spPr>
          <a:xfrm>
            <a:off x="603" y="5495"/>
            <a:ext cx="92" cy="0"/>
          </a:xfrm>
          <a:prstGeom prst="line">
            <a:avLst/>
          </a:prstGeom>
          <a:noFill/>
          <a:ln w="19050" cmpd="sng">
            <a:solidFill>
              <a:srgbClr val="1FB714"/>
            </a:solidFill>
            <a:headEnd type="stealth"/>
            <a:tailEnd type="stealth"/>
          </a:ln>
        </xdr:spPr>
        <xdr:txBody>
          <a:bodyPr vertOverflow="clip" wrap="square"/>
          <a:p>
            <a:pPr algn="l">
              <a:defRPr/>
            </a:pPr>
            <a:r>
              <a:rPr lang="en-US" cap="none" u="none" baseline="0">
                <a:latin typeface="Geneva"/>
                <a:ea typeface="Geneva"/>
                <a:cs typeface="Geneva"/>
              </a:rPr>
              <a:t/>
            </a:r>
          </a:p>
        </xdr:txBody>
      </xdr:sp>
      <xdr:sp>
        <xdr:nvSpPr>
          <xdr:cNvPr id="265" name="Line 317"/>
          <xdr:cNvSpPr>
            <a:spLocks/>
          </xdr:cNvSpPr>
        </xdr:nvSpPr>
        <xdr:spPr>
          <a:xfrm>
            <a:off x="704" y="5496"/>
            <a:ext cx="0" cy="73"/>
          </a:xfrm>
          <a:prstGeom prst="line">
            <a:avLst/>
          </a:prstGeom>
          <a:noFill/>
          <a:ln w="19050" cmpd="sng">
            <a:solidFill>
              <a:srgbClr val="8080FF"/>
            </a:solidFill>
            <a:headEnd type="stealth"/>
            <a:tailEnd type="stealth"/>
          </a:ln>
        </xdr:spPr>
        <xdr:txBody>
          <a:bodyPr vertOverflow="clip" wrap="square"/>
          <a:p>
            <a:pPr algn="l">
              <a:defRPr/>
            </a:pPr>
            <a:r>
              <a:rPr lang="en-US" cap="none" u="none" baseline="0">
                <a:latin typeface="Geneva"/>
                <a:ea typeface="Geneva"/>
                <a:cs typeface="Geneva"/>
              </a:rPr>
              <a:t/>
            </a:r>
          </a:p>
        </xdr:txBody>
      </xdr:sp>
      <xdr:sp>
        <xdr:nvSpPr>
          <xdr:cNvPr id="266" name="TextBox 321"/>
          <xdr:cNvSpPr txBox="1">
            <a:spLocks noChangeArrowheads="1"/>
          </xdr:cNvSpPr>
        </xdr:nvSpPr>
        <xdr:spPr>
          <a:xfrm>
            <a:off x="635" y="5615"/>
            <a:ext cx="5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Cos Angle</a:t>
            </a:r>
          </a:p>
        </xdr:txBody>
      </xdr:sp>
      <xdr:sp>
        <xdr:nvSpPr>
          <xdr:cNvPr id="267" name="Polygon 322"/>
          <xdr:cNvSpPr>
            <a:spLocks/>
          </xdr:cNvSpPr>
        </xdr:nvSpPr>
        <xdr:spPr>
          <a:xfrm>
            <a:off x="653" y="5513"/>
            <a:ext cx="43" cy="25"/>
          </a:xfrm>
          <a:custGeom>
            <a:pathLst>
              <a:path h="19" w="41">
                <a:moveTo>
                  <a:pt x="0" y="19"/>
                </a:moveTo>
                <a:cubicBezTo>
                  <a:pt x="10" y="8"/>
                  <a:pt x="25" y="0"/>
                  <a:pt x="41" y="0"/>
                </a:cubicBezTo>
              </a:path>
            </a:pathLst>
          </a:custGeom>
          <a:noFill/>
          <a:ln w="19050" cmpd="sng">
            <a:solidFill>
              <a:srgbClr val="008080"/>
            </a:solidFill>
            <a:headEnd type="stealth"/>
            <a:tailEnd type="none"/>
          </a:ln>
        </xdr:spPr>
        <xdr:txBody>
          <a:bodyPr vertOverflow="clip" wrap="square"/>
          <a:p>
            <a:pPr algn="l">
              <a:defRPr/>
            </a:pPr>
            <a:r>
              <a:rPr lang="en-US" cap="none" u="none" baseline="0">
                <a:latin typeface="Geneva"/>
                <a:ea typeface="Geneva"/>
                <a:cs typeface="Geneva"/>
              </a:rPr>
              <a:t/>
            </a:r>
          </a:p>
        </xdr:txBody>
      </xdr:sp>
      <xdr:sp>
        <xdr:nvSpPr>
          <xdr:cNvPr id="268" name="TextBox 323"/>
          <xdr:cNvSpPr txBox="1">
            <a:spLocks noChangeArrowheads="1"/>
          </xdr:cNvSpPr>
        </xdr:nvSpPr>
        <xdr:spPr>
          <a:xfrm>
            <a:off x="554" y="5572"/>
            <a:ext cx="57" cy="1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Sin Angle</a:t>
            </a:r>
          </a:p>
        </xdr:txBody>
      </xdr:sp>
      <xdr:sp>
        <xdr:nvSpPr>
          <xdr:cNvPr id="269" name="Polygon 324"/>
          <xdr:cNvSpPr>
            <a:spLocks/>
          </xdr:cNvSpPr>
        </xdr:nvSpPr>
        <xdr:spPr>
          <a:xfrm>
            <a:off x="671" y="5560"/>
            <a:ext cx="27" cy="46"/>
          </a:xfrm>
          <a:custGeom>
            <a:pathLst>
              <a:path h="35" w="26">
                <a:moveTo>
                  <a:pt x="8" y="0"/>
                </a:moveTo>
                <a:cubicBezTo>
                  <a:pt x="2" y="8"/>
                  <a:pt x="0" y="20"/>
                  <a:pt x="10" y="27"/>
                </a:cubicBezTo>
                <a:cubicBezTo>
                  <a:pt x="12" y="30"/>
                  <a:pt x="15" y="32"/>
                  <a:pt x="19" y="35"/>
                </a:cubicBezTo>
                <a:cubicBezTo>
                  <a:pt x="21" y="34"/>
                  <a:pt x="26" y="34"/>
                  <a:pt x="26" y="34"/>
                </a:cubicBezTo>
              </a:path>
            </a:pathLst>
          </a:custGeom>
          <a:noFill/>
          <a:ln w="19050" cmpd="sng">
            <a:solidFill>
              <a:srgbClr val="000000"/>
            </a:solidFill>
            <a:headEnd type="stealth"/>
            <a:tailEnd type="none"/>
          </a:ln>
        </xdr:spPr>
        <xdr:txBody>
          <a:bodyPr vertOverflow="clip" wrap="square"/>
          <a:p>
            <a:pPr algn="l">
              <a:defRPr/>
            </a:pPr>
            <a:r>
              <a:rPr lang="en-US" cap="none" u="none" baseline="0">
                <a:latin typeface="Geneva"/>
                <a:ea typeface="Geneva"/>
                <a:cs typeface="Geneva"/>
              </a:rPr>
              <a:t/>
            </a:r>
          </a:p>
        </xdr:txBody>
      </xdr:sp>
      <xdr:sp>
        <xdr:nvSpPr>
          <xdr:cNvPr id="270" name="Polygon 325"/>
          <xdr:cNvSpPr>
            <a:spLocks/>
          </xdr:cNvSpPr>
        </xdr:nvSpPr>
        <xdr:spPr>
          <a:xfrm>
            <a:off x="617" y="5538"/>
            <a:ext cx="36" cy="45"/>
          </a:xfrm>
          <a:custGeom>
            <a:pathLst>
              <a:path h="34" w="34">
                <a:moveTo>
                  <a:pt x="34" y="0"/>
                </a:moveTo>
                <a:cubicBezTo>
                  <a:pt x="31" y="8"/>
                  <a:pt x="25" y="21"/>
                  <a:pt x="18" y="26"/>
                </a:cubicBezTo>
                <a:cubicBezTo>
                  <a:pt x="15" y="32"/>
                  <a:pt x="10" y="31"/>
                  <a:pt x="5" y="33"/>
                </a:cubicBezTo>
                <a:cubicBezTo>
                  <a:pt x="3" y="33"/>
                  <a:pt x="0" y="34"/>
                  <a:pt x="0" y="34"/>
                </a:cubicBezTo>
              </a:path>
            </a:pathLst>
          </a:custGeom>
          <a:noFill/>
          <a:ln w="19050" cmpd="sng">
            <a:solidFill>
              <a:srgbClr val="008080"/>
            </a:solidFill>
            <a:headEnd type="stealth"/>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676275</xdr:colOff>
      <xdr:row>395</xdr:row>
      <xdr:rowOff>152400</xdr:rowOff>
    </xdr:from>
    <xdr:to>
      <xdr:col>9</xdr:col>
      <xdr:colOff>523875</xdr:colOff>
      <xdr:row>410</xdr:row>
      <xdr:rowOff>0</xdr:rowOff>
    </xdr:to>
    <xdr:sp>
      <xdr:nvSpPr>
        <xdr:cNvPr id="271" name="Rectangle 359"/>
        <xdr:cNvSpPr>
          <a:spLocks/>
        </xdr:cNvSpPr>
      </xdr:nvSpPr>
      <xdr:spPr>
        <a:xfrm>
          <a:off x="6372225" y="66998850"/>
          <a:ext cx="2505075"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57150</xdr:colOff>
      <xdr:row>394</xdr:row>
      <xdr:rowOff>47625</xdr:rowOff>
    </xdr:from>
    <xdr:to>
      <xdr:col>8</xdr:col>
      <xdr:colOff>57150</xdr:colOff>
      <xdr:row>403</xdr:row>
      <xdr:rowOff>66675</xdr:rowOff>
    </xdr:to>
    <xdr:sp>
      <xdr:nvSpPr>
        <xdr:cNvPr id="272" name="Line 360"/>
        <xdr:cNvSpPr>
          <a:spLocks/>
        </xdr:cNvSpPr>
      </xdr:nvSpPr>
      <xdr:spPr>
        <a:xfrm>
          <a:off x="7543800" y="66732150"/>
          <a:ext cx="0" cy="1476375"/>
        </a:xfrm>
        <a:prstGeom prst="line">
          <a:avLst/>
        </a:prstGeom>
        <a:noFill/>
        <a:ln w="28575" cmpd="sng">
          <a:solidFill>
            <a:srgbClr val="800000"/>
          </a:solidFill>
          <a:headEnd type="stealth"/>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742950</xdr:colOff>
      <xdr:row>403</xdr:row>
      <xdr:rowOff>66675</xdr:rowOff>
    </xdr:from>
    <xdr:to>
      <xdr:col>8</xdr:col>
      <xdr:colOff>209550</xdr:colOff>
      <xdr:row>403</xdr:row>
      <xdr:rowOff>66675</xdr:rowOff>
    </xdr:to>
    <xdr:sp>
      <xdr:nvSpPr>
        <xdr:cNvPr id="273" name="Line 361"/>
        <xdr:cNvSpPr>
          <a:spLocks/>
        </xdr:cNvSpPr>
      </xdr:nvSpPr>
      <xdr:spPr>
        <a:xfrm>
          <a:off x="7362825" y="68208525"/>
          <a:ext cx="333375"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238125</xdr:colOff>
      <xdr:row>398</xdr:row>
      <xdr:rowOff>47625</xdr:rowOff>
    </xdr:from>
    <xdr:to>
      <xdr:col>7</xdr:col>
      <xdr:colOff>371475</xdr:colOff>
      <xdr:row>399</xdr:row>
      <xdr:rowOff>38100</xdr:rowOff>
    </xdr:to>
    <xdr:sp>
      <xdr:nvSpPr>
        <xdr:cNvPr id="274" name="Oval 362"/>
        <xdr:cNvSpPr>
          <a:spLocks/>
        </xdr:cNvSpPr>
      </xdr:nvSpPr>
      <xdr:spPr>
        <a:xfrm>
          <a:off x="6858000" y="67379850"/>
          <a:ext cx="133350" cy="152400"/>
        </a:xfrm>
        <a:prstGeom prst="ellipse">
          <a:avLst/>
        </a:prstGeom>
        <a:solidFill>
          <a:srgbClr val="F309ED"/>
        </a:solidFill>
        <a:ln w="254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85725</xdr:colOff>
      <xdr:row>397</xdr:row>
      <xdr:rowOff>9525</xdr:rowOff>
    </xdr:from>
    <xdr:to>
      <xdr:col>8</xdr:col>
      <xdr:colOff>57150</xdr:colOff>
      <xdr:row>403</xdr:row>
      <xdr:rowOff>38100</xdr:rowOff>
    </xdr:to>
    <xdr:sp>
      <xdr:nvSpPr>
        <xdr:cNvPr id="275" name="Line 363"/>
        <xdr:cNvSpPr>
          <a:spLocks/>
        </xdr:cNvSpPr>
      </xdr:nvSpPr>
      <xdr:spPr>
        <a:xfrm flipH="1" flipV="1">
          <a:off x="6705600" y="67179825"/>
          <a:ext cx="838200" cy="1000125"/>
        </a:xfrm>
        <a:prstGeom prst="line">
          <a:avLst/>
        </a:prstGeom>
        <a:noFill/>
        <a:ln w="25400" cmpd="sng">
          <a:solidFill>
            <a:srgbClr val="F309ED"/>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552450</xdr:colOff>
      <xdr:row>398</xdr:row>
      <xdr:rowOff>95250</xdr:rowOff>
    </xdr:from>
    <xdr:to>
      <xdr:col>8</xdr:col>
      <xdr:colOff>47625</xdr:colOff>
      <xdr:row>400</xdr:row>
      <xdr:rowOff>76200</xdr:rowOff>
    </xdr:to>
    <xdr:sp>
      <xdr:nvSpPr>
        <xdr:cNvPr id="276" name="Polygon 364"/>
        <xdr:cNvSpPr>
          <a:spLocks/>
        </xdr:cNvSpPr>
      </xdr:nvSpPr>
      <xdr:spPr>
        <a:xfrm>
          <a:off x="7172325" y="67427475"/>
          <a:ext cx="361950" cy="304800"/>
        </a:xfrm>
        <a:custGeom>
          <a:pathLst>
            <a:path h="24" w="31">
              <a:moveTo>
                <a:pt x="31" y="0"/>
              </a:moveTo>
              <a:cubicBezTo>
                <a:pt x="27" y="2"/>
                <a:pt x="23" y="4"/>
                <a:pt x="19" y="6"/>
              </a:cubicBezTo>
              <a:cubicBezTo>
                <a:pt x="15" y="9"/>
                <a:pt x="11" y="12"/>
                <a:pt x="7" y="15"/>
              </a:cubicBezTo>
              <a:cubicBezTo>
                <a:pt x="5" y="17"/>
                <a:pt x="2" y="21"/>
                <a:pt x="0" y="24"/>
              </a:cubicBezTo>
            </a:path>
          </a:pathLst>
        </a:custGeom>
        <a:noFill/>
        <a:ln w="22225" cmpd="sng">
          <a:solidFill>
            <a:srgbClr val="DD0806"/>
          </a:solidFill>
          <a:headEnd type="stealth"/>
          <a:tailEnd type="stealth"/>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638175</xdr:colOff>
      <xdr:row>379</xdr:row>
      <xdr:rowOff>9525</xdr:rowOff>
    </xdr:from>
    <xdr:to>
      <xdr:col>9</xdr:col>
      <xdr:colOff>485775</xdr:colOff>
      <xdr:row>393</xdr:row>
      <xdr:rowOff>28575</xdr:rowOff>
    </xdr:to>
    <xdr:sp>
      <xdr:nvSpPr>
        <xdr:cNvPr id="277" name="Rectangle 365"/>
        <xdr:cNvSpPr>
          <a:spLocks/>
        </xdr:cNvSpPr>
      </xdr:nvSpPr>
      <xdr:spPr>
        <a:xfrm>
          <a:off x="6334125" y="64265175"/>
          <a:ext cx="2505075"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47625</xdr:colOff>
      <xdr:row>377</xdr:row>
      <xdr:rowOff>76200</xdr:rowOff>
    </xdr:from>
    <xdr:to>
      <xdr:col>8</xdr:col>
      <xdr:colOff>47625</xdr:colOff>
      <xdr:row>386</xdr:row>
      <xdr:rowOff>85725</xdr:rowOff>
    </xdr:to>
    <xdr:sp>
      <xdr:nvSpPr>
        <xdr:cNvPr id="278" name="Line 366"/>
        <xdr:cNvSpPr>
          <a:spLocks/>
        </xdr:cNvSpPr>
      </xdr:nvSpPr>
      <xdr:spPr>
        <a:xfrm>
          <a:off x="7534275" y="64008000"/>
          <a:ext cx="0" cy="1466850"/>
        </a:xfrm>
        <a:prstGeom prst="line">
          <a:avLst/>
        </a:prstGeom>
        <a:noFill/>
        <a:ln w="28575" cmpd="sng">
          <a:solidFill>
            <a:srgbClr val="800000"/>
          </a:solidFill>
          <a:headEnd type="stealth"/>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733425</xdr:colOff>
      <xdr:row>386</xdr:row>
      <xdr:rowOff>85725</xdr:rowOff>
    </xdr:from>
    <xdr:to>
      <xdr:col>8</xdr:col>
      <xdr:colOff>190500</xdr:colOff>
      <xdr:row>386</xdr:row>
      <xdr:rowOff>85725</xdr:rowOff>
    </xdr:to>
    <xdr:sp>
      <xdr:nvSpPr>
        <xdr:cNvPr id="279" name="Line 367"/>
        <xdr:cNvSpPr>
          <a:spLocks/>
        </xdr:cNvSpPr>
      </xdr:nvSpPr>
      <xdr:spPr>
        <a:xfrm>
          <a:off x="7353300" y="65474850"/>
          <a:ext cx="3238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47625</xdr:colOff>
      <xdr:row>379</xdr:row>
      <xdr:rowOff>0</xdr:rowOff>
    </xdr:from>
    <xdr:to>
      <xdr:col>8</xdr:col>
      <xdr:colOff>47625</xdr:colOff>
      <xdr:row>386</xdr:row>
      <xdr:rowOff>66675</xdr:rowOff>
    </xdr:to>
    <xdr:sp>
      <xdr:nvSpPr>
        <xdr:cNvPr id="280" name="Line 369"/>
        <xdr:cNvSpPr>
          <a:spLocks/>
        </xdr:cNvSpPr>
      </xdr:nvSpPr>
      <xdr:spPr>
        <a:xfrm flipH="1" flipV="1">
          <a:off x="7534275" y="64255650"/>
          <a:ext cx="0" cy="12001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838200</xdr:colOff>
      <xdr:row>448</xdr:row>
      <xdr:rowOff>152400</xdr:rowOff>
    </xdr:from>
    <xdr:to>
      <xdr:col>4</xdr:col>
      <xdr:colOff>285750</xdr:colOff>
      <xdr:row>470</xdr:row>
      <xdr:rowOff>28575</xdr:rowOff>
    </xdr:to>
    <xdr:grpSp>
      <xdr:nvGrpSpPr>
        <xdr:cNvPr id="281" name="Group 564"/>
        <xdr:cNvGrpSpPr>
          <a:grpSpLocks/>
        </xdr:cNvGrpSpPr>
      </xdr:nvGrpSpPr>
      <xdr:grpSpPr>
        <a:xfrm>
          <a:off x="1704975" y="75666600"/>
          <a:ext cx="2543175" cy="3648075"/>
          <a:chOff x="157" y="7945"/>
          <a:chExt cx="224" cy="382"/>
        </a:xfrm>
        <a:solidFill>
          <a:srgbClr val="FFFFFF"/>
        </a:solidFill>
      </xdr:grpSpPr>
      <xdr:sp>
        <xdr:nvSpPr>
          <xdr:cNvPr id="282" name="Line 413"/>
          <xdr:cNvSpPr>
            <a:spLocks/>
          </xdr:cNvSpPr>
        </xdr:nvSpPr>
        <xdr:spPr>
          <a:xfrm>
            <a:off x="171" y="8052"/>
            <a:ext cx="210" cy="139"/>
          </a:xfrm>
          <a:prstGeom prst="line">
            <a:avLst/>
          </a:prstGeom>
          <a:solidFill>
            <a:srgbClr val="FFFFFF"/>
          </a:solidFill>
          <a:ln w="2476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3" name="Line 414"/>
          <xdr:cNvSpPr>
            <a:spLocks/>
          </xdr:cNvSpPr>
        </xdr:nvSpPr>
        <xdr:spPr>
          <a:xfrm flipV="1">
            <a:off x="158" y="8064"/>
            <a:ext cx="201" cy="107"/>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4" name="Line 415"/>
          <xdr:cNvSpPr>
            <a:spLocks/>
          </xdr:cNvSpPr>
        </xdr:nvSpPr>
        <xdr:spPr>
          <a:xfrm flipV="1">
            <a:off x="263" y="8055"/>
            <a:ext cx="35" cy="65"/>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5" name="Line 416"/>
          <xdr:cNvSpPr>
            <a:spLocks/>
          </xdr:cNvSpPr>
        </xdr:nvSpPr>
        <xdr:spPr>
          <a:xfrm flipV="1">
            <a:off x="157" y="8119"/>
            <a:ext cx="107" cy="188"/>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6" name="Line 417"/>
          <xdr:cNvSpPr>
            <a:spLocks/>
          </xdr:cNvSpPr>
        </xdr:nvSpPr>
        <xdr:spPr>
          <a:xfrm flipV="1">
            <a:off x="235" y="8023"/>
            <a:ext cx="42" cy="30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7" name="Oval 418"/>
          <xdr:cNvSpPr>
            <a:spLocks/>
          </xdr:cNvSpPr>
        </xdr:nvSpPr>
        <xdr:spPr>
          <a:xfrm>
            <a:off x="267" y="8014"/>
            <a:ext cx="19" cy="18"/>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8" name="Line 419"/>
          <xdr:cNvSpPr>
            <a:spLocks/>
          </xdr:cNvSpPr>
        </xdr:nvSpPr>
        <xdr:spPr>
          <a:xfrm>
            <a:off x="205" y="8031"/>
            <a:ext cx="78" cy="14"/>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9" name="Line 420"/>
          <xdr:cNvSpPr>
            <a:spLocks/>
          </xdr:cNvSpPr>
        </xdr:nvSpPr>
        <xdr:spPr>
          <a:xfrm>
            <a:off x="218" y="8012"/>
            <a:ext cx="123" cy="22"/>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0" name="Line 421"/>
          <xdr:cNvSpPr>
            <a:spLocks/>
          </xdr:cNvSpPr>
        </xdr:nvSpPr>
        <xdr:spPr>
          <a:xfrm flipV="1">
            <a:off x="231" y="7998"/>
            <a:ext cx="91" cy="4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1" name="Line 422"/>
          <xdr:cNvSpPr>
            <a:spLocks/>
          </xdr:cNvSpPr>
        </xdr:nvSpPr>
        <xdr:spPr>
          <a:xfrm flipV="1">
            <a:off x="284" y="8015"/>
            <a:ext cx="62" cy="3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2" name="Line 423"/>
          <xdr:cNvSpPr>
            <a:spLocks/>
          </xdr:cNvSpPr>
        </xdr:nvSpPr>
        <xdr:spPr>
          <a:xfrm flipV="1">
            <a:off x="205" y="7999"/>
            <a:ext cx="62" cy="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3" name="Line 424"/>
          <xdr:cNvSpPr>
            <a:spLocks/>
          </xdr:cNvSpPr>
        </xdr:nvSpPr>
        <xdr:spPr>
          <a:xfrm>
            <a:off x="267" y="7999"/>
            <a:ext cx="77" cy="15"/>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294" name="Group 425"/>
          <xdr:cNvGrpSpPr>
            <a:grpSpLocks/>
          </xdr:cNvGrpSpPr>
        </xdr:nvGrpSpPr>
        <xdr:grpSpPr>
          <a:xfrm>
            <a:off x="172" y="8235"/>
            <a:ext cx="110" cy="46"/>
            <a:chOff x="840" y="13688"/>
            <a:chExt cx="7816" cy="2657"/>
          </a:xfrm>
          <a:solidFill>
            <a:srgbClr val="FFFFFF"/>
          </a:solidFill>
        </xdr:grpSpPr>
        <xdr:sp>
          <xdr:nvSpPr>
            <xdr:cNvPr id="295" name="Arc 426"/>
            <xdr:cNvSpPr>
              <a:spLocks/>
            </xdr:cNvSpPr>
          </xdr:nvSpPr>
          <xdr:spPr>
            <a:xfrm flipH="1" flipV="1">
              <a:off x="1764" y="15017"/>
              <a:ext cx="3949" cy="1196"/>
            </a:xfrm>
            <a:prstGeom prst="arc">
              <a:avLst/>
            </a:prstGeom>
            <a:noFill/>
            <a:ln w="17145" cmpd="sng">
              <a:solidFill>
                <a:srgbClr val="00ABEA"/>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6" name="Line 427"/>
            <xdr:cNvSpPr>
              <a:spLocks/>
            </xdr:cNvSpPr>
          </xdr:nvSpPr>
          <xdr:spPr>
            <a:xfrm flipH="1" flipV="1">
              <a:off x="5797" y="16279"/>
              <a:ext cx="2859" cy="66"/>
            </a:xfrm>
            <a:prstGeom prst="line">
              <a:avLst/>
            </a:prstGeom>
            <a:solidFill>
              <a:srgbClr val="FFFFFF"/>
            </a:solidFill>
            <a:ln w="17145" cmpd="sng">
              <a:solidFill>
                <a:srgbClr val="00ABEA"/>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97" name="Line 428"/>
            <xdr:cNvSpPr>
              <a:spLocks/>
            </xdr:cNvSpPr>
          </xdr:nvSpPr>
          <xdr:spPr>
            <a:xfrm>
              <a:off x="840" y="13688"/>
              <a:ext cx="840" cy="1329"/>
            </a:xfrm>
            <a:prstGeom prst="line">
              <a:avLst/>
            </a:prstGeom>
            <a:solidFill>
              <a:srgbClr val="FFFFFF"/>
            </a:solidFill>
            <a:ln w="17145" cmpd="sng">
              <a:solidFill>
                <a:srgbClr val="00ABEA"/>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sp>
        <xdr:nvSpPr>
          <xdr:cNvPr id="298" name="Arc 429"/>
          <xdr:cNvSpPr>
            <a:spLocks/>
          </xdr:cNvSpPr>
        </xdr:nvSpPr>
        <xdr:spPr>
          <a:xfrm>
            <a:off x="287" y="8076"/>
            <a:ext cx="34" cy="59"/>
          </a:xfrm>
          <a:prstGeom prst="arc">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9" name="Arc 430"/>
          <xdr:cNvSpPr>
            <a:spLocks/>
          </xdr:cNvSpPr>
        </xdr:nvSpPr>
        <xdr:spPr>
          <a:xfrm flipV="1">
            <a:off x="270" y="8136"/>
            <a:ext cx="51" cy="46"/>
          </a:xfrm>
          <a:prstGeom prst="arc">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0" name="Arc 431"/>
          <xdr:cNvSpPr>
            <a:spLocks/>
          </xdr:cNvSpPr>
        </xdr:nvSpPr>
        <xdr:spPr>
          <a:xfrm flipH="1" flipV="1">
            <a:off x="209" y="8137"/>
            <a:ext cx="60" cy="46"/>
          </a:xfrm>
          <a:prstGeom prst="arc">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1" name="Arc 432"/>
          <xdr:cNvSpPr>
            <a:spLocks/>
          </xdr:cNvSpPr>
        </xdr:nvSpPr>
        <xdr:spPr>
          <a:xfrm flipH="1">
            <a:off x="209" y="8073"/>
            <a:ext cx="40" cy="64"/>
          </a:xfrm>
          <a:prstGeom prst="arc">
            <a:avLst/>
          </a:prstGeom>
          <a:no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2" name="Line 433"/>
          <xdr:cNvSpPr>
            <a:spLocks/>
          </xdr:cNvSpPr>
        </xdr:nvSpPr>
        <xdr:spPr>
          <a:xfrm>
            <a:off x="249" y="8073"/>
            <a:ext cx="22" cy="0"/>
          </a:xfrm>
          <a:prstGeom prst="line">
            <a:avLst/>
          </a:prstGeom>
          <a:solidFill>
            <a:srgbClr val="FFFFFF"/>
          </a:solidFill>
          <a:ln w="17145"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303" name="Line 434"/>
          <xdr:cNvSpPr>
            <a:spLocks/>
          </xdr:cNvSpPr>
        </xdr:nvSpPr>
        <xdr:spPr>
          <a:xfrm flipH="1" flipV="1">
            <a:off x="293" y="8179"/>
            <a:ext cx="68" cy="68"/>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nvGrpSpPr>
          <xdr:cNvPr id="304" name="Group 435"/>
          <xdr:cNvGrpSpPr>
            <a:grpSpLocks/>
          </xdr:cNvGrpSpPr>
        </xdr:nvGrpSpPr>
        <xdr:grpSpPr>
          <a:xfrm>
            <a:off x="243" y="8097"/>
            <a:ext cx="61" cy="21"/>
            <a:chOff x="5882" y="5581"/>
            <a:chExt cx="4370" cy="1196"/>
          </a:xfrm>
          <a:solidFill>
            <a:srgbClr val="FFFFFF"/>
          </a:solidFill>
        </xdr:grpSpPr>
        <xdr:sp>
          <xdr:nvSpPr>
            <xdr:cNvPr id="305" name="Line 436"/>
            <xdr:cNvSpPr>
              <a:spLocks/>
            </xdr:cNvSpPr>
          </xdr:nvSpPr>
          <xdr:spPr>
            <a:xfrm flipH="1">
              <a:off x="5882" y="5581"/>
              <a:ext cx="0" cy="119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6" name="Arc 437"/>
            <xdr:cNvSpPr>
              <a:spLocks/>
            </xdr:cNvSpPr>
          </xdr:nvSpPr>
          <xdr:spPr>
            <a:xfrm>
              <a:off x="8908" y="5980"/>
              <a:ext cx="672" cy="332"/>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7" name="Line 438"/>
            <xdr:cNvSpPr>
              <a:spLocks/>
            </xdr:cNvSpPr>
          </xdr:nvSpPr>
          <xdr:spPr>
            <a:xfrm>
              <a:off x="6218" y="5581"/>
              <a:ext cx="504" cy="39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8" name="Line 439"/>
            <xdr:cNvSpPr>
              <a:spLocks/>
            </xdr:cNvSpPr>
          </xdr:nvSpPr>
          <xdr:spPr>
            <a:xfrm flipH="1" flipV="1">
              <a:off x="9580" y="6312"/>
              <a:ext cx="336" cy="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9" name="Rectangle 440"/>
            <xdr:cNvSpPr>
              <a:spLocks/>
            </xdr:cNvSpPr>
          </xdr:nvSpPr>
          <xdr:spPr>
            <a:xfrm>
              <a:off x="5966" y="6379"/>
              <a:ext cx="2185" cy="13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0" name="Line 441"/>
            <xdr:cNvSpPr>
              <a:spLocks/>
            </xdr:cNvSpPr>
          </xdr:nvSpPr>
          <xdr:spPr>
            <a:xfrm>
              <a:off x="5882" y="6777"/>
              <a:ext cx="411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1" name="Rectangle 442"/>
            <xdr:cNvSpPr>
              <a:spLocks/>
            </xdr:cNvSpPr>
          </xdr:nvSpPr>
          <xdr:spPr>
            <a:xfrm>
              <a:off x="9160" y="6046"/>
              <a:ext cx="168" cy="266"/>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2" name="Line 443"/>
            <xdr:cNvSpPr>
              <a:spLocks/>
            </xdr:cNvSpPr>
          </xdr:nvSpPr>
          <xdr:spPr>
            <a:xfrm>
              <a:off x="5882" y="5581"/>
              <a:ext cx="3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3" name="Line 444"/>
            <xdr:cNvSpPr>
              <a:spLocks/>
            </xdr:cNvSpPr>
          </xdr:nvSpPr>
          <xdr:spPr>
            <a:xfrm>
              <a:off x="6723" y="5980"/>
              <a:ext cx="235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4" name="Arc 445"/>
            <xdr:cNvSpPr>
              <a:spLocks/>
            </xdr:cNvSpPr>
          </xdr:nvSpPr>
          <xdr:spPr>
            <a:xfrm>
              <a:off x="9832" y="6379"/>
              <a:ext cx="420" cy="19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5" name="Arc 446"/>
            <xdr:cNvSpPr>
              <a:spLocks/>
            </xdr:cNvSpPr>
          </xdr:nvSpPr>
          <xdr:spPr>
            <a:xfrm flipV="1">
              <a:off x="9916" y="6578"/>
              <a:ext cx="336" cy="19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6" name="Line 447"/>
            <xdr:cNvSpPr>
              <a:spLocks/>
            </xdr:cNvSpPr>
          </xdr:nvSpPr>
          <xdr:spPr>
            <a:xfrm>
              <a:off x="6807" y="5980"/>
              <a:ext cx="0" cy="26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7" name="Line 448"/>
            <xdr:cNvSpPr>
              <a:spLocks/>
            </xdr:cNvSpPr>
          </xdr:nvSpPr>
          <xdr:spPr>
            <a:xfrm>
              <a:off x="8740" y="5980"/>
              <a:ext cx="0" cy="26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8" name="Line 449"/>
            <xdr:cNvSpPr>
              <a:spLocks/>
            </xdr:cNvSpPr>
          </xdr:nvSpPr>
          <xdr:spPr>
            <a:xfrm>
              <a:off x="6807" y="6246"/>
              <a:ext cx="19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319" name="Line 451"/>
          <xdr:cNvSpPr>
            <a:spLocks/>
          </xdr:cNvSpPr>
        </xdr:nvSpPr>
        <xdr:spPr>
          <a:xfrm flipV="1">
            <a:off x="259" y="7947"/>
            <a:ext cx="6" cy="7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0" name="Polygon 453"/>
          <xdr:cNvSpPr>
            <a:spLocks/>
          </xdr:cNvSpPr>
        </xdr:nvSpPr>
        <xdr:spPr>
          <a:xfrm>
            <a:off x="234" y="7945"/>
            <a:ext cx="55" cy="52"/>
          </a:xfrm>
          <a:custGeom>
            <a:pathLst>
              <a:path h="25" w="44">
                <a:moveTo>
                  <a:pt x="27" y="1"/>
                </a:moveTo>
                <a:cubicBezTo>
                  <a:pt x="19" y="1"/>
                  <a:pt x="11" y="0"/>
                  <a:pt x="5" y="5"/>
                </a:cubicBezTo>
                <a:cubicBezTo>
                  <a:pt x="0" y="22"/>
                  <a:pt x="16" y="21"/>
                  <a:pt x="29" y="23"/>
                </a:cubicBezTo>
                <a:cubicBezTo>
                  <a:pt x="40" y="25"/>
                  <a:pt x="44" y="17"/>
                  <a:pt x="44" y="7"/>
                </a:cubicBezTo>
              </a:path>
            </a:pathLst>
          </a:custGeom>
          <a:noFill/>
          <a:ln w="28575" cmpd="sng">
            <a:solidFill>
              <a:srgbClr val="800080"/>
            </a:solidFill>
            <a:headEnd type="none"/>
            <a:tailEnd type="stealth"/>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4</xdr:col>
      <xdr:colOff>866775</xdr:colOff>
      <xdr:row>502</xdr:row>
      <xdr:rowOff>66675</xdr:rowOff>
    </xdr:from>
    <xdr:to>
      <xdr:col>5</xdr:col>
      <xdr:colOff>28575</xdr:colOff>
      <xdr:row>506</xdr:row>
      <xdr:rowOff>66675</xdr:rowOff>
    </xdr:to>
    <xdr:grpSp>
      <xdr:nvGrpSpPr>
        <xdr:cNvPr id="321" name="Group 454"/>
        <xdr:cNvGrpSpPr>
          <a:grpSpLocks/>
        </xdr:cNvGrpSpPr>
      </xdr:nvGrpSpPr>
      <xdr:grpSpPr>
        <a:xfrm>
          <a:off x="4829175" y="84553425"/>
          <a:ext cx="28575" cy="647700"/>
          <a:chOff x="-9412" y="-3077"/>
          <a:chExt cx="11177" cy="20000"/>
        </a:xfrm>
        <a:solidFill>
          <a:srgbClr val="FFFFFF"/>
        </a:solidFill>
      </xdr:grpSpPr>
      <xdr:sp>
        <xdr:nvSpPr>
          <xdr:cNvPr id="322" name="Line 455"/>
          <xdr:cNvSpPr>
            <a:spLocks/>
          </xdr:cNvSpPr>
        </xdr:nvSpPr>
        <xdr:spPr>
          <a:xfrm>
            <a:off x="-9412"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3" name="Line 456"/>
          <xdr:cNvSpPr>
            <a:spLocks/>
          </xdr:cNvSpPr>
        </xdr:nvSpPr>
        <xdr:spPr>
          <a:xfrm>
            <a:off x="-9412" y="-2692"/>
            <a:ext cx="94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4" name="Line 457"/>
          <xdr:cNvSpPr>
            <a:spLocks/>
          </xdr:cNvSpPr>
        </xdr:nvSpPr>
        <xdr:spPr>
          <a:xfrm>
            <a:off x="-9412" y="16923"/>
            <a:ext cx="1117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866775</xdr:colOff>
      <xdr:row>502</xdr:row>
      <xdr:rowOff>76200</xdr:rowOff>
    </xdr:from>
    <xdr:to>
      <xdr:col>8</xdr:col>
      <xdr:colOff>66675</xdr:colOff>
      <xdr:row>506</xdr:row>
      <xdr:rowOff>85725</xdr:rowOff>
    </xdr:to>
    <xdr:grpSp>
      <xdr:nvGrpSpPr>
        <xdr:cNvPr id="325" name="Group 458"/>
        <xdr:cNvGrpSpPr>
          <a:grpSpLocks/>
        </xdr:cNvGrpSpPr>
      </xdr:nvGrpSpPr>
      <xdr:grpSpPr>
        <a:xfrm>
          <a:off x="7486650" y="84562950"/>
          <a:ext cx="66675" cy="657225"/>
          <a:chOff x="-1408" y="-2692"/>
          <a:chExt cx="3098" cy="20384"/>
        </a:xfrm>
        <a:solidFill>
          <a:srgbClr val="FFFFFF"/>
        </a:solidFill>
      </xdr:grpSpPr>
      <xdr:sp>
        <xdr:nvSpPr>
          <xdr:cNvPr id="326" name="Line 459"/>
          <xdr:cNvSpPr>
            <a:spLocks/>
          </xdr:cNvSpPr>
        </xdr:nvSpPr>
        <xdr:spPr>
          <a:xfrm>
            <a:off x="1690"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7" name="Line 460"/>
          <xdr:cNvSpPr>
            <a:spLocks/>
          </xdr:cNvSpPr>
        </xdr:nvSpPr>
        <xdr:spPr>
          <a:xfrm flipH="1">
            <a:off x="-1408" y="-2692"/>
            <a:ext cx="28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8" name="Line 461"/>
          <xdr:cNvSpPr>
            <a:spLocks/>
          </xdr:cNvSpPr>
        </xdr:nvSpPr>
        <xdr:spPr>
          <a:xfrm flipH="1">
            <a:off x="-1408" y="17692"/>
            <a:ext cx="253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866775</xdr:colOff>
      <xdr:row>514</xdr:row>
      <xdr:rowOff>85725</xdr:rowOff>
    </xdr:from>
    <xdr:to>
      <xdr:col>8</xdr:col>
      <xdr:colOff>28575</xdr:colOff>
      <xdr:row>518</xdr:row>
      <xdr:rowOff>85725</xdr:rowOff>
    </xdr:to>
    <xdr:grpSp>
      <xdr:nvGrpSpPr>
        <xdr:cNvPr id="329" name="Group 462"/>
        <xdr:cNvGrpSpPr>
          <a:grpSpLocks/>
        </xdr:cNvGrpSpPr>
      </xdr:nvGrpSpPr>
      <xdr:grpSpPr>
        <a:xfrm>
          <a:off x="7486650" y="86515575"/>
          <a:ext cx="28575" cy="647700"/>
          <a:chOff x="-2778" y="-2308"/>
          <a:chExt cx="4444" cy="20000"/>
        </a:xfrm>
        <a:solidFill>
          <a:srgbClr val="FFFFFF"/>
        </a:solidFill>
      </xdr:grpSpPr>
      <xdr:sp>
        <xdr:nvSpPr>
          <xdr:cNvPr id="330" name="Line 463"/>
          <xdr:cNvSpPr>
            <a:spLocks/>
          </xdr:cNvSpPr>
        </xdr:nvSpPr>
        <xdr:spPr>
          <a:xfrm>
            <a:off x="-2778" y="-230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1" name="Line 464"/>
          <xdr:cNvSpPr>
            <a:spLocks/>
          </xdr:cNvSpPr>
        </xdr:nvSpPr>
        <xdr:spPr>
          <a:xfrm>
            <a:off x="-2778" y="-1923"/>
            <a:ext cx="388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2" name="Line 465"/>
          <xdr:cNvSpPr>
            <a:spLocks/>
          </xdr:cNvSpPr>
        </xdr:nvSpPr>
        <xdr:spPr>
          <a:xfrm>
            <a:off x="-2778" y="17692"/>
            <a:ext cx="444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809625</xdr:colOff>
      <xdr:row>514</xdr:row>
      <xdr:rowOff>76200</xdr:rowOff>
    </xdr:from>
    <xdr:to>
      <xdr:col>11</xdr:col>
      <xdr:colOff>66675</xdr:colOff>
      <xdr:row>518</xdr:row>
      <xdr:rowOff>85725</xdr:rowOff>
    </xdr:to>
    <xdr:grpSp>
      <xdr:nvGrpSpPr>
        <xdr:cNvPr id="333" name="Group 466"/>
        <xdr:cNvGrpSpPr>
          <a:grpSpLocks/>
        </xdr:cNvGrpSpPr>
      </xdr:nvGrpSpPr>
      <xdr:grpSpPr>
        <a:xfrm>
          <a:off x="10029825" y="86506050"/>
          <a:ext cx="123825" cy="657225"/>
          <a:chOff x="-6667" y="-2692"/>
          <a:chExt cx="9167" cy="20384"/>
        </a:xfrm>
        <a:solidFill>
          <a:srgbClr val="FFFFFF"/>
        </a:solidFill>
      </xdr:grpSpPr>
      <xdr:sp>
        <xdr:nvSpPr>
          <xdr:cNvPr id="334" name="Line 467"/>
          <xdr:cNvSpPr>
            <a:spLocks/>
          </xdr:cNvSpPr>
        </xdr:nvSpPr>
        <xdr:spPr>
          <a:xfrm>
            <a:off x="2500"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5" name="Line 468"/>
          <xdr:cNvSpPr>
            <a:spLocks/>
          </xdr:cNvSpPr>
        </xdr:nvSpPr>
        <xdr:spPr>
          <a:xfrm flipH="1">
            <a:off x="-6667" y="-2692"/>
            <a:ext cx="833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6" name="Line 469"/>
          <xdr:cNvSpPr>
            <a:spLocks/>
          </xdr:cNvSpPr>
        </xdr:nvSpPr>
        <xdr:spPr>
          <a:xfrm flipH="1">
            <a:off x="-6667" y="17692"/>
            <a:ext cx="750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xdr:col>
      <xdr:colOff>809625</xdr:colOff>
      <xdr:row>527</xdr:row>
      <xdr:rowOff>95250</xdr:rowOff>
    </xdr:from>
    <xdr:to>
      <xdr:col>2</xdr:col>
      <xdr:colOff>19050</xdr:colOff>
      <xdr:row>531</xdr:row>
      <xdr:rowOff>95250</xdr:rowOff>
    </xdr:to>
    <xdr:grpSp>
      <xdr:nvGrpSpPr>
        <xdr:cNvPr id="337" name="Group 470"/>
        <xdr:cNvGrpSpPr>
          <a:grpSpLocks/>
        </xdr:cNvGrpSpPr>
      </xdr:nvGrpSpPr>
      <xdr:grpSpPr>
        <a:xfrm>
          <a:off x="1676400" y="88649175"/>
          <a:ext cx="180975" cy="647700"/>
          <a:chOff x="-4444" y="-1923"/>
          <a:chExt cx="5926" cy="20000"/>
        </a:xfrm>
        <a:solidFill>
          <a:srgbClr val="FFFFFF"/>
        </a:solidFill>
      </xdr:grpSpPr>
      <xdr:sp>
        <xdr:nvSpPr>
          <xdr:cNvPr id="338" name="Line 471"/>
          <xdr:cNvSpPr>
            <a:spLocks/>
          </xdr:cNvSpPr>
        </xdr:nvSpPr>
        <xdr:spPr>
          <a:xfrm>
            <a:off x="-4444" y="-1923"/>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9" name="Line 472"/>
          <xdr:cNvSpPr>
            <a:spLocks/>
          </xdr:cNvSpPr>
        </xdr:nvSpPr>
        <xdr:spPr>
          <a:xfrm>
            <a:off x="-4444" y="-1538"/>
            <a:ext cx="518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0" name="Line 473"/>
          <xdr:cNvSpPr>
            <a:spLocks/>
          </xdr:cNvSpPr>
        </xdr:nvSpPr>
        <xdr:spPr>
          <a:xfrm>
            <a:off x="-4444" y="18077"/>
            <a:ext cx="592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5</xdr:col>
      <xdr:colOff>866775</xdr:colOff>
      <xdr:row>527</xdr:row>
      <xdr:rowOff>114300</xdr:rowOff>
    </xdr:from>
    <xdr:to>
      <xdr:col>6</xdr:col>
      <xdr:colOff>0</xdr:colOff>
      <xdr:row>531</xdr:row>
      <xdr:rowOff>114300</xdr:rowOff>
    </xdr:to>
    <xdr:grpSp>
      <xdr:nvGrpSpPr>
        <xdr:cNvPr id="341" name="Group 474"/>
        <xdr:cNvGrpSpPr>
          <a:grpSpLocks/>
        </xdr:cNvGrpSpPr>
      </xdr:nvGrpSpPr>
      <xdr:grpSpPr>
        <a:xfrm>
          <a:off x="5695950" y="88668225"/>
          <a:ext cx="0" cy="647700"/>
          <a:chOff x="-10" y="-1538"/>
          <a:chExt cx="11" cy="20000"/>
        </a:xfrm>
        <a:solidFill>
          <a:srgbClr val="FFFFFF"/>
        </a:solidFill>
      </xdr:grpSpPr>
      <xdr:sp>
        <xdr:nvSpPr>
          <xdr:cNvPr id="342" name="Line 475"/>
          <xdr:cNvSpPr>
            <a:spLocks/>
          </xdr:cNvSpPr>
        </xdr:nvSpPr>
        <xdr:spPr>
          <a:xfrm>
            <a:off x="-10" y="-1538"/>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3" name="Line 476"/>
          <xdr:cNvSpPr>
            <a:spLocks/>
          </xdr:cNvSpPr>
        </xdr:nvSpPr>
        <xdr:spPr>
          <a:xfrm>
            <a:off x="-10" y="-1153"/>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4" name="Line 477"/>
          <xdr:cNvSpPr>
            <a:spLocks/>
          </xdr:cNvSpPr>
        </xdr:nvSpPr>
        <xdr:spPr>
          <a:xfrm>
            <a:off x="-10" y="18462"/>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866775</xdr:colOff>
      <xdr:row>527</xdr:row>
      <xdr:rowOff>76200</xdr:rowOff>
    </xdr:from>
    <xdr:to>
      <xdr:col>9</xdr:col>
      <xdr:colOff>95250</xdr:colOff>
      <xdr:row>531</xdr:row>
      <xdr:rowOff>85725</xdr:rowOff>
    </xdr:to>
    <xdr:grpSp>
      <xdr:nvGrpSpPr>
        <xdr:cNvPr id="345" name="Group 478"/>
        <xdr:cNvGrpSpPr>
          <a:grpSpLocks/>
        </xdr:cNvGrpSpPr>
      </xdr:nvGrpSpPr>
      <xdr:grpSpPr>
        <a:xfrm>
          <a:off x="8353425" y="88630125"/>
          <a:ext cx="95250" cy="657225"/>
          <a:chOff x="-714" y="-2692"/>
          <a:chExt cx="2619" cy="20384"/>
        </a:xfrm>
        <a:solidFill>
          <a:srgbClr val="FFFFFF"/>
        </a:solidFill>
      </xdr:grpSpPr>
      <xdr:sp>
        <xdr:nvSpPr>
          <xdr:cNvPr id="346" name="Line 479"/>
          <xdr:cNvSpPr>
            <a:spLocks/>
          </xdr:cNvSpPr>
        </xdr:nvSpPr>
        <xdr:spPr>
          <a:xfrm>
            <a:off x="1905"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7" name="Line 480"/>
          <xdr:cNvSpPr>
            <a:spLocks/>
          </xdr:cNvSpPr>
        </xdr:nvSpPr>
        <xdr:spPr>
          <a:xfrm flipH="1">
            <a:off x="-714" y="-2692"/>
            <a:ext cx="238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8" name="Line 481"/>
          <xdr:cNvSpPr>
            <a:spLocks/>
          </xdr:cNvSpPr>
        </xdr:nvSpPr>
        <xdr:spPr>
          <a:xfrm flipH="1">
            <a:off x="-714" y="17692"/>
            <a:ext cx="214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771525</xdr:colOff>
      <xdr:row>535</xdr:row>
      <xdr:rowOff>76200</xdr:rowOff>
    </xdr:from>
    <xdr:to>
      <xdr:col>4</xdr:col>
      <xdr:colOff>0</xdr:colOff>
      <xdr:row>539</xdr:row>
      <xdr:rowOff>76200</xdr:rowOff>
    </xdr:to>
    <xdr:grpSp>
      <xdr:nvGrpSpPr>
        <xdr:cNvPr id="349" name="Group 482"/>
        <xdr:cNvGrpSpPr>
          <a:grpSpLocks/>
        </xdr:cNvGrpSpPr>
      </xdr:nvGrpSpPr>
      <xdr:grpSpPr>
        <a:xfrm>
          <a:off x="3524250" y="89925525"/>
          <a:ext cx="438150" cy="647700"/>
          <a:chOff x="-7" y="-2692"/>
          <a:chExt cx="7" cy="20000"/>
        </a:xfrm>
        <a:solidFill>
          <a:srgbClr val="FFFFFF"/>
        </a:solidFill>
      </xdr:grpSpPr>
      <xdr:sp>
        <xdr:nvSpPr>
          <xdr:cNvPr id="350" name="Line 483"/>
          <xdr:cNvSpPr>
            <a:spLocks/>
          </xdr:cNvSpPr>
        </xdr:nvSpPr>
        <xdr:spPr>
          <a:xfrm>
            <a:off x="-7"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1" name="Line 484"/>
          <xdr:cNvSpPr>
            <a:spLocks/>
          </xdr:cNvSpPr>
        </xdr:nvSpPr>
        <xdr:spPr>
          <a:xfrm>
            <a:off x="-7" y="-2307"/>
            <a:ext cx="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2" name="Line 485"/>
          <xdr:cNvSpPr>
            <a:spLocks/>
          </xdr:cNvSpPr>
        </xdr:nvSpPr>
        <xdr:spPr>
          <a:xfrm>
            <a:off x="-7" y="17308"/>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771525</xdr:colOff>
      <xdr:row>535</xdr:row>
      <xdr:rowOff>76200</xdr:rowOff>
    </xdr:from>
    <xdr:to>
      <xdr:col>7</xdr:col>
      <xdr:colOff>85725</xdr:colOff>
      <xdr:row>539</xdr:row>
      <xdr:rowOff>85725</xdr:rowOff>
    </xdr:to>
    <xdr:grpSp>
      <xdr:nvGrpSpPr>
        <xdr:cNvPr id="353" name="Group 486"/>
        <xdr:cNvGrpSpPr>
          <a:grpSpLocks/>
        </xdr:cNvGrpSpPr>
      </xdr:nvGrpSpPr>
      <xdr:grpSpPr>
        <a:xfrm>
          <a:off x="6467475" y="89925525"/>
          <a:ext cx="238125" cy="657225"/>
          <a:chOff x="-952" y="-2692"/>
          <a:chExt cx="2619" cy="20384"/>
        </a:xfrm>
        <a:solidFill>
          <a:srgbClr val="FFFFFF"/>
        </a:solidFill>
      </xdr:grpSpPr>
      <xdr:sp>
        <xdr:nvSpPr>
          <xdr:cNvPr id="354" name="Line 487"/>
          <xdr:cNvSpPr>
            <a:spLocks/>
          </xdr:cNvSpPr>
        </xdr:nvSpPr>
        <xdr:spPr>
          <a:xfrm>
            <a:off x="1667"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5" name="Line 488"/>
          <xdr:cNvSpPr>
            <a:spLocks/>
          </xdr:cNvSpPr>
        </xdr:nvSpPr>
        <xdr:spPr>
          <a:xfrm flipH="1">
            <a:off x="-952" y="-2692"/>
            <a:ext cx="238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6" name="Line 489"/>
          <xdr:cNvSpPr>
            <a:spLocks/>
          </xdr:cNvSpPr>
        </xdr:nvSpPr>
        <xdr:spPr>
          <a:xfrm flipH="1">
            <a:off x="-952" y="17692"/>
            <a:ext cx="214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3</xdr:col>
      <xdr:colOff>419100</xdr:colOff>
      <xdr:row>531</xdr:row>
      <xdr:rowOff>95250</xdr:rowOff>
    </xdr:from>
    <xdr:to>
      <xdr:col>5</xdr:col>
      <xdr:colOff>19050</xdr:colOff>
      <xdr:row>535</xdr:row>
      <xdr:rowOff>0</xdr:rowOff>
    </xdr:to>
    <xdr:grpSp>
      <xdr:nvGrpSpPr>
        <xdr:cNvPr id="357" name="Group 502"/>
        <xdr:cNvGrpSpPr>
          <a:grpSpLocks/>
        </xdr:cNvGrpSpPr>
      </xdr:nvGrpSpPr>
      <xdr:grpSpPr>
        <a:xfrm>
          <a:off x="3171825" y="89296875"/>
          <a:ext cx="1676400" cy="552450"/>
          <a:chOff x="-5891" y="-2564"/>
          <a:chExt cx="22635" cy="22564"/>
        </a:xfrm>
        <a:solidFill>
          <a:srgbClr val="FFFFFF"/>
        </a:solidFill>
      </xdr:grpSpPr>
      <xdr:sp>
        <xdr:nvSpPr>
          <xdr:cNvPr id="358" name="Line 503"/>
          <xdr:cNvSpPr>
            <a:spLocks/>
          </xdr:cNvSpPr>
        </xdr:nvSpPr>
        <xdr:spPr>
          <a:xfrm>
            <a:off x="-5891" y="-2564"/>
            <a:ext cx="0" cy="1230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9" name="Line 504"/>
          <xdr:cNvSpPr>
            <a:spLocks/>
          </xdr:cNvSpPr>
        </xdr:nvSpPr>
        <xdr:spPr>
          <a:xfrm>
            <a:off x="-5891" y="9231"/>
            <a:ext cx="2263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0" name="Line 505"/>
          <xdr:cNvSpPr>
            <a:spLocks/>
          </xdr:cNvSpPr>
        </xdr:nvSpPr>
        <xdr:spPr>
          <a:xfrm>
            <a:off x="16591" y="9231"/>
            <a:ext cx="0" cy="10769"/>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5</xdr:col>
      <xdr:colOff>866775</xdr:colOff>
      <xdr:row>531</xdr:row>
      <xdr:rowOff>66675</xdr:rowOff>
    </xdr:from>
    <xdr:to>
      <xdr:col>7</xdr:col>
      <xdr:colOff>561975</xdr:colOff>
      <xdr:row>534</xdr:row>
      <xdr:rowOff>133350</xdr:rowOff>
    </xdr:to>
    <xdr:grpSp>
      <xdr:nvGrpSpPr>
        <xdr:cNvPr id="361" name="Group 510"/>
        <xdr:cNvGrpSpPr>
          <a:grpSpLocks/>
        </xdr:cNvGrpSpPr>
      </xdr:nvGrpSpPr>
      <xdr:grpSpPr>
        <a:xfrm>
          <a:off x="5695950" y="89268300"/>
          <a:ext cx="1485900" cy="552450"/>
          <a:chOff x="-625" y="-4103"/>
          <a:chExt cx="16125" cy="23077"/>
        </a:xfrm>
        <a:solidFill>
          <a:srgbClr val="FFFFFF"/>
        </a:solidFill>
      </xdr:grpSpPr>
      <xdr:sp>
        <xdr:nvSpPr>
          <xdr:cNvPr id="362" name="Line 511"/>
          <xdr:cNvSpPr>
            <a:spLocks/>
          </xdr:cNvSpPr>
        </xdr:nvSpPr>
        <xdr:spPr>
          <a:xfrm>
            <a:off x="15500" y="-4103"/>
            <a:ext cx="0" cy="128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3" name="Line 512"/>
          <xdr:cNvSpPr>
            <a:spLocks/>
          </xdr:cNvSpPr>
        </xdr:nvSpPr>
        <xdr:spPr>
          <a:xfrm flipH="1">
            <a:off x="-625" y="8203"/>
            <a:ext cx="16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4" name="Line 513"/>
          <xdr:cNvSpPr>
            <a:spLocks/>
          </xdr:cNvSpPr>
        </xdr:nvSpPr>
        <xdr:spPr>
          <a:xfrm>
            <a:off x="-500" y="8203"/>
            <a:ext cx="0" cy="10771"/>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4</xdr:col>
      <xdr:colOff>866775</xdr:colOff>
      <xdr:row>527</xdr:row>
      <xdr:rowOff>76200</xdr:rowOff>
    </xdr:from>
    <xdr:to>
      <xdr:col>5</xdr:col>
      <xdr:colOff>76200</xdr:colOff>
      <xdr:row>531</xdr:row>
      <xdr:rowOff>85725</xdr:rowOff>
    </xdr:to>
    <xdr:grpSp>
      <xdr:nvGrpSpPr>
        <xdr:cNvPr id="365" name="Group 522"/>
        <xdr:cNvGrpSpPr>
          <a:grpSpLocks/>
        </xdr:cNvGrpSpPr>
      </xdr:nvGrpSpPr>
      <xdr:grpSpPr>
        <a:xfrm>
          <a:off x="4829175" y="88630125"/>
          <a:ext cx="76200" cy="657225"/>
          <a:chOff x="-4000" y="-2692"/>
          <a:chExt cx="5750" cy="20384"/>
        </a:xfrm>
        <a:solidFill>
          <a:srgbClr val="FFFFFF"/>
        </a:solidFill>
      </xdr:grpSpPr>
      <xdr:sp>
        <xdr:nvSpPr>
          <xdr:cNvPr id="366" name="Line 523"/>
          <xdr:cNvSpPr>
            <a:spLocks/>
          </xdr:cNvSpPr>
        </xdr:nvSpPr>
        <xdr:spPr>
          <a:xfrm>
            <a:off x="1750" y="-2692"/>
            <a:ext cx="0" cy="20384"/>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7" name="Line 524"/>
          <xdr:cNvSpPr>
            <a:spLocks/>
          </xdr:cNvSpPr>
        </xdr:nvSpPr>
        <xdr:spPr>
          <a:xfrm flipH="1">
            <a:off x="-4000" y="-2692"/>
            <a:ext cx="5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8" name="Line 525"/>
          <xdr:cNvSpPr>
            <a:spLocks/>
          </xdr:cNvSpPr>
        </xdr:nvSpPr>
        <xdr:spPr>
          <a:xfrm flipH="1">
            <a:off x="-4000" y="17692"/>
            <a:ext cx="4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228600</xdr:colOff>
      <xdr:row>379</xdr:row>
      <xdr:rowOff>123825</xdr:rowOff>
    </xdr:from>
    <xdr:to>
      <xdr:col>9</xdr:col>
      <xdr:colOff>485775</xdr:colOff>
      <xdr:row>382</xdr:row>
      <xdr:rowOff>47625</xdr:rowOff>
    </xdr:to>
    <xdr:sp>
      <xdr:nvSpPr>
        <xdr:cNvPr id="369" name="TextBox 539"/>
        <xdr:cNvSpPr txBox="1">
          <a:spLocks noChangeArrowheads="1"/>
        </xdr:cNvSpPr>
      </xdr:nvSpPr>
      <xdr:spPr>
        <a:xfrm>
          <a:off x="7715250" y="64379475"/>
          <a:ext cx="1123950" cy="409575"/>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Mathematical Pt
Location</a:t>
          </a:r>
        </a:p>
      </xdr:txBody>
    </xdr:sp>
    <xdr:clientData/>
  </xdr:twoCellAnchor>
  <xdr:twoCellAnchor>
    <xdr:from>
      <xdr:col>6</xdr:col>
      <xdr:colOff>552450</xdr:colOff>
      <xdr:row>399</xdr:row>
      <xdr:rowOff>95250</xdr:rowOff>
    </xdr:from>
    <xdr:to>
      <xdr:col>7</xdr:col>
      <xdr:colOff>314325</xdr:colOff>
      <xdr:row>401</xdr:row>
      <xdr:rowOff>152400</xdr:rowOff>
    </xdr:to>
    <xdr:sp>
      <xdr:nvSpPr>
        <xdr:cNvPr id="370" name="TextBox 540"/>
        <xdr:cNvSpPr txBox="1">
          <a:spLocks noChangeArrowheads="1"/>
        </xdr:cNvSpPr>
      </xdr:nvSpPr>
      <xdr:spPr>
        <a:xfrm>
          <a:off x="6248400" y="67589400"/>
          <a:ext cx="685800" cy="381000"/>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True Point
Location</a:t>
          </a:r>
        </a:p>
      </xdr:txBody>
    </xdr:sp>
    <xdr:clientData/>
  </xdr:twoCellAnchor>
  <xdr:twoCellAnchor>
    <xdr:from>
      <xdr:col>7</xdr:col>
      <xdr:colOff>771525</xdr:colOff>
      <xdr:row>380</xdr:row>
      <xdr:rowOff>47625</xdr:rowOff>
    </xdr:from>
    <xdr:to>
      <xdr:col>8</xdr:col>
      <xdr:colOff>171450</xdr:colOff>
      <xdr:row>381</xdr:row>
      <xdr:rowOff>133350</xdr:rowOff>
    </xdr:to>
    <xdr:sp>
      <xdr:nvSpPr>
        <xdr:cNvPr id="371" name="Rectangle 550"/>
        <xdr:cNvSpPr>
          <a:spLocks/>
        </xdr:cNvSpPr>
      </xdr:nvSpPr>
      <xdr:spPr>
        <a:xfrm>
          <a:off x="7391400" y="64465200"/>
          <a:ext cx="266700" cy="247650"/>
        </a:xfrm>
        <a:prstGeom prst="rect">
          <a:avLst/>
        </a:prstGeom>
        <a:solidFill>
          <a:srgbClr val="3366FF"/>
        </a:solidFill>
        <a:ln w="222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790575</xdr:colOff>
      <xdr:row>396</xdr:row>
      <xdr:rowOff>95250</xdr:rowOff>
    </xdr:from>
    <xdr:to>
      <xdr:col>8</xdr:col>
      <xdr:colOff>180975</xdr:colOff>
      <xdr:row>398</xdr:row>
      <xdr:rowOff>28575</xdr:rowOff>
    </xdr:to>
    <xdr:sp>
      <xdr:nvSpPr>
        <xdr:cNvPr id="372" name="Rectangle 551"/>
        <xdr:cNvSpPr>
          <a:spLocks/>
        </xdr:cNvSpPr>
      </xdr:nvSpPr>
      <xdr:spPr>
        <a:xfrm>
          <a:off x="7410450" y="67103625"/>
          <a:ext cx="257175" cy="257175"/>
        </a:xfrm>
        <a:prstGeom prst="rect">
          <a:avLst/>
        </a:prstGeom>
        <a:solidFill>
          <a:srgbClr val="3366FF"/>
        </a:solidFill>
        <a:ln w="22225" cmpd="sng">
          <a:solidFill>
            <a:srgbClr val="00000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476250</xdr:colOff>
      <xdr:row>411</xdr:row>
      <xdr:rowOff>28575</xdr:rowOff>
    </xdr:from>
    <xdr:to>
      <xdr:col>9</xdr:col>
      <xdr:colOff>361950</xdr:colOff>
      <xdr:row>431</xdr:row>
      <xdr:rowOff>76200</xdr:rowOff>
    </xdr:to>
    <xdr:grpSp>
      <xdr:nvGrpSpPr>
        <xdr:cNvPr id="373" name="Group 563"/>
        <xdr:cNvGrpSpPr>
          <a:grpSpLocks/>
        </xdr:cNvGrpSpPr>
      </xdr:nvGrpSpPr>
      <xdr:grpSpPr>
        <a:xfrm>
          <a:off x="6172200" y="69465825"/>
          <a:ext cx="2543175" cy="3286125"/>
          <a:chOff x="559" y="7293"/>
          <a:chExt cx="234" cy="345"/>
        </a:xfrm>
        <a:solidFill>
          <a:srgbClr val="FFFFFF"/>
        </a:solidFill>
      </xdr:grpSpPr>
      <xdr:sp>
        <xdr:nvSpPr>
          <xdr:cNvPr id="374" name="Rectangle 542"/>
          <xdr:cNvSpPr>
            <a:spLocks/>
          </xdr:cNvSpPr>
        </xdr:nvSpPr>
        <xdr:spPr>
          <a:xfrm rot="18873858">
            <a:off x="599" y="7352"/>
            <a:ext cx="194" cy="2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5" name="Line 543"/>
          <xdr:cNvSpPr>
            <a:spLocks/>
          </xdr:cNvSpPr>
        </xdr:nvSpPr>
        <xdr:spPr>
          <a:xfrm rot="18900000" flipH="1">
            <a:off x="559" y="7431"/>
            <a:ext cx="181" cy="22"/>
          </a:xfrm>
          <a:prstGeom prst="line">
            <a:avLst/>
          </a:prstGeom>
          <a:noFill/>
          <a:ln w="41275" cmpd="sng">
            <a:solidFill>
              <a:srgbClr val="800000"/>
            </a:solidFill>
            <a:headEnd type="stealth"/>
            <a:tailEnd type="none"/>
          </a:ln>
        </xdr:spPr>
        <xdr:txBody>
          <a:bodyPr vertOverflow="clip" wrap="square"/>
          <a:p>
            <a:pPr algn="l">
              <a:defRPr/>
            </a:pPr>
            <a:r>
              <a:rPr lang="en-US" cap="none" u="none" baseline="0">
                <a:latin typeface="Geneva"/>
                <a:ea typeface="Geneva"/>
                <a:cs typeface="Geneva"/>
              </a:rPr>
              <a:t/>
            </a:r>
          </a:p>
        </xdr:txBody>
      </xdr:sp>
      <xdr:sp>
        <xdr:nvSpPr>
          <xdr:cNvPr id="376" name="Line 544"/>
          <xdr:cNvSpPr>
            <a:spLocks/>
          </xdr:cNvSpPr>
        </xdr:nvSpPr>
        <xdr:spPr>
          <a:xfrm rot="18719232">
            <a:off x="709" y="7494"/>
            <a:ext cx="0" cy="37"/>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7" name="Line 546"/>
          <xdr:cNvSpPr>
            <a:spLocks/>
          </xdr:cNvSpPr>
        </xdr:nvSpPr>
        <xdr:spPr>
          <a:xfrm flipH="1" flipV="1">
            <a:off x="613" y="7394"/>
            <a:ext cx="95" cy="121"/>
          </a:xfrm>
          <a:prstGeom prst="line">
            <a:avLst/>
          </a:prstGeom>
          <a:noFill/>
          <a:ln w="25400" cmpd="sng">
            <a:solidFill>
              <a:srgbClr val="F309ED"/>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378" name="TextBox 548"/>
          <xdr:cNvSpPr txBox="1">
            <a:spLocks noChangeArrowheads="1"/>
          </xdr:cNvSpPr>
        </xdr:nvSpPr>
        <xdr:spPr>
          <a:xfrm>
            <a:off x="586" y="7480"/>
            <a:ext cx="91" cy="59"/>
          </a:xfrm>
          <a:prstGeom prst="rect">
            <a:avLst/>
          </a:prstGeom>
          <a:solidFill>
            <a:srgbClr val="FFFFFF"/>
          </a:solidFill>
          <a:ln w="9525" cmpd="sng">
            <a:noFill/>
          </a:ln>
        </xdr:spPr>
        <xdr:txBody>
          <a:bodyPr vertOverflow="clip" wrap="square"/>
          <a:p>
            <a:pPr algn="l">
              <a:defRPr/>
            </a:pPr>
            <a:r>
              <a:rPr lang="en-US" cap="none" sz="1000" b="0" i="0" u="none" baseline="0">
                <a:latin typeface="Geneva"/>
                <a:ea typeface="Geneva"/>
                <a:cs typeface="Geneva"/>
              </a:rPr>
              <a:t>  True and
Mathematical
Points Aligned</a:t>
            </a:r>
          </a:p>
        </xdr:txBody>
      </xdr:sp>
      <xdr:sp>
        <xdr:nvSpPr>
          <xdr:cNvPr id="379" name="Rectangle 552"/>
          <xdr:cNvSpPr>
            <a:spLocks/>
          </xdr:cNvSpPr>
        </xdr:nvSpPr>
        <xdr:spPr>
          <a:xfrm rot="18847565">
            <a:off x="638" y="7426"/>
            <a:ext cx="21" cy="30"/>
          </a:xfrm>
          <a:prstGeom prst="rect">
            <a:avLst/>
          </a:prstGeom>
          <a:solidFill>
            <a:srgbClr val="3366FF"/>
          </a:solidFill>
          <a:ln w="22225" cmpd="sng">
            <a:solidFill>
              <a:srgbClr val="00000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0" name="Oval 545"/>
          <xdr:cNvSpPr>
            <a:spLocks/>
          </xdr:cNvSpPr>
        </xdr:nvSpPr>
        <xdr:spPr>
          <a:xfrm>
            <a:off x="642" y="7434"/>
            <a:ext cx="12" cy="15"/>
          </a:xfrm>
          <a:prstGeom prst="ellipse">
            <a:avLst/>
          </a:prstGeom>
          <a:solidFill>
            <a:srgbClr val="F309ED"/>
          </a:solidFill>
          <a:ln w="254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1" name="Line 554"/>
          <xdr:cNvSpPr>
            <a:spLocks/>
          </xdr:cNvSpPr>
        </xdr:nvSpPr>
        <xdr:spPr>
          <a:xfrm flipH="1" flipV="1">
            <a:off x="708" y="7293"/>
            <a:ext cx="1" cy="215"/>
          </a:xfrm>
          <a:prstGeom prst="line">
            <a:avLst/>
          </a:prstGeom>
          <a:noFill/>
          <a:ln w="34925" cmpd="sng">
            <a:solidFill>
              <a:srgbClr val="800000"/>
            </a:solidFill>
            <a:prstDash val="dash"/>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382" name="Polygon 555"/>
          <xdr:cNvSpPr>
            <a:spLocks/>
          </xdr:cNvSpPr>
        </xdr:nvSpPr>
        <xdr:spPr>
          <a:xfrm>
            <a:off x="670" y="7439"/>
            <a:ext cx="33" cy="31"/>
          </a:xfrm>
          <a:custGeom>
            <a:pathLst>
              <a:path h="24" w="31">
                <a:moveTo>
                  <a:pt x="31" y="0"/>
                </a:moveTo>
                <a:cubicBezTo>
                  <a:pt x="27" y="2"/>
                  <a:pt x="23" y="4"/>
                  <a:pt x="19" y="6"/>
                </a:cubicBezTo>
                <a:cubicBezTo>
                  <a:pt x="15" y="9"/>
                  <a:pt x="11" y="12"/>
                  <a:pt x="7" y="15"/>
                </a:cubicBezTo>
                <a:cubicBezTo>
                  <a:pt x="5" y="17"/>
                  <a:pt x="2" y="21"/>
                  <a:pt x="0" y="24"/>
                </a:cubicBezTo>
              </a:path>
            </a:pathLst>
          </a:custGeom>
          <a:noFill/>
          <a:ln w="22225" cmpd="sng">
            <a:solidFill>
              <a:srgbClr val="DD0806"/>
            </a:solidFill>
            <a:headEnd type="none"/>
            <a:tailEnd type="stealth"/>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4</xdr:col>
      <xdr:colOff>504825</xdr:colOff>
      <xdr:row>353</xdr:row>
      <xdr:rowOff>66675</xdr:rowOff>
    </xdr:from>
    <xdr:to>
      <xdr:col>11</xdr:col>
      <xdr:colOff>247650</xdr:colOff>
      <xdr:row>375</xdr:row>
      <xdr:rowOff>76200</xdr:rowOff>
    </xdr:to>
    <xdr:grpSp>
      <xdr:nvGrpSpPr>
        <xdr:cNvPr id="383" name="Group 562"/>
        <xdr:cNvGrpSpPr>
          <a:grpSpLocks/>
        </xdr:cNvGrpSpPr>
      </xdr:nvGrpSpPr>
      <xdr:grpSpPr>
        <a:xfrm>
          <a:off x="4467225" y="60093225"/>
          <a:ext cx="5867400" cy="3590925"/>
          <a:chOff x="402" y="6309"/>
          <a:chExt cx="541" cy="377"/>
        </a:xfrm>
        <a:solidFill>
          <a:srgbClr val="FFFFFF"/>
        </a:solidFill>
      </xdr:grpSpPr>
      <xdr:sp>
        <xdr:nvSpPr>
          <xdr:cNvPr id="384" name="Rectangle 328"/>
          <xdr:cNvSpPr>
            <a:spLocks/>
          </xdr:cNvSpPr>
        </xdr:nvSpPr>
        <xdr:spPr>
          <a:xfrm>
            <a:off x="547" y="6360"/>
            <a:ext cx="320" cy="326"/>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5" name="Line 331"/>
          <xdr:cNvSpPr>
            <a:spLocks/>
          </xdr:cNvSpPr>
        </xdr:nvSpPr>
        <xdr:spPr>
          <a:xfrm flipV="1">
            <a:off x="701" y="6346"/>
            <a:ext cx="1" cy="165"/>
          </a:xfrm>
          <a:prstGeom prst="line">
            <a:avLst/>
          </a:prstGeom>
          <a:noFill/>
          <a:ln w="38100" cmpd="sng">
            <a:solidFill>
              <a:srgbClr val="DD0806"/>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386" name="Oval 332"/>
          <xdr:cNvSpPr>
            <a:spLocks/>
          </xdr:cNvSpPr>
        </xdr:nvSpPr>
        <xdr:spPr>
          <a:xfrm>
            <a:off x="595" y="6429"/>
            <a:ext cx="10" cy="12"/>
          </a:xfrm>
          <a:prstGeom prst="ellipse">
            <a:avLst/>
          </a:prstGeom>
          <a:solidFill>
            <a:srgbClr val="F309ED"/>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7" name="Line 333"/>
          <xdr:cNvSpPr>
            <a:spLocks/>
          </xdr:cNvSpPr>
        </xdr:nvSpPr>
        <xdr:spPr>
          <a:xfrm flipH="1" flipV="1">
            <a:off x="604" y="6439"/>
            <a:ext cx="99" cy="70"/>
          </a:xfrm>
          <a:prstGeom prst="line">
            <a:avLst/>
          </a:prstGeom>
          <a:noFill/>
          <a:ln w="38100" cmpd="sng">
            <a:solidFill>
              <a:srgbClr val="F309ED"/>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388" name="Rectangle 334"/>
          <xdr:cNvSpPr>
            <a:spLocks/>
          </xdr:cNvSpPr>
        </xdr:nvSpPr>
        <xdr:spPr>
          <a:xfrm>
            <a:off x="708" y="6309"/>
            <a:ext cx="107" cy="40"/>
          </a:xfrm>
          <a:prstGeom prst="rect">
            <a:avLst/>
          </a:prstGeom>
          <a:noFill/>
          <a:ln w="28575" cmpd="sng">
            <a:solidFill>
              <a:srgbClr val="DD0806"/>
            </a:solidFill>
            <a:headEnd type="none"/>
            <a:tailEnd type="none"/>
          </a:ln>
        </xdr:spPr>
        <xdr:txBody>
          <a:bodyPr vertOverflow="clip" wrap="square"/>
          <a:p>
            <a:pPr algn="l">
              <a:defRPr/>
            </a:pPr>
            <a:r>
              <a:rPr lang="en-US" cap="none" sz="1000" b="0" i="0" u="none" baseline="0">
                <a:latin typeface="Geneva"/>
                <a:ea typeface="Geneva"/>
                <a:cs typeface="Geneva"/>
              </a:rPr>
              <a:t>-X axis of Photo
Coordinate System</a:t>
            </a:r>
          </a:p>
        </xdr:txBody>
      </xdr:sp>
      <xdr:sp>
        <xdr:nvSpPr>
          <xdr:cNvPr id="389" name="Oval 342"/>
          <xdr:cNvSpPr>
            <a:spLocks/>
          </xdr:cNvSpPr>
        </xdr:nvSpPr>
        <xdr:spPr>
          <a:xfrm>
            <a:off x="586" y="6571"/>
            <a:ext cx="12" cy="13"/>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0" name="Line 343"/>
          <xdr:cNvSpPr>
            <a:spLocks/>
          </xdr:cNvSpPr>
        </xdr:nvSpPr>
        <xdr:spPr>
          <a:xfrm flipH="1">
            <a:off x="599" y="6513"/>
            <a:ext cx="103" cy="61"/>
          </a:xfrm>
          <a:prstGeom prst="line">
            <a:avLst/>
          </a:prstGeom>
          <a:noFill/>
          <a:ln w="19050" cmpd="sng">
            <a:solidFill>
              <a:srgbClr val="3366FF"/>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391" name="TextBox 348"/>
          <xdr:cNvSpPr txBox="1">
            <a:spLocks noChangeArrowheads="1"/>
          </xdr:cNvSpPr>
        </xdr:nvSpPr>
        <xdr:spPr>
          <a:xfrm>
            <a:off x="442" y="6339"/>
            <a:ext cx="234" cy="6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ABEA"/>
                </a:solidFill>
                <a:latin typeface="Geneva"/>
                <a:ea typeface="Geneva"/>
                <a:cs typeface="Geneva"/>
              </a:rPr>
              <a:t>User Entered Rotation Angle converted to a 0 to 360 
degree angle.</a:t>
            </a:r>
          </a:p>
        </xdr:txBody>
      </xdr:sp>
      <xdr:sp>
        <xdr:nvSpPr>
          <xdr:cNvPr id="392" name="Polygon 351"/>
          <xdr:cNvSpPr>
            <a:spLocks/>
          </xdr:cNvSpPr>
        </xdr:nvSpPr>
        <xdr:spPr>
          <a:xfrm>
            <a:off x="619" y="6459"/>
            <a:ext cx="14" cy="94"/>
          </a:xfrm>
          <a:custGeom>
            <a:pathLst>
              <a:path h="68" w="15">
                <a:moveTo>
                  <a:pt x="11" y="0"/>
                </a:moveTo>
                <a:cubicBezTo>
                  <a:pt x="5" y="3"/>
                  <a:pt x="4" y="8"/>
                  <a:pt x="3" y="15"/>
                </a:cubicBezTo>
                <a:cubicBezTo>
                  <a:pt x="2" y="17"/>
                  <a:pt x="1" y="21"/>
                  <a:pt x="1" y="21"/>
                </a:cubicBezTo>
                <a:cubicBezTo>
                  <a:pt x="1" y="27"/>
                  <a:pt x="0" y="48"/>
                  <a:pt x="6" y="56"/>
                </a:cubicBezTo>
                <a:cubicBezTo>
                  <a:pt x="7" y="58"/>
                  <a:pt x="11" y="68"/>
                  <a:pt x="15" y="67"/>
                </a:cubicBezTo>
              </a:path>
            </a:pathLst>
          </a:custGeom>
          <a:noFill/>
          <a:ln w="22225" cmpd="sng">
            <a:solidFill>
              <a:srgbClr val="1FB714"/>
            </a:solidFill>
            <a:headEnd type="stealth"/>
            <a:tailEnd type="stealth"/>
          </a:ln>
        </xdr:spPr>
        <xdr:txBody>
          <a:bodyPr vertOverflow="clip" wrap="square"/>
          <a:p>
            <a:pPr algn="l">
              <a:defRPr/>
            </a:pPr>
            <a:r>
              <a:rPr lang="en-US" cap="none" u="none" baseline="0">
                <a:latin typeface="Geneva"/>
                <a:ea typeface="Geneva"/>
                <a:cs typeface="Geneva"/>
              </a:rPr>
              <a:t/>
            </a:r>
          </a:p>
        </xdr:txBody>
      </xdr:sp>
      <xdr:sp>
        <xdr:nvSpPr>
          <xdr:cNvPr id="393" name="Polygon 354"/>
          <xdr:cNvSpPr>
            <a:spLocks/>
          </xdr:cNvSpPr>
        </xdr:nvSpPr>
        <xdr:spPr>
          <a:xfrm>
            <a:off x="678" y="6468"/>
            <a:ext cx="52" cy="73"/>
          </a:xfrm>
          <a:custGeom>
            <a:pathLst>
              <a:path h="56" w="49">
                <a:moveTo>
                  <a:pt x="25" y="0"/>
                </a:moveTo>
                <a:cubicBezTo>
                  <a:pt x="32" y="1"/>
                  <a:pt x="37" y="1"/>
                  <a:pt x="43" y="7"/>
                </a:cubicBezTo>
                <a:cubicBezTo>
                  <a:pt x="45" y="13"/>
                  <a:pt x="47" y="18"/>
                  <a:pt x="49" y="26"/>
                </a:cubicBezTo>
                <a:cubicBezTo>
                  <a:pt x="48" y="32"/>
                  <a:pt x="49" y="44"/>
                  <a:pt x="42" y="50"/>
                </a:cubicBezTo>
                <a:cubicBezTo>
                  <a:pt x="38" y="52"/>
                  <a:pt x="30" y="56"/>
                  <a:pt x="30" y="56"/>
                </a:cubicBezTo>
                <a:cubicBezTo>
                  <a:pt x="23" y="55"/>
                  <a:pt x="20" y="55"/>
                  <a:pt x="14" y="54"/>
                </a:cubicBezTo>
                <a:cubicBezTo>
                  <a:pt x="10" y="53"/>
                  <a:pt x="4" y="51"/>
                  <a:pt x="4" y="51"/>
                </a:cubicBezTo>
                <a:cubicBezTo>
                  <a:pt x="1" y="47"/>
                  <a:pt x="2" y="48"/>
                  <a:pt x="0" y="46"/>
                </a:cubicBezTo>
              </a:path>
            </a:pathLst>
          </a:custGeom>
          <a:noFill/>
          <a:ln w="25400" cmpd="sng">
            <a:solidFill>
              <a:srgbClr val="800080"/>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394" name="Polygon 356"/>
          <xdr:cNvSpPr>
            <a:spLocks/>
          </xdr:cNvSpPr>
        </xdr:nvSpPr>
        <xdr:spPr>
          <a:xfrm>
            <a:off x="679" y="6481"/>
            <a:ext cx="35" cy="42"/>
          </a:xfrm>
          <a:custGeom>
            <a:pathLst>
              <a:path h="32" w="33">
                <a:moveTo>
                  <a:pt x="20" y="0"/>
                </a:moveTo>
                <a:cubicBezTo>
                  <a:pt x="29" y="2"/>
                  <a:pt x="31" y="7"/>
                  <a:pt x="33" y="16"/>
                </a:cubicBezTo>
                <a:cubicBezTo>
                  <a:pt x="30" y="26"/>
                  <a:pt x="27" y="26"/>
                  <a:pt x="20" y="32"/>
                </a:cubicBezTo>
                <a:cubicBezTo>
                  <a:pt x="12" y="31"/>
                  <a:pt x="13" y="32"/>
                  <a:pt x="8" y="29"/>
                </a:cubicBezTo>
                <a:cubicBezTo>
                  <a:pt x="5" y="27"/>
                  <a:pt x="2" y="25"/>
                  <a:pt x="2" y="25"/>
                </a:cubicBezTo>
                <a:cubicBezTo>
                  <a:pt x="0" y="21"/>
                  <a:pt x="2" y="13"/>
                  <a:pt x="2" y="13"/>
                </a:cubicBezTo>
              </a:path>
            </a:pathLst>
          </a:custGeom>
          <a:noFill/>
          <a:ln w="22225" cmpd="sng">
            <a:solidFill>
              <a:srgbClr val="00CCFF"/>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395" name="Polygon 358"/>
          <xdr:cNvSpPr>
            <a:spLocks/>
          </xdr:cNvSpPr>
        </xdr:nvSpPr>
        <xdr:spPr>
          <a:xfrm>
            <a:off x="662" y="6386"/>
            <a:ext cx="26" cy="107"/>
          </a:xfrm>
          <a:custGeom>
            <a:pathLst>
              <a:path h="82" w="25">
                <a:moveTo>
                  <a:pt x="0" y="2"/>
                </a:moveTo>
                <a:cubicBezTo>
                  <a:pt x="12" y="3"/>
                  <a:pt x="12" y="0"/>
                  <a:pt x="19" y="10"/>
                </a:cubicBezTo>
                <a:cubicBezTo>
                  <a:pt x="21" y="13"/>
                  <a:pt x="22" y="17"/>
                  <a:pt x="24" y="22"/>
                </a:cubicBezTo>
                <a:cubicBezTo>
                  <a:pt x="24" y="23"/>
                  <a:pt x="25" y="25"/>
                  <a:pt x="25" y="25"/>
                </a:cubicBezTo>
                <a:cubicBezTo>
                  <a:pt x="24" y="36"/>
                  <a:pt x="24" y="46"/>
                  <a:pt x="22" y="57"/>
                </a:cubicBezTo>
                <a:cubicBezTo>
                  <a:pt x="21" y="65"/>
                  <a:pt x="19" y="73"/>
                  <a:pt x="19" y="82"/>
                </a:cubicBezTo>
              </a:path>
            </a:pathLst>
          </a:custGeom>
          <a:noFill/>
          <a:ln w="25400" cmpd="sng">
            <a:solidFill>
              <a:srgbClr val="00CCFF"/>
            </a:solidFill>
            <a:headEnd type="none"/>
            <a:tailEnd type="stealth"/>
          </a:ln>
        </xdr:spPr>
        <xdr:txBody>
          <a:bodyPr vertOverflow="clip" wrap="square"/>
          <a:p>
            <a:pPr algn="l">
              <a:defRPr/>
            </a:pPr>
            <a:r>
              <a:rPr lang="en-US" cap="none" u="none" baseline="0">
                <a:latin typeface="Geneva"/>
                <a:ea typeface="Geneva"/>
                <a:cs typeface="Geneva"/>
              </a:rPr>
              <a:t/>
            </a:r>
          </a:p>
        </xdr:txBody>
      </xdr:sp>
      <xdr:sp>
        <xdr:nvSpPr>
          <xdr:cNvPr id="396" name="TextBox 349"/>
          <xdr:cNvSpPr txBox="1">
            <a:spLocks noChangeArrowheads="1"/>
          </xdr:cNvSpPr>
        </xdr:nvSpPr>
        <xdr:spPr>
          <a:xfrm>
            <a:off x="730" y="6490"/>
            <a:ext cx="213" cy="37"/>
          </a:xfrm>
          <a:prstGeom prst="rect">
            <a:avLst/>
          </a:prstGeom>
          <a:solidFill>
            <a:srgbClr val="FFFFFF"/>
          </a:solidFill>
          <a:ln w="9525" cmpd="sng">
            <a:noFill/>
          </a:ln>
        </xdr:spPr>
        <xdr:txBody>
          <a:bodyPr vertOverflow="clip" wrap="square"/>
          <a:p>
            <a:pPr algn="l">
              <a:defRPr/>
            </a:pPr>
            <a:r>
              <a:rPr lang="en-US" cap="none" sz="1000" b="1" i="0" u="none" baseline="0">
                <a:solidFill>
                  <a:srgbClr val="993366"/>
                </a:solidFill>
                <a:latin typeface="Geneva"/>
                <a:ea typeface="Geneva"/>
                <a:cs typeface="Geneva"/>
              </a:rPr>
              <a:t>Computed Deflection Angle
based on Auxiliary Pt Location</a:t>
            </a:r>
            <a:r>
              <a:rPr lang="en-US" cap="none" sz="1000" b="1" i="0" u="none" baseline="0">
                <a:latin typeface="Geneva"/>
                <a:ea typeface="Geneva"/>
                <a:cs typeface="Geneva"/>
              </a:rPr>
              <a:t>
</a:t>
            </a:r>
          </a:p>
        </xdr:txBody>
      </xdr:sp>
      <xdr:sp>
        <xdr:nvSpPr>
          <xdr:cNvPr id="397" name="TextBox 352"/>
          <xdr:cNvSpPr txBox="1">
            <a:spLocks noChangeArrowheads="1"/>
          </xdr:cNvSpPr>
        </xdr:nvSpPr>
        <xdr:spPr>
          <a:xfrm>
            <a:off x="402" y="6485"/>
            <a:ext cx="211" cy="39"/>
          </a:xfrm>
          <a:prstGeom prst="rect">
            <a:avLst/>
          </a:prstGeom>
          <a:solidFill>
            <a:srgbClr val="FFFFFF"/>
          </a:solidFill>
          <a:ln w="9525" cmpd="sng">
            <a:noFill/>
          </a:ln>
        </xdr:spPr>
        <xdr:txBody>
          <a:bodyPr vertOverflow="clip" wrap="square"/>
          <a:p>
            <a:pPr algn="r">
              <a:defRPr/>
            </a:pPr>
            <a:r>
              <a:rPr lang="en-US" cap="none" sz="1000" b="1" i="0" u="none" baseline="0">
                <a:solidFill>
                  <a:srgbClr val="1FB714"/>
                </a:solidFill>
                <a:latin typeface="Geneva"/>
                <a:ea typeface="Geneva"/>
                <a:cs typeface="Geneva"/>
              </a:rPr>
              <a:t>Difference between Computed Deflection angle and User Rotation Angle</a:t>
            </a:r>
          </a:p>
        </xdr:txBody>
      </xdr:sp>
      <xdr:sp>
        <xdr:nvSpPr>
          <xdr:cNvPr id="398" name="TextBox 556"/>
          <xdr:cNvSpPr txBox="1">
            <a:spLocks noChangeArrowheads="1"/>
          </xdr:cNvSpPr>
        </xdr:nvSpPr>
        <xdr:spPr>
          <a:xfrm>
            <a:off x="407" y="6428"/>
            <a:ext cx="185" cy="36"/>
          </a:xfrm>
          <a:prstGeom prst="rect">
            <a:avLst/>
          </a:prstGeom>
          <a:solidFill>
            <a:srgbClr val="FFFFFF"/>
          </a:solidFill>
          <a:ln w="9525" cmpd="sng">
            <a:noFill/>
          </a:ln>
        </xdr:spPr>
        <xdr:txBody>
          <a:bodyPr vertOverflow="clip" wrap="square"/>
          <a:p>
            <a:pPr algn="r">
              <a:defRPr/>
            </a:pPr>
            <a:r>
              <a:rPr lang="en-US" cap="none" sz="1000" b="1" i="0" u="none" baseline="0">
                <a:solidFill>
                  <a:srgbClr val="F20884"/>
                </a:solidFill>
                <a:latin typeface="Geneva"/>
                <a:ea typeface="Geneva"/>
                <a:cs typeface="Geneva"/>
              </a:rPr>
              <a:t>Actual User Measured Auxiliary Point Location</a:t>
            </a:r>
          </a:p>
        </xdr:txBody>
      </xdr:sp>
      <xdr:sp>
        <xdr:nvSpPr>
          <xdr:cNvPr id="399" name="TextBox 557"/>
          <xdr:cNvSpPr txBox="1">
            <a:spLocks noChangeArrowheads="1"/>
          </xdr:cNvSpPr>
        </xdr:nvSpPr>
        <xdr:spPr>
          <a:xfrm>
            <a:off x="559" y="6591"/>
            <a:ext cx="151" cy="75"/>
          </a:xfrm>
          <a:prstGeom prst="rect">
            <a:avLst/>
          </a:prstGeom>
          <a:solidFill>
            <a:srgbClr val="FFFFFF"/>
          </a:solidFill>
          <a:ln w="9525" cmpd="sng">
            <a:noFill/>
          </a:ln>
        </xdr:spPr>
        <xdr:txBody>
          <a:bodyPr vertOverflow="clip" wrap="square"/>
          <a:p>
            <a:pPr algn="l">
              <a:defRPr/>
            </a:pPr>
            <a:r>
              <a:rPr lang="en-US" cap="none" sz="1000" b="1" i="0" u="none" baseline="0">
                <a:solidFill>
                  <a:srgbClr val="0000D4"/>
                </a:solidFill>
                <a:latin typeface="Geneva"/>
                <a:ea typeface="Geneva"/>
                <a:cs typeface="Geneva"/>
              </a:rPr>
              <a:t>Where the Auxiliary Point should be if the camera was not rotated at the time of exposure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67</xdr:row>
      <xdr:rowOff>66675</xdr:rowOff>
    </xdr:from>
    <xdr:to>
      <xdr:col>7</xdr:col>
      <xdr:colOff>581025</xdr:colOff>
      <xdr:row>93</xdr:row>
      <xdr:rowOff>95250</xdr:rowOff>
    </xdr:to>
    <xdr:grpSp>
      <xdr:nvGrpSpPr>
        <xdr:cNvPr id="1" name="Group 142"/>
        <xdr:cNvGrpSpPr>
          <a:grpSpLocks/>
        </xdr:cNvGrpSpPr>
      </xdr:nvGrpSpPr>
      <xdr:grpSpPr>
        <a:xfrm>
          <a:off x="1143000" y="12201525"/>
          <a:ext cx="5448300" cy="4295775"/>
          <a:chOff x="-161" y="-466"/>
          <a:chExt cx="18956" cy="20174"/>
        </a:xfrm>
        <a:solidFill>
          <a:srgbClr val="FFFFFF"/>
        </a:solidFill>
      </xdr:grpSpPr>
      <xdr:sp>
        <xdr:nvSpPr>
          <xdr:cNvPr id="2" name="Rectangle 97"/>
          <xdr:cNvSpPr>
            <a:spLocks/>
          </xdr:cNvSpPr>
        </xdr:nvSpPr>
        <xdr:spPr>
          <a:xfrm>
            <a:off x="844" y="-57"/>
            <a:ext cx="16667" cy="1930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 name="Line 98"/>
          <xdr:cNvSpPr>
            <a:spLocks/>
          </xdr:cNvSpPr>
        </xdr:nvSpPr>
        <xdr:spPr>
          <a:xfrm>
            <a:off x="9199" y="-466"/>
            <a:ext cx="0" cy="20174"/>
          </a:xfrm>
          <a:prstGeom prst="line">
            <a:avLst/>
          </a:prstGeom>
          <a:solidFill>
            <a:srgbClr val="FFFFFF"/>
          </a:solid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 name="Line 99"/>
          <xdr:cNvSpPr>
            <a:spLocks/>
          </xdr:cNvSpPr>
        </xdr:nvSpPr>
        <xdr:spPr>
          <a:xfrm>
            <a:off x="-161" y="9566"/>
            <a:ext cx="18956" cy="0"/>
          </a:xfrm>
          <a:prstGeom prst="line">
            <a:avLst/>
          </a:prstGeom>
          <a:solidFill>
            <a:srgbClr val="FFFFFF"/>
          </a:solid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 name="Oval 100"/>
          <xdr:cNvSpPr>
            <a:spLocks/>
          </xdr:cNvSpPr>
        </xdr:nvSpPr>
        <xdr:spPr>
          <a:xfrm>
            <a:off x="8957" y="9212"/>
            <a:ext cx="564" cy="873"/>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 name="Oval 101"/>
          <xdr:cNvSpPr>
            <a:spLocks/>
          </xdr:cNvSpPr>
        </xdr:nvSpPr>
        <xdr:spPr>
          <a:xfrm>
            <a:off x="602" y="-411"/>
            <a:ext cx="521" cy="75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 name="Oval 102"/>
          <xdr:cNvSpPr>
            <a:spLocks/>
          </xdr:cNvSpPr>
        </xdr:nvSpPr>
        <xdr:spPr>
          <a:xfrm>
            <a:off x="8957" y="-466"/>
            <a:ext cx="564" cy="75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 name="Oval 103"/>
          <xdr:cNvSpPr>
            <a:spLocks/>
          </xdr:cNvSpPr>
        </xdr:nvSpPr>
        <xdr:spPr>
          <a:xfrm>
            <a:off x="17231" y="-411"/>
            <a:ext cx="483" cy="75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 name="Oval 104"/>
          <xdr:cNvSpPr>
            <a:spLocks/>
          </xdr:cNvSpPr>
        </xdr:nvSpPr>
        <xdr:spPr>
          <a:xfrm>
            <a:off x="602" y="9212"/>
            <a:ext cx="521" cy="873"/>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 name="Oval 105"/>
          <xdr:cNvSpPr>
            <a:spLocks/>
          </xdr:cNvSpPr>
        </xdr:nvSpPr>
        <xdr:spPr>
          <a:xfrm>
            <a:off x="17269" y="9212"/>
            <a:ext cx="521" cy="873"/>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 name="Oval 106"/>
          <xdr:cNvSpPr>
            <a:spLocks/>
          </xdr:cNvSpPr>
        </xdr:nvSpPr>
        <xdr:spPr>
          <a:xfrm>
            <a:off x="602" y="18835"/>
            <a:ext cx="521" cy="75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 name="Oval 107"/>
          <xdr:cNvSpPr>
            <a:spLocks/>
          </xdr:cNvSpPr>
        </xdr:nvSpPr>
        <xdr:spPr>
          <a:xfrm>
            <a:off x="8957" y="18835"/>
            <a:ext cx="564" cy="75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 name="Oval 108"/>
          <xdr:cNvSpPr>
            <a:spLocks/>
          </xdr:cNvSpPr>
        </xdr:nvSpPr>
        <xdr:spPr>
          <a:xfrm>
            <a:off x="17269" y="18775"/>
            <a:ext cx="521" cy="75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514350</xdr:colOff>
      <xdr:row>68</xdr:row>
      <xdr:rowOff>0</xdr:rowOff>
    </xdr:from>
    <xdr:to>
      <xdr:col>10</xdr:col>
      <xdr:colOff>9525</xdr:colOff>
      <xdr:row>93</xdr:row>
      <xdr:rowOff>0</xdr:rowOff>
    </xdr:to>
    <xdr:grpSp>
      <xdr:nvGrpSpPr>
        <xdr:cNvPr id="14" name="Group 119"/>
        <xdr:cNvGrpSpPr>
          <a:grpSpLocks/>
        </xdr:cNvGrpSpPr>
      </xdr:nvGrpSpPr>
      <xdr:grpSpPr>
        <a:xfrm>
          <a:off x="6524625" y="12296775"/>
          <a:ext cx="2228850" cy="4105275"/>
          <a:chOff x="-4444" y="0"/>
          <a:chExt cx="23086" cy="20000"/>
        </a:xfrm>
        <a:solidFill>
          <a:srgbClr val="FFFFFF"/>
        </a:solidFill>
      </xdr:grpSpPr>
      <xdr:grpSp>
        <xdr:nvGrpSpPr>
          <xdr:cNvPr id="15" name="Group 113"/>
          <xdr:cNvGrpSpPr>
            <a:grpSpLocks/>
          </xdr:cNvGrpSpPr>
        </xdr:nvGrpSpPr>
        <xdr:grpSpPr>
          <a:xfrm>
            <a:off x="-4444" y="0"/>
            <a:ext cx="22965" cy="9940"/>
            <a:chOff x="-4444" y="0"/>
            <a:chExt cx="22963" cy="9939"/>
          </a:xfrm>
          <a:solidFill>
            <a:srgbClr val="FFFFFF"/>
          </a:solidFill>
        </xdr:grpSpPr>
        <xdr:sp>
          <xdr:nvSpPr>
            <xdr:cNvPr id="16" name="Arc 109"/>
            <xdr:cNvSpPr>
              <a:spLocks/>
            </xdr:cNvSpPr>
          </xdr:nvSpPr>
          <xdr:spPr>
            <a:xfrm>
              <a:off x="4936" y="0"/>
              <a:ext cx="6912" cy="2363"/>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 name="Line 110"/>
            <xdr:cNvSpPr>
              <a:spLocks/>
            </xdr:cNvSpPr>
          </xdr:nvSpPr>
          <xdr:spPr>
            <a:xfrm flipH="1">
              <a:off x="-4444" y="0"/>
              <a:ext cx="9013"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18" name="Line 111"/>
            <xdr:cNvSpPr>
              <a:spLocks/>
            </xdr:cNvSpPr>
          </xdr:nvSpPr>
          <xdr:spPr>
            <a:xfrm>
              <a:off x="11854" y="2182"/>
              <a:ext cx="0" cy="624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9" name="Arc 112"/>
            <xdr:cNvSpPr>
              <a:spLocks/>
            </xdr:cNvSpPr>
          </xdr:nvSpPr>
          <xdr:spPr>
            <a:xfrm flipH="1" flipV="1">
              <a:off x="11854" y="8242"/>
              <a:ext cx="6665" cy="1697"/>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20" name="Group 114"/>
          <xdr:cNvGrpSpPr>
            <a:grpSpLocks/>
          </xdr:cNvGrpSpPr>
        </xdr:nvGrpSpPr>
        <xdr:grpSpPr>
          <a:xfrm>
            <a:off x="-4323" y="9940"/>
            <a:ext cx="22965" cy="10060"/>
            <a:chOff x="-4321" y="9939"/>
            <a:chExt cx="22963" cy="10061"/>
          </a:xfrm>
          <a:solidFill>
            <a:srgbClr val="FFFFFF"/>
          </a:solidFill>
        </xdr:grpSpPr>
        <xdr:sp>
          <xdr:nvSpPr>
            <xdr:cNvPr id="21" name="Arc 115"/>
            <xdr:cNvSpPr>
              <a:spLocks/>
            </xdr:cNvSpPr>
          </xdr:nvSpPr>
          <xdr:spPr>
            <a:xfrm flipV="1">
              <a:off x="5059" y="17696"/>
              <a:ext cx="6912" cy="2304"/>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2" name="Line 116"/>
            <xdr:cNvSpPr>
              <a:spLocks/>
            </xdr:cNvSpPr>
          </xdr:nvSpPr>
          <xdr:spPr>
            <a:xfrm flipH="1">
              <a:off x="-4321" y="20000"/>
              <a:ext cx="9013"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3" name="Line 117"/>
            <xdr:cNvSpPr>
              <a:spLocks/>
            </xdr:cNvSpPr>
          </xdr:nvSpPr>
          <xdr:spPr>
            <a:xfrm flipV="1">
              <a:off x="11977" y="11576"/>
              <a:ext cx="0" cy="630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 name="Arc 118"/>
            <xdr:cNvSpPr>
              <a:spLocks/>
            </xdr:cNvSpPr>
          </xdr:nvSpPr>
          <xdr:spPr>
            <a:xfrm flipH="1">
              <a:off x="11977" y="9939"/>
              <a:ext cx="6665" cy="175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2</xdr:col>
      <xdr:colOff>200025</xdr:colOff>
      <xdr:row>96</xdr:row>
      <xdr:rowOff>47625</xdr:rowOff>
    </xdr:from>
    <xdr:to>
      <xdr:col>7</xdr:col>
      <xdr:colOff>257175</xdr:colOff>
      <xdr:row>105</xdr:row>
      <xdr:rowOff>85725</xdr:rowOff>
    </xdr:to>
    <xdr:grpSp>
      <xdr:nvGrpSpPr>
        <xdr:cNvPr id="25" name="Group 141"/>
        <xdr:cNvGrpSpPr>
          <a:grpSpLocks/>
        </xdr:cNvGrpSpPr>
      </xdr:nvGrpSpPr>
      <xdr:grpSpPr>
        <a:xfrm>
          <a:off x="1390650" y="16935450"/>
          <a:ext cx="4876800" cy="1495425"/>
          <a:chOff x="-2742" y="-1538"/>
          <a:chExt cx="19952" cy="20512"/>
        </a:xfrm>
        <a:solidFill>
          <a:srgbClr val="FFFFFF"/>
        </a:solidFill>
      </xdr:grpSpPr>
      <xdr:grpSp>
        <xdr:nvGrpSpPr>
          <xdr:cNvPr id="26" name="Group 135"/>
          <xdr:cNvGrpSpPr>
            <a:grpSpLocks/>
          </xdr:cNvGrpSpPr>
        </xdr:nvGrpSpPr>
        <xdr:grpSpPr>
          <a:xfrm>
            <a:off x="-2742" y="-1538"/>
            <a:ext cx="10071" cy="20174"/>
            <a:chOff x="-2742" y="-1538"/>
            <a:chExt cx="10071" cy="20171"/>
          </a:xfrm>
          <a:solidFill>
            <a:srgbClr val="FFFFFF"/>
          </a:solidFill>
        </xdr:grpSpPr>
        <xdr:sp>
          <xdr:nvSpPr>
            <xdr:cNvPr id="27" name="Arc 131"/>
            <xdr:cNvSpPr>
              <a:spLocks/>
            </xdr:cNvSpPr>
          </xdr:nvSpPr>
          <xdr:spPr>
            <a:xfrm flipH="1" flipV="1">
              <a:off x="-2742" y="3933"/>
              <a:ext cx="3167" cy="9571"/>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Line 132"/>
            <xdr:cNvSpPr>
              <a:spLocks/>
            </xdr:cNvSpPr>
          </xdr:nvSpPr>
          <xdr:spPr>
            <a:xfrm flipV="1">
              <a:off x="-2742" y="-1538"/>
              <a:ext cx="0" cy="5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29" name="Line 133"/>
            <xdr:cNvSpPr>
              <a:spLocks/>
            </xdr:cNvSpPr>
          </xdr:nvSpPr>
          <xdr:spPr>
            <a:xfrm>
              <a:off x="425" y="13505"/>
              <a:ext cx="472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 name="Arc 134"/>
            <xdr:cNvSpPr>
              <a:spLocks/>
            </xdr:cNvSpPr>
          </xdr:nvSpPr>
          <xdr:spPr>
            <a:xfrm>
              <a:off x="5058" y="13505"/>
              <a:ext cx="2271" cy="512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31" name="Group 136"/>
          <xdr:cNvGrpSpPr>
            <a:grpSpLocks/>
          </xdr:cNvGrpSpPr>
        </xdr:nvGrpSpPr>
        <xdr:grpSpPr>
          <a:xfrm>
            <a:off x="7374" y="-1369"/>
            <a:ext cx="9836" cy="20343"/>
            <a:chOff x="7376" y="-1367"/>
            <a:chExt cx="9834" cy="20341"/>
          </a:xfrm>
          <a:solidFill>
            <a:srgbClr val="FFFFFF"/>
          </a:solidFill>
        </xdr:grpSpPr>
        <xdr:sp>
          <xdr:nvSpPr>
            <xdr:cNvPr id="32" name="Arc 137"/>
            <xdr:cNvSpPr>
              <a:spLocks/>
            </xdr:cNvSpPr>
          </xdr:nvSpPr>
          <xdr:spPr>
            <a:xfrm flipV="1">
              <a:off x="14043" y="4105"/>
              <a:ext cx="3167" cy="957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Line 138"/>
            <xdr:cNvSpPr>
              <a:spLocks/>
            </xdr:cNvSpPr>
          </xdr:nvSpPr>
          <xdr:spPr>
            <a:xfrm flipV="1">
              <a:off x="17210" y="-1367"/>
              <a:ext cx="0" cy="5126"/>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34" name="Line 139"/>
            <xdr:cNvSpPr>
              <a:spLocks/>
            </xdr:cNvSpPr>
          </xdr:nvSpPr>
          <xdr:spPr>
            <a:xfrm flipH="1">
              <a:off x="9409" y="13675"/>
              <a:ext cx="46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 name="Arc 140"/>
            <xdr:cNvSpPr>
              <a:spLocks/>
            </xdr:cNvSpPr>
          </xdr:nvSpPr>
          <xdr:spPr>
            <a:xfrm flipH="1">
              <a:off x="7376" y="13675"/>
              <a:ext cx="2129" cy="529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0</xdr:col>
      <xdr:colOff>266700</xdr:colOff>
      <xdr:row>42</xdr:row>
      <xdr:rowOff>76200</xdr:rowOff>
    </xdr:from>
    <xdr:to>
      <xdr:col>0</xdr:col>
      <xdr:colOff>314325</xdr:colOff>
      <xdr:row>46</xdr:row>
      <xdr:rowOff>76200</xdr:rowOff>
    </xdr:to>
    <xdr:grpSp>
      <xdr:nvGrpSpPr>
        <xdr:cNvPr id="36" name="Group 413"/>
        <xdr:cNvGrpSpPr>
          <a:grpSpLocks/>
        </xdr:cNvGrpSpPr>
      </xdr:nvGrpSpPr>
      <xdr:grpSpPr>
        <a:xfrm>
          <a:off x="266700" y="8001000"/>
          <a:ext cx="47625" cy="685800"/>
          <a:chOff x="-5" y="-2857"/>
          <a:chExt cx="4" cy="20000"/>
        </a:xfrm>
        <a:solidFill>
          <a:srgbClr val="FFFFFF"/>
        </a:solidFill>
      </xdr:grpSpPr>
      <xdr:sp>
        <xdr:nvSpPr>
          <xdr:cNvPr id="37" name="Line 414"/>
          <xdr:cNvSpPr>
            <a:spLocks/>
          </xdr:cNvSpPr>
        </xdr:nvSpPr>
        <xdr:spPr>
          <a:xfrm>
            <a:off x="-5"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 name="Line 415"/>
          <xdr:cNvSpPr>
            <a:spLocks/>
          </xdr:cNvSpPr>
        </xdr:nvSpPr>
        <xdr:spPr>
          <a:xfrm>
            <a:off x="-5" y="-2502"/>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Line 416"/>
          <xdr:cNvSpPr>
            <a:spLocks/>
          </xdr:cNvSpPr>
        </xdr:nvSpPr>
        <xdr:spPr>
          <a:xfrm>
            <a:off x="-5" y="17143"/>
            <a:ext cx="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42</xdr:row>
      <xdr:rowOff>85725</xdr:rowOff>
    </xdr:from>
    <xdr:to>
      <xdr:col>2</xdr:col>
      <xdr:colOff>295275</xdr:colOff>
      <xdr:row>46</xdr:row>
      <xdr:rowOff>104775</xdr:rowOff>
    </xdr:to>
    <xdr:grpSp>
      <xdr:nvGrpSpPr>
        <xdr:cNvPr id="40" name="Group 417"/>
        <xdr:cNvGrpSpPr>
          <a:grpSpLocks/>
        </xdr:cNvGrpSpPr>
      </xdr:nvGrpSpPr>
      <xdr:grpSpPr>
        <a:xfrm>
          <a:off x="1343025" y="8010525"/>
          <a:ext cx="142875" cy="704850"/>
          <a:chOff x="-63" y="-2500"/>
          <a:chExt cx="13" cy="20357"/>
        </a:xfrm>
        <a:solidFill>
          <a:srgbClr val="FFFFFF"/>
        </a:solidFill>
      </xdr:grpSpPr>
      <xdr:sp>
        <xdr:nvSpPr>
          <xdr:cNvPr id="41" name="Line 418"/>
          <xdr:cNvSpPr>
            <a:spLocks/>
          </xdr:cNvSpPr>
        </xdr:nvSpPr>
        <xdr:spPr>
          <a:xfrm>
            <a:off x="-50" y="-2500"/>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Line 419"/>
          <xdr:cNvSpPr>
            <a:spLocks/>
          </xdr:cNvSpPr>
        </xdr:nvSpPr>
        <xdr:spPr>
          <a:xfrm flipH="1">
            <a:off x="-63" y="-2500"/>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3" name="Line 420"/>
          <xdr:cNvSpPr>
            <a:spLocks/>
          </xdr:cNvSpPr>
        </xdr:nvSpPr>
        <xdr:spPr>
          <a:xfrm flipH="1">
            <a:off x="-63" y="1785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42</xdr:row>
      <xdr:rowOff>85725</xdr:rowOff>
    </xdr:from>
    <xdr:to>
      <xdr:col>3</xdr:col>
      <xdr:colOff>19050</xdr:colOff>
      <xdr:row>46</xdr:row>
      <xdr:rowOff>66675</xdr:rowOff>
    </xdr:to>
    <xdr:grpSp>
      <xdr:nvGrpSpPr>
        <xdr:cNvPr id="44" name="Group 421"/>
        <xdr:cNvGrpSpPr>
          <a:grpSpLocks/>
        </xdr:cNvGrpSpPr>
      </xdr:nvGrpSpPr>
      <xdr:grpSpPr>
        <a:xfrm>
          <a:off x="2019300" y="8010525"/>
          <a:ext cx="180975" cy="666750"/>
          <a:chOff x="-3478" y="-2500"/>
          <a:chExt cx="5217" cy="19286"/>
        </a:xfrm>
        <a:solidFill>
          <a:srgbClr val="FFFFFF"/>
        </a:solidFill>
      </xdr:grpSpPr>
      <xdr:sp>
        <xdr:nvSpPr>
          <xdr:cNvPr id="45" name="Line 422"/>
          <xdr:cNvSpPr>
            <a:spLocks/>
          </xdr:cNvSpPr>
        </xdr:nvSpPr>
        <xdr:spPr>
          <a:xfrm>
            <a:off x="-3478" y="-2500"/>
            <a:ext cx="0" cy="1928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 name="Line 423"/>
          <xdr:cNvSpPr>
            <a:spLocks/>
          </xdr:cNvSpPr>
        </xdr:nvSpPr>
        <xdr:spPr>
          <a:xfrm>
            <a:off x="-3478" y="-2143"/>
            <a:ext cx="52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 name="Line 424"/>
          <xdr:cNvSpPr>
            <a:spLocks/>
          </xdr:cNvSpPr>
        </xdr:nvSpPr>
        <xdr:spPr>
          <a:xfrm>
            <a:off x="-3478" y="16786"/>
            <a:ext cx="52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1076325</xdr:colOff>
      <xdr:row>42</xdr:row>
      <xdr:rowOff>66675</xdr:rowOff>
    </xdr:from>
    <xdr:to>
      <xdr:col>7</xdr:col>
      <xdr:colOff>304800</xdr:colOff>
      <xdr:row>46</xdr:row>
      <xdr:rowOff>66675</xdr:rowOff>
    </xdr:to>
    <xdr:grpSp>
      <xdr:nvGrpSpPr>
        <xdr:cNvPr id="48" name="Group 425"/>
        <xdr:cNvGrpSpPr>
          <a:grpSpLocks/>
        </xdr:cNvGrpSpPr>
      </xdr:nvGrpSpPr>
      <xdr:grpSpPr>
        <a:xfrm>
          <a:off x="5953125" y="7991475"/>
          <a:ext cx="361950" cy="685800"/>
          <a:chOff x="-2410" y="-2857"/>
          <a:chExt cx="5060" cy="20000"/>
        </a:xfrm>
        <a:solidFill>
          <a:srgbClr val="FFFFFF"/>
        </a:solidFill>
      </xdr:grpSpPr>
      <xdr:sp>
        <xdr:nvSpPr>
          <xdr:cNvPr id="49" name="Line 426"/>
          <xdr:cNvSpPr>
            <a:spLocks/>
          </xdr:cNvSpPr>
        </xdr:nvSpPr>
        <xdr:spPr>
          <a:xfrm>
            <a:off x="-2410" y="-285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0" name="Line 427"/>
          <xdr:cNvSpPr>
            <a:spLocks/>
          </xdr:cNvSpPr>
        </xdr:nvSpPr>
        <xdr:spPr>
          <a:xfrm>
            <a:off x="-2410" y="-2502"/>
            <a:ext cx="43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1" name="Line 428"/>
          <xdr:cNvSpPr>
            <a:spLocks/>
          </xdr:cNvSpPr>
        </xdr:nvSpPr>
        <xdr:spPr>
          <a:xfrm>
            <a:off x="-2410" y="17143"/>
            <a:ext cx="506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42</xdr:row>
      <xdr:rowOff>104775</xdr:rowOff>
    </xdr:from>
    <xdr:to>
      <xdr:col>6</xdr:col>
      <xdr:colOff>47625</xdr:colOff>
      <xdr:row>46</xdr:row>
      <xdr:rowOff>114300</xdr:rowOff>
    </xdr:to>
    <xdr:grpSp>
      <xdr:nvGrpSpPr>
        <xdr:cNvPr id="52" name="Group 429"/>
        <xdr:cNvGrpSpPr>
          <a:grpSpLocks/>
        </xdr:cNvGrpSpPr>
      </xdr:nvGrpSpPr>
      <xdr:grpSpPr>
        <a:xfrm>
          <a:off x="4876800" y="8029575"/>
          <a:ext cx="47625" cy="695325"/>
          <a:chOff x="0" y="-2143"/>
          <a:chExt cx="1778" cy="20357"/>
        </a:xfrm>
        <a:solidFill>
          <a:srgbClr val="FFFFFF"/>
        </a:solidFill>
      </xdr:grpSpPr>
      <xdr:sp>
        <xdr:nvSpPr>
          <xdr:cNvPr id="53" name="Line 430"/>
          <xdr:cNvSpPr>
            <a:spLocks/>
          </xdr:cNvSpPr>
        </xdr:nvSpPr>
        <xdr:spPr>
          <a:xfrm>
            <a:off x="1778" y="-2143"/>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 name="Line 431"/>
          <xdr:cNvSpPr>
            <a:spLocks/>
          </xdr:cNvSpPr>
        </xdr:nvSpPr>
        <xdr:spPr>
          <a:xfrm flipH="1">
            <a:off x="0" y="-2143"/>
            <a:ext cx="13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 name="Line 432"/>
          <xdr:cNvSpPr>
            <a:spLocks/>
          </xdr:cNvSpPr>
        </xdr:nvSpPr>
        <xdr:spPr>
          <a:xfrm flipH="1">
            <a:off x="0" y="18214"/>
            <a:ext cx="88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42</xdr:row>
      <xdr:rowOff>66675</xdr:rowOff>
    </xdr:from>
    <xdr:to>
      <xdr:col>9</xdr:col>
      <xdr:colOff>47625</xdr:colOff>
      <xdr:row>46</xdr:row>
      <xdr:rowOff>66675</xdr:rowOff>
    </xdr:to>
    <xdr:grpSp>
      <xdr:nvGrpSpPr>
        <xdr:cNvPr id="56" name="Group 433"/>
        <xdr:cNvGrpSpPr>
          <a:grpSpLocks/>
        </xdr:cNvGrpSpPr>
      </xdr:nvGrpSpPr>
      <xdr:grpSpPr>
        <a:xfrm>
          <a:off x="7715250" y="7991475"/>
          <a:ext cx="114300" cy="685800"/>
          <a:chOff x="-2182" y="-3214"/>
          <a:chExt cx="3636" cy="20000"/>
        </a:xfrm>
        <a:solidFill>
          <a:srgbClr val="FFFFFF"/>
        </a:solidFill>
      </xdr:grpSpPr>
      <xdr:sp>
        <xdr:nvSpPr>
          <xdr:cNvPr id="57" name="Line 434"/>
          <xdr:cNvSpPr>
            <a:spLocks/>
          </xdr:cNvSpPr>
        </xdr:nvSpPr>
        <xdr:spPr>
          <a:xfrm>
            <a:off x="-2182" y="-3214"/>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 name="Line 435"/>
          <xdr:cNvSpPr>
            <a:spLocks/>
          </xdr:cNvSpPr>
        </xdr:nvSpPr>
        <xdr:spPr>
          <a:xfrm>
            <a:off x="-2182" y="-2859"/>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9" name="Line 436"/>
          <xdr:cNvSpPr>
            <a:spLocks/>
          </xdr:cNvSpPr>
        </xdr:nvSpPr>
        <xdr:spPr>
          <a:xfrm>
            <a:off x="-2182" y="16786"/>
            <a:ext cx="36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180975</xdr:colOff>
      <xdr:row>42</xdr:row>
      <xdr:rowOff>104775</xdr:rowOff>
    </xdr:from>
    <xdr:to>
      <xdr:col>10</xdr:col>
      <xdr:colOff>285750</xdr:colOff>
      <xdr:row>46</xdr:row>
      <xdr:rowOff>114300</xdr:rowOff>
    </xdr:to>
    <xdr:grpSp>
      <xdr:nvGrpSpPr>
        <xdr:cNvPr id="60" name="Group 437"/>
        <xdr:cNvGrpSpPr>
          <a:grpSpLocks/>
        </xdr:cNvGrpSpPr>
      </xdr:nvGrpSpPr>
      <xdr:grpSpPr>
        <a:xfrm>
          <a:off x="8924925" y="8029575"/>
          <a:ext cx="95250" cy="695325"/>
          <a:chOff x="-66" y="-2143"/>
          <a:chExt cx="10" cy="20357"/>
        </a:xfrm>
        <a:solidFill>
          <a:srgbClr val="FFFFFF"/>
        </a:solidFill>
      </xdr:grpSpPr>
      <xdr:sp>
        <xdr:nvSpPr>
          <xdr:cNvPr id="61" name="Line 438"/>
          <xdr:cNvSpPr>
            <a:spLocks/>
          </xdr:cNvSpPr>
        </xdr:nvSpPr>
        <xdr:spPr>
          <a:xfrm>
            <a:off x="-56" y="-2143"/>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2" name="Line 439"/>
          <xdr:cNvSpPr>
            <a:spLocks/>
          </xdr:cNvSpPr>
        </xdr:nvSpPr>
        <xdr:spPr>
          <a:xfrm flipH="1">
            <a:off x="-66" y="-2143"/>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3" name="Line 440"/>
          <xdr:cNvSpPr>
            <a:spLocks/>
          </xdr:cNvSpPr>
        </xdr:nvSpPr>
        <xdr:spPr>
          <a:xfrm flipH="1">
            <a:off x="-66" y="18214"/>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190500</xdr:colOff>
      <xdr:row>42</xdr:row>
      <xdr:rowOff>66675</xdr:rowOff>
    </xdr:from>
    <xdr:to>
      <xdr:col>8</xdr:col>
      <xdr:colOff>238125</xdr:colOff>
      <xdr:row>46</xdr:row>
      <xdr:rowOff>76200</xdr:rowOff>
    </xdr:to>
    <xdr:grpSp>
      <xdr:nvGrpSpPr>
        <xdr:cNvPr id="64" name="Group 441"/>
        <xdr:cNvGrpSpPr>
          <a:grpSpLocks/>
        </xdr:cNvGrpSpPr>
      </xdr:nvGrpSpPr>
      <xdr:grpSpPr>
        <a:xfrm>
          <a:off x="7105650" y="7991475"/>
          <a:ext cx="47625" cy="695325"/>
          <a:chOff x="-58" y="-3214"/>
          <a:chExt cx="4" cy="20357"/>
        </a:xfrm>
        <a:solidFill>
          <a:srgbClr val="FFFFFF"/>
        </a:solidFill>
      </xdr:grpSpPr>
      <xdr:sp>
        <xdr:nvSpPr>
          <xdr:cNvPr id="65" name="Line 442"/>
          <xdr:cNvSpPr>
            <a:spLocks/>
          </xdr:cNvSpPr>
        </xdr:nvSpPr>
        <xdr:spPr>
          <a:xfrm>
            <a:off x="-54" y="-3214"/>
            <a:ext cx="0" cy="2035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6" name="Line 443"/>
          <xdr:cNvSpPr>
            <a:spLocks/>
          </xdr:cNvSpPr>
        </xdr:nvSpPr>
        <xdr:spPr>
          <a:xfrm flipH="1">
            <a:off x="-58" y="-3214"/>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7" name="Line 444"/>
          <xdr:cNvSpPr>
            <a:spLocks/>
          </xdr:cNvSpPr>
        </xdr:nvSpPr>
        <xdr:spPr>
          <a:xfrm flipH="1">
            <a:off x="-58" y="17143"/>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152400</xdr:colOff>
      <xdr:row>157</xdr:row>
      <xdr:rowOff>85725</xdr:rowOff>
    </xdr:from>
    <xdr:to>
      <xdr:col>2</xdr:col>
      <xdr:colOff>295275</xdr:colOff>
      <xdr:row>161</xdr:row>
      <xdr:rowOff>95250</xdr:rowOff>
    </xdr:to>
    <xdr:grpSp>
      <xdr:nvGrpSpPr>
        <xdr:cNvPr id="68" name="Group 445"/>
        <xdr:cNvGrpSpPr>
          <a:grpSpLocks/>
        </xdr:cNvGrpSpPr>
      </xdr:nvGrpSpPr>
      <xdr:grpSpPr>
        <a:xfrm>
          <a:off x="1343025" y="27098625"/>
          <a:ext cx="142875" cy="657225"/>
          <a:chOff x="-63" y="-2308"/>
          <a:chExt cx="13" cy="20385"/>
        </a:xfrm>
        <a:solidFill>
          <a:srgbClr val="FFFFFF"/>
        </a:solidFill>
      </xdr:grpSpPr>
      <xdr:sp>
        <xdr:nvSpPr>
          <xdr:cNvPr id="69" name="Line 446"/>
          <xdr:cNvSpPr>
            <a:spLocks/>
          </xdr:cNvSpPr>
        </xdr:nvSpPr>
        <xdr:spPr>
          <a:xfrm>
            <a:off x="-50" y="-2308"/>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0" name="Line 447"/>
          <xdr:cNvSpPr>
            <a:spLocks/>
          </xdr:cNvSpPr>
        </xdr:nvSpPr>
        <xdr:spPr>
          <a:xfrm flipH="1">
            <a:off x="-63" y="-2308"/>
            <a:ext cx="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1" name="Line 448"/>
          <xdr:cNvSpPr>
            <a:spLocks/>
          </xdr:cNvSpPr>
        </xdr:nvSpPr>
        <xdr:spPr>
          <a:xfrm flipH="1">
            <a:off x="-63" y="18077"/>
            <a:ext cx="1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828675</xdr:colOff>
      <xdr:row>157</xdr:row>
      <xdr:rowOff>85725</xdr:rowOff>
    </xdr:from>
    <xdr:to>
      <xdr:col>3</xdr:col>
      <xdr:colOff>19050</xdr:colOff>
      <xdr:row>161</xdr:row>
      <xdr:rowOff>66675</xdr:rowOff>
    </xdr:to>
    <xdr:grpSp>
      <xdr:nvGrpSpPr>
        <xdr:cNvPr id="72" name="Group 449"/>
        <xdr:cNvGrpSpPr>
          <a:grpSpLocks/>
        </xdr:cNvGrpSpPr>
      </xdr:nvGrpSpPr>
      <xdr:grpSpPr>
        <a:xfrm>
          <a:off x="2019300" y="27098625"/>
          <a:ext cx="180975" cy="628650"/>
          <a:chOff x="-3478" y="-2308"/>
          <a:chExt cx="5217" cy="19231"/>
        </a:xfrm>
        <a:solidFill>
          <a:srgbClr val="FFFFFF"/>
        </a:solidFill>
      </xdr:grpSpPr>
      <xdr:sp>
        <xdr:nvSpPr>
          <xdr:cNvPr id="73" name="Line 450"/>
          <xdr:cNvSpPr>
            <a:spLocks/>
          </xdr:cNvSpPr>
        </xdr:nvSpPr>
        <xdr:spPr>
          <a:xfrm>
            <a:off x="-3478"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4" name="Line 451"/>
          <xdr:cNvSpPr>
            <a:spLocks/>
          </xdr:cNvSpPr>
        </xdr:nvSpPr>
        <xdr:spPr>
          <a:xfrm>
            <a:off x="-3478" y="-1923"/>
            <a:ext cx="52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5" name="Line 452"/>
          <xdr:cNvSpPr>
            <a:spLocks/>
          </xdr:cNvSpPr>
        </xdr:nvSpPr>
        <xdr:spPr>
          <a:xfrm>
            <a:off x="-3478" y="16923"/>
            <a:ext cx="521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857250</xdr:colOff>
      <xdr:row>157</xdr:row>
      <xdr:rowOff>76200</xdr:rowOff>
    </xdr:from>
    <xdr:to>
      <xdr:col>7</xdr:col>
      <xdr:colOff>85725</xdr:colOff>
      <xdr:row>161</xdr:row>
      <xdr:rowOff>76200</xdr:rowOff>
    </xdr:to>
    <xdr:grpSp>
      <xdr:nvGrpSpPr>
        <xdr:cNvPr id="76" name="Group 453"/>
        <xdr:cNvGrpSpPr>
          <a:grpSpLocks/>
        </xdr:cNvGrpSpPr>
      </xdr:nvGrpSpPr>
      <xdr:grpSpPr>
        <a:xfrm>
          <a:off x="5734050" y="27089100"/>
          <a:ext cx="361950" cy="647700"/>
          <a:chOff x="-2410" y="-2692"/>
          <a:chExt cx="5060" cy="20000"/>
        </a:xfrm>
        <a:solidFill>
          <a:srgbClr val="FFFFFF"/>
        </a:solidFill>
      </xdr:grpSpPr>
      <xdr:sp>
        <xdr:nvSpPr>
          <xdr:cNvPr id="77" name="Line 454"/>
          <xdr:cNvSpPr>
            <a:spLocks/>
          </xdr:cNvSpPr>
        </xdr:nvSpPr>
        <xdr:spPr>
          <a:xfrm>
            <a:off x="-2410" y="-2692"/>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8" name="Line 455"/>
          <xdr:cNvSpPr>
            <a:spLocks/>
          </xdr:cNvSpPr>
        </xdr:nvSpPr>
        <xdr:spPr>
          <a:xfrm>
            <a:off x="-2410" y="-2307"/>
            <a:ext cx="43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9" name="Line 456"/>
          <xdr:cNvSpPr>
            <a:spLocks/>
          </xdr:cNvSpPr>
        </xdr:nvSpPr>
        <xdr:spPr>
          <a:xfrm>
            <a:off x="-2410" y="17308"/>
            <a:ext cx="506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0</xdr:colOff>
      <xdr:row>157</xdr:row>
      <xdr:rowOff>95250</xdr:rowOff>
    </xdr:from>
    <xdr:to>
      <xdr:col>6</xdr:col>
      <xdr:colOff>47625</xdr:colOff>
      <xdr:row>161</xdr:row>
      <xdr:rowOff>114300</xdr:rowOff>
    </xdr:to>
    <xdr:grpSp>
      <xdr:nvGrpSpPr>
        <xdr:cNvPr id="80" name="Group 457"/>
        <xdr:cNvGrpSpPr>
          <a:grpSpLocks/>
        </xdr:cNvGrpSpPr>
      </xdr:nvGrpSpPr>
      <xdr:grpSpPr>
        <a:xfrm>
          <a:off x="4876800" y="27108150"/>
          <a:ext cx="47625" cy="666750"/>
          <a:chOff x="0" y="-1923"/>
          <a:chExt cx="1778" cy="20385"/>
        </a:xfrm>
        <a:solidFill>
          <a:srgbClr val="FFFFFF"/>
        </a:solidFill>
      </xdr:grpSpPr>
      <xdr:sp>
        <xdr:nvSpPr>
          <xdr:cNvPr id="81" name="Line 458"/>
          <xdr:cNvSpPr>
            <a:spLocks/>
          </xdr:cNvSpPr>
        </xdr:nvSpPr>
        <xdr:spPr>
          <a:xfrm>
            <a:off x="1778"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2" name="Line 459"/>
          <xdr:cNvSpPr>
            <a:spLocks/>
          </xdr:cNvSpPr>
        </xdr:nvSpPr>
        <xdr:spPr>
          <a:xfrm flipH="1">
            <a:off x="0" y="-1923"/>
            <a:ext cx="133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3" name="Line 460"/>
          <xdr:cNvSpPr>
            <a:spLocks/>
          </xdr:cNvSpPr>
        </xdr:nvSpPr>
        <xdr:spPr>
          <a:xfrm flipH="1">
            <a:off x="0" y="18462"/>
            <a:ext cx="88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800100</xdr:colOff>
      <xdr:row>157</xdr:row>
      <xdr:rowOff>66675</xdr:rowOff>
    </xdr:from>
    <xdr:to>
      <xdr:col>9</xdr:col>
      <xdr:colOff>47625</xdr:colOff>
      <xdr:row>161</xdr:row>
      <xdr:rowOff>66675</xdr:rowOff>
    </xdr:to>
    <xdr:grpSp>
      <xdr:nvGrpSpPr>
        <xdr:cNvPr id="84" name="Group 461"/>
        <xdr:cNvGrpSpPr>
          <a:grpSpLocks/>
        </xdr:cNvGrpSpPr>
      </xdr:nvGrpSpPr>
      <xdr:grpSpPr>
        <a:xfrm>
          <a:off x="7715250" y="27079575"/>
          <a:ext cx="114300" cy="647700"/>
          <a:chOff x="-2182" y="-3077"/>
          <a:chExt cx="3636" cy="20000"/>
        </a:xfrm>
        <a:solidFill>
          <a:srgbClr val="FFFFFF"/>
        </a:solidFill>
      </xdr:grpSpPr>
      <xdr:sp>
        <xdr:nvSpPr>
          <xdr:cNvPr id="85" name="Line 462"/>
          <xdr:cNvSpPr>
            <a:spLocks/>
          </xdr:cNvSpPr>
        </xdr:nvSpPr>
        <xdr:spPr>
          <a:xfrm>
            <a:off x="-2182" y="-3077"/>
            <a:ext cx="0" cy="20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6" name="Line 463"/>
          <xdr:cNvSpPr>
            <a:spLocks/>
          </xdr:cNvSpPr>
        </xdr:nvSpPr>
        <xdr:spPr>
          <a:xfrm>
            <a:off x="-2182" y="-2692"/>
            <a:ext cx="290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7" name="Line 464"/>
          <xdr:cNvSpPr>
            <a:spLocks/>
          </xdr:cNvSpPr>
        </xdr:nvSpPr>
        <xdr:spPr>
          <a:xfrm>
            <a:off x="-2182" y="16923"/>
            <a:ext cx="36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180975</xdr:colOff>
      <xdr:row>157</xdr:row>
      <xdr:rowOff>95250</xdr:rowOff>
    </xdr:from>
    <xdr:to>
      <xdr:col>10</xdr:col>
      <xdr:colOff>285750</xdr:colOff>
      <xdr:row>161</xdr:row>
      <xdr:rowOff>114300</xdr:rowOff>
    </xdr:to>
    <xdr:grpSp>
      <xdr:nvGrpSpPr>
        <xdr:cNvPr id="88" name="Group 465"/>
        <xdr:cNvGrpSpPr>
          <a:grpSpLocks/>
        </xdr:cNvGrpSpPr>
      </xdr:nvGrpSpPr>
      <xdr:grpSpPr>
        <a:xfrm>
          <a:off x="8924925" y="27108150"/>
          <a:ext cx="95250" cy="666750"/>
          <a:chOff x="-66" y="-1923"/>
          <a:chExt cx="10" cy="20385"/>
        </a:xfrm>
        <a:solidFill>
          <a:srgbClr val="FFFFFF"/>
        </a:solidFill>
      </xdr:grpSpPr>
      <xdr:sp>
        <xdr:nvSpPr>
          <xdr:cNvPr id="89" name="Line 466"/>
          <xdr:cNvSpPr>
            <a:spLocks/>
          </xdr:cNvSpPr>
        </xdr:nvSpPr>
        <xdr:spPr>
          <a:xfrm>
            <a:off x="-56" y="-1923"/>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0" name="Line 467"/>
          <xdr:cNvSpPr>
            <a:spLocks/>
          </xdr:cNvSpPr>
        </xdr:nvSpPr>
        <xdr:spPr>
          <a:xfrm flipH="1">
            <a:off x="-66" y="-1923"/>
            <a:ext cx="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1" name="Line 468"/>
          <xdr:cNvSpPr>
            <a:spLocks/>
          </xdr:cNvSpPr>
        </xdr:nvSpPr>
        <xdr:spPr>
          <a:xfrm flipH="1">
            <a:off x="-66" y="18462"/>
            <a:ext cx="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8</xdr:col>
      <xdr:colOff>190500</xdr:colOff>
      <xdr:row>157</xdr:row>
      <xdr:rowOff>66675</xdr:rowOff>
    </xdr:from>
    <xdr:to>
      <xdr:col>8</xdr:col>
      <xdr:colOff>238125</xdr:colOff>
      <xdr:row>161</xdr:row>
      <xdr:rowOff>76200</xdr:rowOff>
    </xdr:to>
    <xdr:grpSp>
      <xdr:nvGrpSpPr>
        <xdr:cNvPr id="92" name="Group 469"/>
        <xdr:cNvGrpSpPr>
          <a:grpSpLocks/>
        </xdr:cNvGrpSpPr>
      </xdr:nvGrpSpPr>
      <xdr:grpSpPr>
        <a:xfrm>
          <a:off x="7105650" y="27079575"/>
          <a:ext cx="47625" cy="657225"/>
          <a:chOff x="-58" y="-3077"/>
          <a:chExt cx="4" cy="20385"/>
        </a:xfrm>
        <a:solidFill>
          <a:srgbClr val="FFFFFF"/>
        </a:solidFill>
      </xdr:grpSpPr>
      <xdr:sp>
        <xdr:nvSpPr>
          <xdr:cNvPr id="93" name="Line 470"/>
          <xdr:cNvSpPr>
            <a:spLocks/>
          </xdr:cNvSpPr>
        </xdr:nvSpPr>
        <xdr:spPr>
          <a:xfrm>
            <a:off x="-54" y="-3077"/>
            <a:ext cx="0" cy="2038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4" name="Line 471"/>
          <xdr:cNvSpPr>
            <a:spLocks/>
          </xdr:cNvSpPr>
        </xdr:nvSpPr>
        <xdr:spPr>
          <a:xfrm flipH="1">
            <a:off x="-58" y="-3077"/>
            <a:ext cx="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5" name="Line 472"/>
          <xdr:cNvSpPr>
            <a:spLocks/>
          </xdr:cNvSpPr>
        </xdr:nvSpPr>
        <xdr:spPr>
          <a:xfrm flipH="1">
            <a:off x="-58" y="17308"/>
            <a:ext cx="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0</xdr:col>
      <xdr:colOff>266700</xdr:colOff>
      <xdr:row>157</xdr:row>
      <xdr:rowOff>85725</xdr:rowOff>
    </xdr:from>
    <xdr:to>
      <xdr:col>1</xdr:col>
      <xdr:colOff>9525</xdr:colOff>
      <xdr:row>161</xdr:row>
      <xdr:rowOff>66675</xdr:rowOff>
    </xdr:to>
    <xdr:grpSp>
      <xdr:nvGrpSpPr>
        <xdr:cNvPr id="96" name="Group 473"/>
        <xdr:cNvGrpSpPr>
          <a:grpSpLocks/>
        </xdr:cNvGrpSpPr>
      </xdr:nvGrpSpPr>
      <xdr:grpSpPr>
        <a:xfrm>
          <a:off x="266700" y="27098625"/>
          <a:ext cx="66675" cy="628650"/>
          <a:chOff x="-7143" y="-2308"/>
          <a:chExt cx="8571" cy="19231"/>
        </a:xfrm>
        <a:solidFill>
          <a:srgbClr val="FFFFFF"/>
        </a:solidFill>
      </xdr:grpSpPr>
      <xdr:sp>
        <xdr:nvSpPr>
          <xdr:cNvPr id="97" name="Line 474"/>
          <xdr:cNvSpPr>
            <a:spLocks/>
          </xdr:cNvSpPr>
        </xdr:nvSpPr>
        <xdr:spPr>
          <a:xfrm>
            <a:off x="-7143" y="-2308"/>
            <a:ext cx="0" cy="192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8" name="Line 475"/>
          <xdr:cNvSpPr>
            <a:spLocks/>
          </xdr:cNvSpPr>
        </xdr:nvSpPr>
        <xdr:spPr>
          <a:xfrm>
            <a:off x="-7143" y="-1923"/>
            <a:ext cx="857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9" name="Line 476"/>
          <xdr:cNvSpPr>
            <a:spLocks/>
          </xdr:cNvSpPr>
        </xdr:nvSpPr>
        <xdr:spPr>
          <a:xfrm>
            <a:off x="-7143" y="16923"/>
            <a:ext cx="857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2</xdr:col>
      <xdr:colOff>0</xdr:colOff>
      <xdr:row>121</xdr:row>
      <xdr:rowOff>38100</xdr:rowOff>
    </xdr:from>
    <xdr:to>
      <xdr:col>6</xdr:col>
      <xdr:colOff>0</xdr:colOff>
      <xdr:row>139</xdr:row>
      <xdr:rowOff>123825</xdr:rowOff>
    </xdr:to>
    <xdr:grpSp>
      <xdr:nvGrpSpPr>
        <xdr:cNvPr id="100" name="Group 870"/>
        <xdr:cNvGrpSpPr>
          <a:grpSpLocks/>
        </xdr:cNvGrpSpPr>
      </xdr:nvGrpSpPr>
      <xdr:grpSpPr>
        <a:xfrm>
          <a:off x="1190625" y="21050250"/>
          <a:ext cx="3686175" cy="3038475"/>
          <a:chOff x="110" y="1700"/>
          <a:chExt cx="328" cy="244"/>
        </a:xfrm>
        <a:solidFill>
          <a:srgbClr val="FFFFFF"/>
        </a:solidFill>
      </xdr:grpSpPr>
      <xdr:sp>
        <xdr:nvSpPr>
          <xdr:cNvPr id="101" name="Rectangle 858"/>
          <xdr:cNvSpPr>
            <a:spLocks/>
          </xdr:cNvSpPr>
        </xdr:nvSpPr>
        <xdr:spPr>
          <a:xfrm>
            <a:off x="122" y="1709"/>
            <a:ext cx="294" cy="225"/>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2" name="Line 859"/>
          <xdr:cNvSpPr>
            <a:spLocks/>
          </xdr:cNvSpPr>
        </xdr:nvSpPr>
        <xdr:spPr>
          <a:xfrm flipH="1">
            <a:off x="266" y="1700"/>
            <a:ext cx="0" cy="244"/>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3" name="Line 860"/>
          <xdr:cNvSpPr>
            <a:spLocks/>
          </xdr:cNvSpPr>
        </xdr:nvSpPr>
        <xdr:spPr>
          <a:xfrm>
            <a:off x="110" y="1827"/>
            <a:ext cx="328" cy="0"/>
          </a:xfrm>
          <a:prstGeom prst="line">
            <a:avLst/>
          </a:prstGeom>
          <a:solidFill>
            <a:srgbClr val="FFFFFF"/>
          </a:solidFill>
          <a:ln w="1714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4" name="Oval 861"/>
          <xdr:cNvSpPr>
            <a:spLocks/>
          </xdr:cNvSpPr>
        </xdr:nvSpPr>
        <xdr:spPr>
          <a:xfrm>
            <a:off x="408" y="1925"/>
            <a:ext cx="15"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5" name="Oval 862"/>
          <xdr:cNvSpPr>
            <a:spLocks/>
          </xdr:cNvSpPr>
        </xdr:nvSpPr>
        <xdr:spPr>
          <a:xfrm>
            <a:off x="115" y="1925"/>
            <a:ext cx="14"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6" name="Oval 863"/>
          <xdr:cNvSpPr>
            <a:spLocks/>
          </xdr:cNvSpPr>
        </xdr:nvSpPr>
        <xdr:spPr>
          <a:xfrm>
            <a:off x="258" y="1926"/>
            <a:ext cx="15" cy="13"/>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7" name="Oval 864"/>
          <xdr:cNvSpPr>
            <a:spLocks/>
          </xdr:cNvSpPr>
        </xdr:nvSpPr>
        <xdr:spPr>
          <a:xfrm>
            <a:off x="408" y="1819"/>
            <a:ext cx="15"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8" name="Oval 865"/>
          <xdr:cNvSpPr>
            <a:spLocks/>
          </xdr:cNvSpPr>
        </xdr:nvSpPr>
        <xdr:spPr>
          <a:xfrm>
            <a:off x="410" y="1703"/>
            <a:ext cx="15"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9" name="Oval 866"/>
          <xdr:cNvSpPr>
            <a:spLocks/>
          </xdr:cNvSpPr>
        </xdr:nvSpPr>
        <xdr:spPr>
          <a:xfrm>
            <a:off x="258" y="1702"/>
            <a:ext cx="13" cy="13"/>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0" name="Oval 867"/>
          <xdr:cNvSpPr>
            <a:spLocks/>
          </xdr:cNvSpPr>
        </xdr:nvSpPr>
        <xdr:spPr>
          <a:xfrm>
            <a:off x="258" y="1820"/>
            <a:ext cx="14"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1" name="Oval 868"/>
          <xdr:cNvSpPr>
            <a:spLocks/>
          </xdr:cNvSpPr>
        </xdr:nvSpPr>
        <xdr:spPr>
          <a:xfrm>
            <a:off x="113" y="1703"/>
            <a:ext cx="16"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2" name="Oval 869"/>
          <xdr:cNvSpPr>
            <a:spLocks/>
          </xdr:cNvSpPr>
        </xdr:nvSpPr>
        <xdr:spPr>
          <a:xfrm>
            <a:off x="113" y="1819"/>
            <a:ext cx="16" cy="14"/>
          </a:xfrm>
          <a:prstGeom prst="ellipse">
            <a:avLst/>
          </a:prstGeom>
          <a:solidFill>
            <a:srgbClr val="DD0806"/>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83</xdr:row>
      <xdr:rowOff>85725</xdr:rowOff>
    </xdr:from>
    <xdr:to>
      <xdr:col>6</xdr:col>
      <xdr:colOff>600075</xdr:colOff>
      <xdr:row>85</xdr:row>
      <xdr:rowOff>133350</xdr:rowOff>
    </xdr:to>
    <xdr:grpSp>
      <xdr:nvGrpSpPr>
        <xdr:cNvPr id="1" name="Group 133"/>
        <xdr:cNvGrpSpPr>
          <a:grpSpLocks/>
        </xdr:cNvGrpSpPr>
      </xdr:nvGrpSpPr>
      <xdr:grpSpPr>
        <a:xfrm>
          <a:off x="5657850" y="14620875"/>
          <a:ext cx="552450" cy="371475"/>
          <a:chOff x="-51000" y="-4615"/>
          <a:chExt cx="48000" cy="23077"/>
        </a:xfrm>
        <a:solidFill>
          <a:srgbClr val="FFFFFF"/>
        </a:solidFill>
      </xdr:grpSpPr>
      <xdr:sp>
        <xdr:nvSpPr>
          <xdr:cNvPr id="2" name="Line 127"/>
          <xdr:cNvSpPr>
            <a:spLocks/>
          </xdr:cNvSpPr>
        </xdr:nvSpPr>
        <xdr:spPr>
          <a:xfrm>
            <a:off x="-51000" y="3075"/>
            <a:ext cx="36996" cy="0"/>
          </a:xfrm>
          <a:prstGeom prst="line">
            <a:avLst/>
          </a:prstGeom>
          <a:solidFill>
            <a:srgbClr val="FFFFFF"/>
          </a:solidFill>
          <a:ln w="19050"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 name="Line 128"/>
          <xdr:cNvSpPr>
            <a:spLocks/>
          </xdr:cNvSpPr>
        </xdr:nvSpPr>
        <xdr:spPr>
          <a:xfrm>
            <a:off x="-50004" y="10772"/>
            <a:ext cx="36000" cy="0"/>
          </a:xfrm>
          <a:prstGeom prst="line">
            <a:avLst/>
          </a:prstGeom>
          <a:solidFill>
            <a:srgbClr val="FFFFFF"/>
          </a:solidFill>
          <a:ln w="19050"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 name="Line 129"/>
          <xdr:cNvSpPr>
            <a:spLocks/>
          </xdr:cNvSpPr>
        </xdr:nvSpPr>
        <xdr:spPr>
          <a:xfrm flipV="1">
            <a:off x="-14004" y="-4615"/>
            <a:ext cx="0" cy="7690"/>
          </a:xfrm>
          <a:prstGeom prst="line">
            <a:avLst/>
          </a:prstGeom>
          <a:solidFill>
            <a:srgbClr val="FFFFFF"/>
          </a:solidFill>
          <a:ln w="19050"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 name="Line 130"/>
          <xdr:cNvSpPr>
            <a:spLocks/>
          </xdr:cNvSpPr>
        </xdr:nvSpPr>
        <xdr:spPr>
          <a:xfrm>
            <a:off x="-14004" y="9999"/>
            <a:ext cx="0" cy="8463"/>
          </a:xfrm>
          <a:prstGeom prst="line">
            <a:avLst/>
          </a:prstGeom>
          <a:solidFill>
            <a:srgbClr val="FFFFFF"/>
          </a:solidFill>
          <a:ln w="19050"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 name="Line 131"/>
          <xdr:cNvSpPr>
            <a:spLocks/>
          </xdr:cNvSpPr>
        </xdr:nvSpPr>
        <xdr:spPr>
          <a:xfrm>
            <a:off x="-14004" y="-3848"/>
            <a:ext cx="11004" cy="10771"/>
          </a:xfrm>
          <a:prstGeom prst="line">
            <a:avLst/>
          </a:prstGeom>
          <a:solidFill>
            <a:srgbClr val="FFFFFF"/>
          </a:solidFill>
          <a:ln w="19050"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 name="Line 132"/>
          <xdr:cNvSpPr>
            <a:spLocks/>
          </xdr:cNvSpPr>
        </xdr:nvSpPr>
        <xdr:spPr>
          <a:xfrm flipH="1">
            <a:off x="-14004" y="7691"/>
            <a:ext cx="11004" cy="9231"/>
          </a:xfrm>
          <a:prstGeom prst="line">
            <a:avLst/>
          </a:prstGeom>
          <a:solidFill>
            <a:srgbClr val="FFFFFF"/>
          </a:solidFill>
          <a:ln w="19050"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771525</xdr:colOff>
      <xdr:row>107</xdr:row>
      <xdr:rowOff>123825</xdr:rowOff>
    </xdr:from>
    <xdr:to>
      <xdr:col>8</xdr:col>
      <xdr:colOff>238125</xdr:colOff>
      <xdr:row>107</xdr:row>
      <xdr:rowOff>123825</xdr:rowOff>
    </xdr:to>
    <xdr:sp>
      <xdr:nvSpPr>
        <xdr:cNvPr id="8" name="Line 144"/>
        <xdr:cNvSpPr>
          <a:spLocks/>
        </xdr:cNvSpPr>
      </xdr:nvSpPr>
      <xdr:spPr>
        <a:xfrm>
          <a:off x="6381750" y="18545175"/>
          <a:ext cx="1447800"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533400</xdr:colOff>
      <xdr:row>107</xdr:row>
      <xdr:rowOff>104775</xdr:rowOff>
    </xdr:from>
    <xdr:to>
      <xdr:col>10</xdr:col>
      <xdr:colOff>104775</xdr:colOff>
      <xdr:row>107</xdr:row>
      <xdr:rowOff>104775</xdr:rowOff>
    </xdr:to>
    <xdr:sp>
      <xdr:nvSpPr>
        <xdr:cNvPr id="9" name="Line 145"/>
        <xdr:cNvSpPr>
          <a:spLocks/>
        </xdr:cNvSpPr>
      </xdr:nvSpPr>
      <xdr:spPr>
        <a:xfrm>
          <a:off x="8124825" y="18526125"/>
          <a:ext cx="185737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0</xdr:colOff>
      <xdr:row>19</xdr:row>
      <xdr:rowOff>114300</xdr:rowOff>
    </xdr:from>
    <xdr:to>
      <xdr:col>7</xdr:col>
      <xdr:colOff>152400</xdr:colOff>
      <xdr:row>56</xdr:row>
      <xdr:rowOff>133350</xdr:rowOff>
    </xdr:to>
    <xdr:grpSp>
      <xdr:nvGrpSpPr>
        <xdr:cNvPr id="10" name="Group 202"/>
        <xdr:cNvGrpSpPr>
          <a:grpSpLocks/>
        </xdr:cNvGrpSpPr>
      </xdr:nvGrpSpPr>
      <xdr:grpSpPr>
        <a:xfrm>
          <a:off x="523875" y="4152900"/>
          <a:ext cx="6105525" cy="6010275"/>
          <a:chOff x="0" y="-166"/>
          <a:chExt cx="17782" cy="20083"/>
        </a:xfrm>
        <a:solidFill>
          <a:srgbClr val="FFFFFF"/>
        </a:solidFill>
      </xdr:grpSpPr>
      <xdr:grpSp>
        <xdr:nvGrpSpPr>
          <xdr:cNvPr id="11" name="Group 13"/>
          <xdr:cNvGrpSpPr>
            <a:grpSpLocks/>
          </xdr:cNvGrpSpPr>
        </xdr:nvGrpSpPr>
        <xdr:grpSpPr>
          <a:xfrm>
            <a:off x="0" y="6070"/>
            <a:ext cx="16546" cy="10850"/>
            <a:chOff x="0" y="6071"/>
            <a:chExt cx="16545" cy="10852"/>
          </a:xfrm>
          <a:solidFill>
            <a:srgbClr val="FFFFFF"/>
          </a:solidFill>
        </xdr:grpSpPr>
        <xdr:sp>
          <xdr:nvSpPr>
            <xdr:cNvPr id="12" name="Line 14"/>
            <xdr:cNvSpPr>
              <a:spLocks/>
            </xdr:cNvSpPr>
          </xdr:nvSpPr>
          <xdr:spPr>
            <a:xfrm flipV="1">
              <a:off x="0" y="13722"/>
              <a:ext cx="16545"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 name="Line 15"/>
            <xdr:cNvSpPr>
              <a:spLocks/>
            </xdr:cNvSpPr>
          </xdr:nvSpPr>
          <xdr:spPr>
            <a:xfrm flipH="1">
              <a:off x="5092" y="11394"/>
              <a:ext cx="5017" cy="5529"/>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 name="Line 16"/>
            <xdr:cNvSpPr>
              <a:spLocks/>
            </xdr:cNvSpPr>
          </xdr:nvSpPr>
          <xdr:spPr>
            <a:xfrm flipV="1">
              <a:off x="8037" y="6071"/>
              <a:ext cx="0" cy="7651"/>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5" name="Oval 1"/>
          <xdr:cNvSpPr>
            <a:spLocks/>
          </xdr:cNvSpPr>
        </xdr:nvSpPr>
        <xdr:spPr>
          <a:xfrm>
            <a:off x="1236" y="11392"/>
            <a:ext cx="13781" cy="4991"/>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16" name="Group 3"/>
          <xdr:cNvGrpSpPr>
            <a:grpSpLocks/>
          </xdr:cNvGrpSpPr>
        </xdr:nvGrpSpPr>
        <xdr:grpSpPr>
          <a:xfrm>
            <a:off x="1236" y="7983"/>
            <a:ext cx="13857" cy="5779"/>
            <a:chOff x="1236" y="7983"/>
            <a:chExt cx="13855" cy="5780"/>
          </a:xfrm>
          <a:solidFill>
            <a:srgbClr val="FFFFFF"/>
          </a:solidFill>
        </xdr:grpSpPr>
        <xdr:sp>
          <xdr:nvSpPr>
            <xdr:cNvPr id="17" name="Arc 4"/>
            <xdr:cNvSpPr>
              <a:spLocks/>
            </xdr:cNvSpPr>
          </xdr:nvSpPr>
          <xdr:spPr>
            <a:xfrm flipH="1">
              <a:off x="1236" y="7983"/>
              <a:ext cx="6837" cy="578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 name="Arc 5"/>
            <xdr:cNvSpPr>
              <a:spLocks/>
            </xdr:cNvSpPr>
          </xdr:nvSpPr>
          <xdr:spPr>
            <a:xfrm>
              <a:off x="8035" y="7983"/>
              <a:ext cx="7056" cy="5698"/>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9" name="Group 6"/>
          <xdr:cNvGrpSpPr>
            <a:grpSpLocks/>
          </xdr:cNvGrpSpPr>
        </xdr:nvGrpSpPr>
        <xdr:grpSpPr>
          <a:xfrm>
            <a:off x="1236" y="13721"/>
            <a:ext cx="13857" cy="6196"/>
            <a:chOff x="1236" y="13721"/>
            <a:chExt cx="13855" cy="6196"/>
          </a:xfrm>
          <a:solidFill>
            <a:srgbClr val="FFFFFF"/>
          </a:solidFill>
        </xdr:grpSpPr>
        <xdr:sp>
          <xdr:nvSpPr>
            <xdr:cNvPr id="20" name="Arc 7"/>
            <xdr:cNvSpPr>
              <a:spLocks/>
            </xdr:cNvSpPr>
          </xdr:nvSpPr>
          <xdr:spPr>
            <a:xfrm flipH="1" flipV="1">
              <a:off x="1236" y="13721"/>
              <a:ext cx="6837" cy="619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1" name="Arc 8"/>
            <xdr:cNvSpPr>
              <a:spLocks/>
            </xdr:cNvSpPr>
          </xdr:nvSpPr>
          <xdr:spPr>
            <a:xfrm flipV="1">
              <a:off x="8073" y="13721"/>
              <a:ext cx="7018" cy="6196"/>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2" name="Arc 9"/>
          <xdr:cNvSpPr>
            <a:spLocks/>
          </xdr:cNvSpPr>
        </xdr:nvSpPr>
        <xdr:spPr>
          <a:xfrm flipH="1">
            <a:off x="5601" y="7983"/>
            <a:ext cx="2472" cy="8149"/>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 name="Arc 11"/>
          <xdr:cNvSpPr>
            <a:spLocks/>
          </xdr:cNvSpPr>
        </xdr:nvSpPr>
        <xdr:spPr>
          <a:xfrm>
            <a:off x="8002" y="7983"/>
            <a:ext cx="4908" cy="7652"/>
          </a:xfrm>
          <a:prstGeom prst="arc">
            <a:avLst/>
          </a:prstGeom>
          <a:noFill/>
          <a:ln w="1"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 name="Line 12"/>
          <xdr:cNvSpPr>
            <a:spLocks/>
          </xdr:cNvSpPr>
        </xdr:nvSpPr>
        <xdr:spPr>
          <a:xfrm flipV="1">
            <a:off x="8073" y="11768"/>
            <a:ext cx="4143" cy="1913"/>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 name="Line 30"/>
          <xdr:cNvSpPr>
            <a:spLocks/>
          </xdr:cNvSpPr>
        </xdr:nvSpPr>
        <xdr:spPr>
          <a:xfrm>
            <a:off x="10438" y="10106"/>
            <a:ext cx="1783" cy="1662"/>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 name="Line 31"/>
          <xdr:cNvSpPr>
            <a:spLocks/>
          </xdr:cNvSpPr>
        </xdr:nvSpPr>
        <xdr:spPr>
          <a:xfrm>
            <a:off x="10874" y="4448"/>
            <a:ext cx="4472" cy="3535"/>
          </a:xfrm>
          <a:prstGeom prst="line">
            <a:avLst/>
          </a:prstGeom>
          <a:solidFill>
            <a:srgbClr val="FFFFFF"/>
          </a:solidFill>
          <a:ln w="1" cmpd="sng">
            <a:solidFill>
              <a:srgbClr val="FF00FF"/>
            </a:solidFill>
            <a:prstDash val="lg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7" name="Line 32"/>
          <xdr:cNvSpPr>
            <a:spLocks/>
          </xdr:cNvSpPr>
        </xdr:nvSpPr>
        <xdr:spPr>
          <a:xfrm flipV="1">
            <a:off x="10838" y="4448"/>
            <a:ext cx="4472" cy="3158"/>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Arc 36"/>
          <xdr:cNvSpPr>
            <a:spLocks/>
          </xdr:cNvSpPr>
        </xdr:nvSpPr>
        <xdr:spPr>
          <a:xfrm>
            <a:off x="8144" y="7983"/>
            <a:ext cx="3347" cy="8149"/>
          </a:xfrm>
          <a:prstGeom prst="arc">
            <a:avLst/>
          </a:prstGeom>
          <a:noFill/>
          <a:ln w="1"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 name="Line 37"/>
          <xdr:cNvSpPr>
            <a:spLocks/>
          </xdr:cNvSpPr>
        </xdr:nvSpPr>
        <xdr:spPr>
          <a:xfrm flipV="1">
            <a:off x="8037" y="4614"/>
            <a:ext cx="5926" cy="9108"/>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0" name="Line 38"/>
          <xdr:cNvSpPr>
            <a:spLocks/>
          </xdr:cNvSpPr>
        </xdr:nvSpPr>
        <xdr:spPr>
          <a:xfrm>
            <a:off x="8073" y="13681"/>
            <a:ext cx="3419" cy="241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1" name="Line 39"/>
          <xdr:cNvSpPr>
            <a:spLocks/>
          </xdr:cNvSpPr>
        </xdr:nvSpPr>
        <xdr:spPr>
          <a:xfrm flipV="1">
            <a:off x="12256" y="497"/>
            <a:ext cx="1454" cy="112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 name="Oval 40"/>
          <xdr:cNvSpPr>
            <a:spLocks/>
          </xdr:cNvSpPr>
        </xdr:nvSpPr>
        <xdr:spPr>
          <a:xfrm>
            <a:off x="13528" y="251"/>
            <a:ext cx="289" cy="377"/>
          </a:xfrm>
          <a:prstGeom prst="ellipse">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33" name="Group 62"/>
          <xdr:cNvGrpSpPr>
            <a:grpSpLocks/>
          </xdr:cNvGrpSpPr>
        </xdr:nvGrpSpPr>
        <xdr:grpSpPr>
          <a:xfrm>
            <a:off x="10438" y="-166"/>
            <a:ext cx="5130" cy="14179"/>
            <a:chOff x="10436" y="-166"/>
            <a:chExt cx="5128" cy="14179"/>
          </a:xfrm>
          <a:solidFill>
            <a:srgbClr val="FFFFFF"/>
          </a:solidFill>
        </xdr:grpSpPr>
        <xdr:sp>
          <xdr:nvSpPr>
            <xdr:cNvPr id="34" name="Line 48"/>
            <xdr:cNvSpPr>
              <a:spLocks/>
            </xdr:cNvSpPr>
          </xdr:nvSpPr>
          <xdr:spPr>
            <a:xfrm flipH="1">
              <a:off x="10436" y="249"/>
              <a:ext cx="5128" cy="11145"/>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5" name="Line 49"/>
            <xdr:cNvSpPr>
              <a:spLocks/>
            </xdr:cNvSpPr>
          </xdr:nvSpPr>
          <xdr:spPr>
            <a:xfrm>
              <a:off x="11855" y="624"/>
              <a:ext cx="2472" cy="11808"/>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Line 50"/>
            <xdr:cNvSpPr>
              <a:spLocks/>
            </xdr:cNvSpPr>
          </xdr:nvSpPr>
          <xdr:spPr>
            <a:xfrm flipH="1">
              <a:off x="12218" y="-166"/>
              <a:ext cx="1273" cy="14136"/>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 name="Line 51"/>
            <xdr:cNvSpPr>
              <a:spLocks/>
            </xdr:cNvSpPr>
          </xdr:nvSpPr>
          <xdr:spPr>
            <a:xfrm flipH="1">
              <a:off x="12145" y="997"/>
              <a:ext cx="1855" cy="9440"/>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 name="Line 58"/>
            <xdr:cNvSpPr>
              <a:spLocks/>
            </xdr:cNvSpPr>
          </xdr:nvSpPr>
          <xdr:spPr>
            <a:xfrm flipV="1">
              <a:off x="12218" y="12432"/>
              <a:ext cx="2073" cy="1581"/>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9" name="Line 59"/>
            <xdr:cNvSpPr>
              <a:spLocks/>
            </xdr:cNvSpPr>
          </xdr:nvSpPr>
          <xdr:spPr>
            <a:xfrm flipH="1" flipV="1">
              <a:off x="12145" y="10394"/>
              <a:ext cx="2146" cy="1996"/>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0" name="Line 60"/>
            <xdr:cNvSpPr>
              <a:spLocks/>
            </xdr:cNvSpPr>
          </xdr:nvSpPr>
          <xdr:spPr>
            <a:xfrm>
              <a:off x="10436" y="11393"/>
              <a:ext cx="1782" cy="2620"/>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 name="Line 61"/>
            <xdr:cNvSpPr>
              <a:spLocks/>
            </xdr:cNvSpPr>
          </xdr:nvSpPr>
          <xdr:spPr>
            <a:xfrm flipH="1">
              <a:off x="10436" y="10394"/>
              <a:ext cx="1709" cy="957"/>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42" name="Group 41"/>
          <xdr:cNvGrpSpPr>
            <a:grpSpLocks/>
          </xdr:cNvGrpSpPr>
        </xdr:nvGrpSpPr>
        <xdr:grpSpPr>
          <a:xfrm>
            <a:off x="11781" y="-126"/>
            <a:ext cx="3819" cy="1120"/>
            <a:chOff x="11782" y="-124"/>
            <a:chExt cx="3818" cy="1122"/>
          </a:xfrm>
          <a:solidFill>
            <a:srgbClr val="FFFFFF"/>
          </a:solidFill>
        </xdr:grpSpPr>
        <xdr:sp>
          <xdr:nvSpPr>
            <xdr:cNvPr id="43" name="Line 42"/>
            <xdr:cNvSpPr>
              <a:spLocks/>
            </xdr:cNvSpPr>
          </xdr:nvSpPr>
          <xdr:spPr>
            <a:xfrm>
              <a:off x="11782" y="624"/>
              <a:ext cx="2145" cy="374"/>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4" name="Line 43"/>
            <xdr:cNvSpPr>
              <a:spLocks/>
            </xdr:cNvSpPr>
          </xdr:nvSpPr>
          <xdr:spPr>
            <a:xfrm>
              <a:off x="12655" y="250"/>
              <a:ext cx="2145" cy="374"/>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 name="Line 44"/>
            <xdr:cNvSpPr>
              <a:spLocks/>
            </xdr:cNvSpPr>
          </xdr:nvSpPr>
          <xdr:spPr>
            <a:xfrm flipV="1">
              <a:off x="12909" y="83"/>
              <a:ext cx="1564" cy="70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 name="Line 45"/>
            <xdr:cNvSpPr>
              <a:spLocks/>
            </xdr:cNvSpPr>
          </xdr:nvSpPr>
          <xdr:spPr>
            <a:xfrm flipV="1">
              <a:off x="13964" y="250"/>
              <a:ext cx="1636" cy="74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7" name="Line 46"/>
            <xdr:cNvSpPr>
              <a:spLocks/>
            </xdr:cNvSpPr>
          </xdr:nvSpPr>
          <xdr:spPr>
            <a:xfrm flipV="1">
              <a:off x="11782" y="-124"/>
              <a:ext cx="1673" cy="74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8" name="Line 47"/>
            <xdr:cNvSpPr>
              <a:spLocks/>
            </xdr:cNvSpPr>
          </xdr:nvSpPr>
          <xdr:spPr>
            <a:xfrm>
              <a:off x="13455" y="-124"/>
              <a:ext cx="2109" cy="374"/>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49" name="Line 64"/>
          <xdr:cNvSpPr>
            <a:spLocks/>
          </xdr:cNvSpPr>
        </xdr:nvSpPr>
        <xdr:spPr>
          <a:xfrm flipH="1" flipV="1">
            <a:off x="13563" y="13099"/>
            <a:ext cx="4219" cy="3324"/>
          </a:xfrm>
          <a:prstGeom prst="line">
            <a:avLst/>
          </a:prstGeom>
          <a:solidFill>
            <a:srgbClr val="FFFFFF"/>
          </a:solidFill>
          <a:ln w="1" cmpd="sng">
            <a:solidFill>
              <a:srgbClr val="0000D4"/>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nvGrpSpPr>
          <xdr:cNvPr id="50" name="Group 157"/>
          <xdr:cNvGrpSpPr>
            <a:grpSpLocks/>
          </xdr:cNvGrpSpPr>
        </xdr:nvGrpSpPr>
        <xdr:grpSpPr>
          <a:xfrm>
            <a:off x="12110" y="5573"/>
            <a:ext cx="1889" cy="748"/>
            <a:chOff x="12109" y="5572"/>
            <a:chExt cx="1891" cy="748"/>
          </a:xfrm>
          <a:solidFill>
            <a:srgbClr val="FFFFFF"/>
          </a:solidFill>
        </xdr:grpSpPr>
        <xdr:sp>
          <xdr:nvSpPr>
            <xdr:cNvPr id="51" name="Line 158"/>
            <xdr:cNvSpPr>
              <a:spLocks/>
            </xdr:cNvSpPr>
          </xdr:nvSpPr>
          <xdr:spPr>
            <a:xfrm flipH="1">
              <a:off x="12109" y="5572"/>
              <a:ext cx="0" cy="74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2" name="Arc 159"/>
            <xdr:cNvSpPr>
              <a:spLocks/>
            </xdr:cNvSpPr>
          </xdr:nvSpPr>
          <xdr:spPr>
            <a:xfrm>
              <a:off x="13418" y="5821"/>
              <a:ext cx="291" cy="20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 name="Line 160"/>
            <xdr:cNvSpPr>
              <a:spLocks/>
            </xdr:cNvSpPr>
          </xdr:nvSpPr>
          <xdr:spPr>
            <a:xfrm>
              <a:off x="12255" y="5572"/>
              <a:ext cx="218" cy="24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 name="Line 161"/>
            <xdr:cNvSpPr>
              <a:spLocks/>
            </xdr:cNvSpPr>
          </xdr:nvSpPr>
          <xdr:spPr>
            <a:xfrm flipH="1" flipV="1">
              <a:off x="13709" y="6029"/>
              <a:ext cx="146" cy="4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5" name="Rectangle 162"/>
            <xdr:cNvSpPr>
              <a:spLocks/>
            </xdr:cNvSpPr>
          </xdr:nvSpPr>
          <xdr:spPr>
            <a:xfrm>
              <a:off x="12145" y="6071"/>
              <a:ext cx="946" cy="8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6" name="Line 163"/>
            <xdr:cNvSpPr>
              <a:spLocks/>
            </xdr:cNvSpPr>
          </xdr:nvSpPr>
          <xdr:spPr>
            <a:xfrm>
              <a:off x="12109" y="6320"/>
              <a:ext cx="178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7" name="Rectangle 164"/>
            <xdr:cNvSpPr>
              <a:spLocks/>
            </xdr:cNvSpPr>
          </xdr:nvSpPr>
          <xdr:spPr>
            <a:xfrm>
              <a:off x="13527" y="5863"/>
              <a:ext cx="73" cy="166"/>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 name="Line 165"/>
            <xdr:cNvSpPr>
              <a:spLocks/>
            </xdr:cNvSpPr>
          </xdr:nvSpPr>
          <xdr:spPr>
            <a:xfrm>
              <a:off x="12109" y="5572"/>
              <a:ext cx="14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9" name="Line 166"/>
            <xdr:cNvSpPr>
              <a:spLocks/>
            </xdr:cNvSpPr>
          </xdr:nvSpPr>
          <xdr:spPr>
            <a:xfrm>
              <a:off x="12473" y="5821"/>
              <a:ext cx="101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0" name="Arc 167"/>
            <xdr:cNvSpPr>
              <a:spLocks/>
            </xdr:cNvSpPr>
          </xdr:nvSpPr>
          <xdr:spPr>
            <a:xfrm>
              <a:off x="13818" y="6071"/>
              <a:ext cx="182" cy="12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1" name="Arc 168"/>
            <xdr:cNvSpPr>
              <a:spLocks/>
            </xdr:cNvSpPr>
          </xdr:nvSpPr>
          <xdr:spPr>
            <a:xfrm flipV="1">
              <a:off x="13855" y="6196"/>
              <a:ext cx="145" cy="124"/>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2" name="Line 169"/>
            <xdr:cNvSpPr>
              <a:spLocks/>
            </xdr:cNvSpPr>
          </xdr:nvSpPr>
          <xdr:spPr>
            <a:xfrm>
              <a:off x="12509" y="5821"/>
              <a:ext cx="0" cy="1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3" name="Line 170"/>
            <xdr:cNvSpPr>
              <a:spLocks/>
            </xdr:cNvSpPr>
          </xdr:nvSpPr>
          <xdr:spPr>
            <a:xfrm>
              <a:off x="13345" y="5821"/>
              <a:ext cx="0" cy="16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4" name="Line 171"/>
            <xdr:cNvSpPr>
              <a:spLocks/>
            </xdr:cNvSpPr>
          </xdr:nvSpPr>
          <xdr:spPr>
            <a:xfrm>
              <a:off x="12509" y="5988"/>
              <a:ext cx="83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6</xdr:col>
      <xdr:colOff>542925</xdr:colOff>
      <xdr:row>63</xdr:row>
      <xdr:rowOff>76200</xdr:rowOff>
    </xdr:from>
    <xdr:to>
      <xdr:col>10</xdr:col>
      <xdr:colOff>219075</xdr:colOff>
      <xdr:row>91</xdr:row>
      <xdr:rowOff>9525</xdr:rowOff>
    </xdr:to>
    <xdr:grpSp>
      <xdr:nvGrpSpPr>
        <xdr:cNvPr id="65" name="Group 204"/>
        <xdr:cNvGrpSpPr>
          <a:grpSpLocks/>
        </xdr:cNvGrpSpPr>
      </xdr:nvGrpSpPr>
      <xdr:grpSpPr>
        <a:xfrm>
          <a:off x="6153150" y="11334750"/>
          <a:ext cx="3943350" cy="4505325"/>
          <a:chOff x="-1812" y="-549"/>
          <a:chExt cx="18187" cy="19890"/>
        </a:xfrm>
        <a:solidFill>
          <a:srgbClr val="FFFFFF"/>
        </a:solidFill>
      </xdr:grpSpPr>
      <xdr:sp>
        <xdr:nvSpPr>
          <xdr:cNvPr id="66" name="Line 120"/>
          <xdr:cNvSpPr>
            <a:spLocks/>
          </xdr:cNvSpPr>
        </xdr:nvSpPr>
        <xdr:spPr>
          <a:xfrm>
            <a:off x="-839" y="7089"/>
            <a:ext cx="0" cy="12143"/>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7" name="Line 121"/>
          <xdr:cNvSpPr>
            <a:spLocks/>
          </xdr:cNvSpPr>
        </xdr:nvSpPr>
        <xdr:spPr>
          <a:xfrm>
            <a:off x="-1812" y="18516"/>
            <a:ext cx="16050"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8" name="Arc 122"/>
          <xdr:cNvSpPr>
            <a:spLocks/>
          </xdr:cNvSpPr>
        </xdr:nvSpPr>
        <xdr:spPr>
          <a:xfrm>
            <a:off x="-839" y="7800"/>
            <a:ext cx="14304" cy="10716"/>
          </a:xfrm>
          <a:prstGeom prst="arc">
            <a:avLst/>
          </a:prstGeom>
          <a:noFill/>
          <a:ln w="24765" cmpd="sng">
            <a:solidFill>
              <a:srgbClr val="9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9" name="Line 123"/>
          <xdr:cNvSpPr>
            <a:spLocks/>
          </xdr:cNvSpPr>
        </xdr:nvSpPr>
        <xdr:spPr>
          <a:xfrm flipV="1">
            <a:off x="-775" y="441"/>
            <a:ext cx="15209" cy="18130"/>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0" name="Line 124"/>
          <xdr:cNvSpPr>
            <a:spLocks/>
          </xdr:cNvSpPr>
        </xdr:nvSpPr>
        <xdr:spPr>
          <a:xfrm flipH="1">
            <a:off x="11328" y="386"/>
            <a:ext cx="3042" cy="12307"/>
          </a:xfrm>
          <a:prstGeom prst="line">
            <a:avLst/>
          </a:prstGeom>
          <a:solidFill>
            <a:srgbClr val="FFFFFF"/>
          </a:solidFill>
          <a:ln w="9525" cmpd="sng">
            <a:solidFill>
              <a:srgbClr val="00008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71" name="Line 125"/>
          <xdr:cNvSpPr>
            <a:spLocks/>
          </xdr:cNvSpPr>
        </xdr:nvSpPr>
        <xdr:spPr>
          <a:xfrm flipV="1">
            <a:off x="-907" y="12747"/>
            <a:ext cx="12103" cy="5932"/>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Geneva"/>
                <a:ea typeface="Geneva"/>
                <a:cs typeface="Geneva"/>
              </a:rPr>
              <a:t/>
            </a:r>
          </a:p>
        </xdr:txBody>
      </xdr:sp>
      <xdr:grpSp>
        <xdr:nvGrpSpPr>
          <xdr:cNvPr id="72" name="Group 139"/>
          <xdr:cNvGrpSpPr>
            <a:grpSpLocks/>
          </xdr:cNvGrpSpPr>
        </xdr:nvGrpSpPr>
        <xdr:grpSpPr>
          <a:xfrm>
            <a:off x="10291" y="2638"/>
            <a:ext cx="5697" cy="2695"/>
            <a:chOff x="10291" y="2637"/>
            <a:chExt cx="5696" cy="2693"/>
          </a:xfrm>
          <a:solidFill>
            <a:srgbClr val="FFFFFF"/>
          </a:solidFill>
        </xdr:grpSpPr>
        <xdr:sp>
          <xdr:nvSpPr>
            <xdr:cNvPr id="73" name="Arc 135"/>
            <xdr:cNvSpPr>
              <a:spLocks/>
            </xdr:cNvSpPr>
          </xdr:nvSpPr>
          <xdr:spPr>
            <a:xfrm flipH="1" flipV="1">
              <a:off x="11521" y="3846"/>
              <a:ext cx="1749" cy="879"/>
            </a:xfrm>
            <a:prstGeom prst="arc">
              <a:avLst/>
            </a:prstGeom>
            <a:noFill/>
            <a:ln w="1"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4" name="Line 136"/>
            <xdr:cNvSpPr>
              <a:spLocks/>
            </xdr:cNvSpPr>
          </xdr:nvSpPr>
          <xdr:spPr>
            <a:xfrm flipH="1" flipV="1">
              <a:off x="13333" y="4725"/>
              <a:ext cx="2654" cy="605"/>
            </a:xfrm>
            <a:prstGeom prst="line">
              <a:avLst/>
            </a:prstGeom>
            <a:solidFill>
              <a:srgbClr val="FFFFFF"/>
            </a:solidFill>
            <a:ln w="1"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75" name="Line 137"/>
            <xdr:cNvSpPr>
              <a:spLocks/>
            </xdr:cNvSpPr>
          </xdr:nvSpPr>
          <xdr:spPr>
            <a:xfrm>
              <a:off x="10291" y="2637"/>
              <a:ext cx="1230" cy="1264"/>
            </a:xfrm>
            <a:prstGeom prst="line">
              <a:avLst/>
            </a:prstGeom>
            <a:solidFill>
              <a:srgbClr val="FFFFFF"/>
            </a:solidFill>
            <a:ln w="1"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sp>
        <xdr:nvSpPr>
          <xdr:cNvPr id="76" name="Arc 141"/>
          <xdr:cNvSpPr>
            <a:spLocks/>
          </xdr:cNvSpPr>
        </xdr:nvSpPr>
        <xdr:spPr>
          <a:xfrm>
            <a:off x="1166" y="16099"/>
            <a:ext cx="1296" cy="990"/>
          </a:xfrm>
          <a:prstGeom prst="arc">
            <a:avLst/>
          </a:prstGeom>
          <a:noFill/>
          <a:ln w="1"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7" name="Line 142"/>
          <xdr:cNvSpPr>
            <a:spLocks/>
          </xdr:cNvSpPr>
        </xdr:nvSpPr>
        <xdr:spPr>
          <a:xfrm>
            <a:off x="-193" y="15328"/>
            <a:ext cx="1296" cy="716"/>
          </a:xfrm>
          <a:prstGeom prst="line">
            <a:avLst/>
          </a:prstGeom>
          <a:solidFill>
            <a:srgbClr val="FFFFFF"/>
          </a:solidFill>
          <a:ln w="1" cmpd="sng">
            <a:solidFill>
              <a:srgbClr val="0000D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78" name="Line 143"/>
          <xdr:cNvSpPr>
            <a:spLocks/>
          </xdr:cNvSpPr>
        </xdr:nvSpPr>
        <xdr:spPr>
          <a:xfrm flipH="1" flipV="1">
            <a:off x="2462" y="16979"/>
            <a:ext cx="2264" cy="2362"/>
          </a:xfrm>
          <a:prstGeom prst="line">
            <a:avLst/>
          </a:prstGeom>
          <a:solidFill>
            <a:srgbClr val="FFFFFF"/>
          </a:solidFill>
          <a:ln w="1" cmpd="sng">
            <a:solidFill>
              <a:srgbClr val="0000D4"/>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nvGrpSpPr>
          <xdr:cNvPr id="79" name="Group 154"/>
          <xdr:cNvGrpSpPr>
            <a:grpSpLocks/>
          </xdr:cNvGrpSpPr>
        </xdr:nvGrpSpPr>
        <xdr:grpSpPr>
          <a:xfrm>
            <a:off x="7768" y="9779"/>
            <a:ext cx="4206" cy="4669"/>
            <a:chOff x="7767" y="9780"/>
            <a:chExt cx="4207" cy="4671"/>
          </a:xfrm>
          <a:solidFill>
            <a:srgbClr val="FFFFFF"/>
          </a:solidFill>
        </xdr:grpSpPr>
        <xdr:sp>
          <xdr:nvSpPr>
            <xdr:cNvPr id="80" name="Arc 151"/>
            <xdr:cNvSpPr>
              <a:spLocks/>
            </xdr:cNvSpPr>
          </xdr:nvSpPr>
          <xdr:spPr>
            <a:xfrm flipH="1">
              <a:off x="7767" y="9835"/>
              <a:ext cx="3301" cy="4066"/>
            </a:xfrm>
            <a:prstGeom prst="arc">
              <a:avLst/>
            </a:prstGeom>
            <a:noFill/>
            <a:ln w="1"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1" name="Line 152"/>
            <xdr:cNvSpPr>
              <a:spLocks/>
            </xdr:cNvSpPr>
          </xdr:nvSpPr>
          <xdr:spPr>
            <a:xfrm flipV="1">
              <a:off x="11003" y="9780"/>
              <a:ext cx="971" cy="55"/>
            </a:xfrm>
            <a:prstGeom prst="line">
              <a:avLst/>
            </a:prstGeom>
            <a:solidFill>
              <a:srgbClr val="FFFFFF"/>
            </a:solidFill>
            <a:ln w="9525" cmpd="sng">
              <a:solidFill>
                <a:srgbClr val="DD0806"/>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82" name="Line 153"/>
            <xdr:cNvSpPr>
              <a:spLocks/>
            </xdr:cNvSpPr>
          </xdr:nvSpPr>
          <xdr:spPr>
            <a:xfrm>
              <a:off x="7767" y="13901"/>
              <a:ext cx="0" cy="550"/>
            </a:xfrm>
            <a:prstGeom prst="line">
              <a:avLst/>
            </a:prstGeom>
            <a:solidFill>
              <a:srgbClr val="FFFFFF"/>
            </a:solidFill>
            <a:ln w="1" cmpd="sng">
              <a:solidFill>
                <a:srgbClr val="DD0806"/>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grpSp>
        <xdr:nvGrpSpPr>
          <xdr:cNvPr id="83" name="Group 172"/>
          <xdr:cNvGrpSpPr>
            <a:grpSpLocks/>
          </xdr:cNvGrpSpPr>
        </xdr:nvGrpSpPr>
        <xdr:grpSpPr>
          <a:xfrm>
            <a:off x="13010" y="-549"/>
            <a:ext cx="3365" cy="990"/>
            <a:chOff x="13010" y="-549"/>
            <a:chExt cx="3365" cy="989"/>
          </a:xfrm>
          <a:solidFill>
            <a:srgbClr val="FFFFFF"/>
          </a:solidFill>
        </xdr:grpSpPr>
        <xdr:sp>
          <xdr:nvSpPr>
            <xdr:cNvPr id="84" name="Line 173"/>
            <xdr:cNvSpPr>
              <a:spLocks/>
            </xdr:cNvSpPr>
          </xdr:nvSpPr>
          <xdr:spPr>
            <a:xfrm flipH="1">
              <a:off x="13010" y="-549"/>
              <a:ext cx="0" cy="98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5" name="Arc 174"/>
            <xdr:cNvSpPr>
              <a:spLocks/>
            </xdr:cNvSpPr>
          </xdr:nvSpPr>
          <xdr:spPr>
            <a:xfrm>
              <a:off x="15340" y="-219"/>
              <a:ext cx="518" cy="274"/>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6" name="Line 175"/>
            <xdr:cNvSpPr>
              <a:spLocks/>
            </xdr:cNvSpPr>
          </xdr:nvSpPr>
          <xdr:spPr>
            <a:xfrm>
              <a:off x="13269" y="-549"/>
              <a:ext cx="388" cy="33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7" name="Line 176"/>
            <xdr:cNvSpPr>
              <a:spLocks/>
            </xdr:cNvSpPr>
          </xdr:nvSpPr>
          <xdr:spPr>
            <a:xfrm flipH="1" flipV="1">
              <a:off x="15858" y="55"/>
              <a:ext cx="259" cy="5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8" name="Rectangle 177"/>
            <xdr:cNvSpPr>
              <a:spLocks/>
            </xdr:cNvSpPr>
          </xdr:nvSpPr>
          <xdr:spPr>
            <a:xfrm>
              <a:off x="13075" y="110"/>
              <a:ext cx="1682" cy="11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9" name="Line 178"/>
            <xdr:cNvSpPr>
              <a:spLocks/>
            </xdr:cNvSpPr>
          </xdr:nvSpPr>
          <xdr:spPr>
            <a:xfrm>
              <a:off x="13010" y="440"/>
              <a:ext cx="317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0" name="Rectangle 179"/>
            <xdr:cNvSpPr>
              <a:spLocks/>
            </xdr:cNvSpPr>
          </xdr:nvSpPr>
          <xdr:spPr>
            <a:xfrm>
              <a:off x="15534" y="-164"/>
              <a:ext cx="129" cy="219"/>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1" name="Line 180"/>
            <xdr:cNvSpPr>
              <a:spLocks/>
            </xdr:cNvSpPr>
          </xdr:nvSpPr>
          <xdr:spPr>
            <a:xfrm>
              <a:off x="13010" y="-549"/>
              <a:ext cx="25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2" name="Line 181"/>
            <xdr:cNvSpPr>
              <a:spLocks/>
            </xdr:cNvSpPr>
          </xdr:nvSpPr>
          <xdr:spPr>
            <a:xfrm>
              <a:off x="13657" y="-219"/>
              <a:ext cx="18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3" name="Arc 182"/>
            <xdr:cNvSpPr>
              <a:spLocks/>
            </xdr:cNvSpPr>
          </xdr:nvSpPr>
          <xdr:spPr>
            <a:xfrm>
              <a:off x="16052" y="110"/>
              <a:ext cx="323" cy="16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4" name="Arc 183"/>
            <xdr:cNvSpPr>
              <a:spLocks/>
            </xdr:cNvSpPr>
          </xdr:nvSpPr>
          <xdr:spPr>
            <a:xfrm flipV="1">
              <a:off x="16117" y="275"/>
              <a:ext cx="258" cy="16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5" name="Line 184"/>
            <xdr:cNvSpPr>
              <a:spLocks/>
            </xdr:cNvSpPr>
          </xdr:nvSpPr>
          <xdr:spPr>
            <a:xfrm>
              <a:off x="13722" y="-219"/>
              <a:ext cx="0" cy="2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6" name="Line 185"/>
            <xdr:cNvSpPr>
              <a:spLocks/>
            </xdr:cNvSpPr>
          </xdr:nvSpPr>
          <xdr:spPr>
            <a:xfrm>
              <a:off x="15210" y="-219"/>
              <a:ext cx="0" cy="2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97" name="Line 186"/>
            <xdr:cNvSpPr>
              <a:spLocks/>
            </xdr:cNvSpPr>
          </xdr:nvSpPr>
          <xdr:spPr>
            <a:xfrm>
              <a:off x="13722" y="0"/>
              <a:ext cx="1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0</xdr:col>
      <xdr:colOff>47625</xdr:colOff>
      <xdr:row>72</xdr:row>
      <xdr:rowOff>9525</xdr:rowOff>
    </xdr:from>
    <xdr:to>
      <xdr:col>6</xdr:col>
      <xdr:colOff>85725</xdr:colOff>
      <xdr:row>101</xdr:row>
      <xdr:rowOff>66675</xdr:rowOff>
    </xdr:to>
    <xdr:grpSp>
      <xdr:nvGrpSpPr>
        <xdr:cNvPr id="98" name="Group 203"/>
        <xdr:cNvGrpSpPr>
          <a:grpSpLocks/>
        </xdr:cNvGrpSpPr>
      </xdr:nvGrpSpPr>
      <xdr:grpSpPr>
        <a:xfrm>
          <a:off x="47625" y="12763500"/>
          <a:ext cx="5648325" cy="4752975"/>
          <a:chOff x="-1853" y="-637"/>
          <a:chExt cx="18990" cy="20213"/>
        </a:xfrm>
        <a:solidFill>
          <a:srgbClr val="FFFFFF"/>
        </a:solidFill>
      </xdr:grpSpPr>
      <xdr:grpSp>
        <xdr:nvGrpSpPr>
          <xdr:cNvPr id="99" name="Group 67"/>
          <xdr:cNvGrpSpPr>
            <a:grpSpLocks/>
          </xdr:cNvGrpSpPr>
        </xdr:nvGrpSpPr>
        <xdr:grpSpPr>
          <a:xfrm>
            <a:off x="-1853" y="1859"/>
            <a:ext cx="18990" cy="13846"/>
            <a:chOff x="-1853" y="1857"/>
            <a:chExt cx="18990" cy="13846"/>
          </a:xfrm>
          <a:solidFill>
            <a:srgbClr val="FFFFFF"/>
          </a:solidFill>
        </xdr:grpSpPr>
        <xdr:sp>
          <xdr:nvSpPr>
            <xdr:cNvPr id="100" name="Line 68"/>
            <xdr:cNvSpPr>
              <a:spLocks/>
            </xdr:cNvSpPr>
          </xdr:nvSpPr>
          <xdr:spPr>
            <a:xfrm flipV="1">
              <a:off x="-1853" y="11618"/>
              <a:ext cx="18990"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1" name="Line 69"/>
            <xdr:cNvSpPr>
              <a:spLocks/>
            </xdr:cNvSpPr>
          </xdr:nvSpPr>
          <xdr:spPr>
            <a:xfrm flipH="1">
              <a:off x="3958" y="8648"/>
              <a:ext cx="5854" cy="7055"/>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2" name="Line 70"/>
            <xdr:cNvSpPr>
              <a:spLocks/>
            </xdr:cNvSpPr>
          </xdr:nvSpPr>
          <xdr:spPr>
            <a:xfrm flipV="1">
              <a:off x="7409" y="1857"/>
              <a:ext cx="0" cy="9761"/>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03" name="Oval 71"/>
          <xdr:cNvSpPr>
            <a:spLocks/>
          </xdr:cNvSpPr>
        </xdr:nvSpPr>
        <xdr:spPr>
          <a:xfrm>
            <a:off x="421" y="8701"/>
            <a:ext cx="15325" cy="6367"/>
          </a:xfrm>
          <a:prstGeom prst="ellipse">
            <a:avLst/>
          </a:prstGeom>
          <a:noFill/>
          <a:ln w="17145"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104" name="Group 72"/>
          <xdr:cNvGrpSpPr>
            <a:grpSpLocks/>
          </xdr:cNvGrpSpPr>
        </xdr:nvGrpSpPr>
        <xdr:grpSpPr>
          <a:xfrm>
            <a:off x="421" y="4351"/>
            <a:ext cx="15410" cy="7373"/>
            <a:chOff x="421" y="4350"/>
            <a:chExt cx="15411" cy="7374"/>
          </a:xfrm>
          <a:solidFill>
            <a:srgbClr val="FFFFFF"/>
          </a:solidFill>
        </xdr:grpSpPr>
        <xdr:sp>
          <xdr:nvSpPr>
            <xdr:cNvPr id="105" name="Arc 73"/>
            <xdr:cNvSpPr>
              <a:spLocks/>
            </xdr:cNvSpPr>
          </xdr:nvSpPr>
          <xdr:spPr>
            <a:xfrm flipH="1">
              <a:off x="421" y="4350"/>
              <a:ext cx="7578" cy="7374"/>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6" name="Arc 74"/>
            <xdr:cNvSpPr>
              <a:spLocks/>
            </xdr:cNvSpPr>
          </xdr:nvSpPr>
          <xdr:spPr>
            <a:xfrm>
              <a:off x="7999" y="4350"/>
              <a:ext cx="7833" cy="7269"/>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07" name="Group 75"/>
          <xdr:cNvGrpSpPr>
            <a:grpSpLocks/>
          </xdr:cNvGrpSpPr>
        </xdr:nvGrpSpPr>
        <xdr:grpSpPr>
          <a:xfrm>
            <a:off x="421" y="11673"/>
            <a:ext cx="15410" cy="7903"/>
            <a:chOff x="421" y="11671"/>
            <a:chExt cx="15411" cy="7905"/>
          </a:xfrm>
          <a:solidFill>
            <a:srgbClr val="FFFFFF"/>
          </a:solidFill>
        </xdr:grpSpPr>
        <xdr:sp>
          <xdr:nvSpPr>
            <xdr:cNvPr id="108" name="Arc 76"/>
            <xdr:cNvSpPr>
              <a:spLocks/>
            </xdr:cNvSpPr>
          </xdr:nvSpPr>
          <xdr:spPr>
            <a:xfrm flipH="1" flipV="1">
              <a:off x="421" y="11671"/>
              <a:ext cx="7578" cy="7905"/>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09" name="Arc 77"/>
            <xdr:cNvSpPr>
              <a:spLocks/>
            </xdr:cNvSpPr>
          </xdr:nvSpPr>
          <xdr:spPr>
            <a:xfrm flipV="1">
              <a:off x="7999" y="11671"/>
              <a:ext cx="7833" cy="7905"/>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10" name="Arc 78"/>
          <xdr:cNvSpPr>
            <a:spLocks/>
          </xdr:cNvSpPr>
        </xdr:nvSpPr>
        <xdr:spPr>
          <a:xfrm flipH="1">
            <a:off x="4969" y="4351"/>
            <a:ext cx="2526" cy="10400"/>
          </a:xfrm>
          <a:prstGeom prst="arc">
            <a:avLst/>
          </a:prstGeom>
          <a:noFill/>
          <a:ln w="17145"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1" name="Arc 79"/>
          <xdr:cNvSpPr>
            <a:spLocks/>
          </xdr:cNvSpPr>
        </xdr:nvSpPr>
        <xdr:spPr>
          <a:xfrm>
            <a:off x="7452" y="4351"/>
            <a:ext cx="5645" cy="9763"/>
          </a:xfrm>
          <a:prstGeom prst="arc">
            <a:avLst/>
          </a:prstGeom>
          <a:noFill/>
          <a:ln w="1"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2" name="Line 80"/>
          <xdr:cNvSpPr>
            <a:spLocks/>
          </xdr:cNvSpPr>
        </xdr:nvSpPr>
        <xdr:spPr>
          <a:xfrm flipV="1">
            <a:off x="7495" y="9176"/>
            <a:ext cx="4928" cy="2441"/>
          </a:xfrm>
          <a:prstGeom prst="line">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3" name="Line 95"/>
          <xdr:cNvSpPr>
            <a:spLocks/>
          </xdr:cNvSpPr>
        </xdr:nvSpPr>
        <xdr:spPr>
          <a:xfrm>
            <a:off x="11074" y="-637"/>
            <a:ext cx="5094" cy="4507"/>
          </a:xfrm>
          <a:prstGeom prst="line">
            <a:avLst/>
          </a:prstGeom>
          <a:solidFill>
            <a:srgbClr val="FFFFFF"/>
          </a:solidFill>
          <a:ln w="1" cmpd="sng">
            <a:solidFill>
              <a:srgbClr val="FF00FF"/>
            </a:solidFill>
            <a:prstDash val="lgDash"/>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4" name="Line 96"/>
          <xdr:cNvSpPr>
            <a:spLocks/>
          </xdr:cNvSpPr>
        </xdr:nvSpPr>
        <xdr:spPr>
          <a:xfrm flipV="1">
            <a:off x="10946" y="-637"/>
            <a:ext cx="5094" cy="4032"/>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5" name="Line 98"/>
          <xdr:cNvSpPr>
            <a:spLocks/>
          </xdr:cNvSpPr>
        </xdr:nvSpPr>
        <xdr:spPr>
          <a:xfrm flipV="1">
            <a:off x="7495" y="1591"/>
            <a:ext cx="5934" cy="10081"/>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6" name="Line 99"/>
          <xdr:cNvSpPr>
            <a:spLocks/>
          </xdr:cNvSpPr>
        </xdr:nvSpPr>
        <xdr:spPr>
          <a:xfrm>
            <a:off x="7495" y="11617"/>
            <a:ext cx="4168" cy="3077"/>
          </a:xfrm>
          <a:prstGeom prst="lin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7" name="Line 100"/>
          <xdr:cNvSpPr>
            <a:spLocks/>
          </xdr:cNvSpPr>
        </xdr:nvSpPr>
        <xdr:spPr>
          <a:xfrm flipV="1">
            <a:off x="12461" y="1748"/>
            <a:ext cx="717" cy="742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8" name="Line 103"/>
          <xdr:cNvSpPr>
            <a:spLocks/>
          </xdr:cNvSpPr>
        </xdr:nvSpPr>
        <xdr:spPr>
          <a:xfrm flipH="1">
            <a:off x="10524" y="1748"/>
            <a:ext cx="2654" cy="6948"/>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9" name="Line 104"/>
          <xdr:cNvSpPr>
            <a:spLocks/>
          </xdr:cNvSpPr>
        </xdr:nvSpPr>
        <xdr:spPr>
          <a:xfrm>
            <a:off x="13391" y="1485"/>
            <a:ext cx="1643" cy="8540"/>
          </a:xfrm>
          <a:prstGeom prst="line">
            <a:avLst/>
          </a:prstGeom>
          <a:solidFill>
            <a:srgbClr val="FFFFFF"/>
          </a:solidFill>
          <a:ln w="17145" cmpd="sng">
            <a:solidFill>
              <a:srgbClr val="000090"/>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120" name="Line 105"/>
          <xdr:cNvSpPr>
            <a:spLocks/>
          </xdr:cNvSpPr>
        </xdr:nvSpPr>
        <xdr:spPr>
          <a:xfrm flipH="1">
            <a:off x="12423" y="1536"/>
            <a:ext cx="926" cy="10450"/>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1" name="Line 106"/>
          <xdr:cNvSpPr>
            <a:spLocks/>
          </xdr:cNvSpPr>
        </xdr:nvSpPr>
        <xdr:spPr>
          <a:xfrm flipH="1">
            <a:off x="12252" y="1485"/>
            <a:ext cx="1092" cy="5993"/>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2" name="Line 107"/>
          <xdr:cNvSpPr>
            <a:spLocks/>
          </xdr:cNvSpPr>
        </xdr:nvSpPr>
        <xdr:spPr>
          <a:xfrm flipV="1">
            <a:off x="12423" y="10025"/>
            <a:ext cx="2568" cy="2016"/>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3" name="Line 108"/>
          <xdr:cNvSpPr>
            <a:spLocks/>
          </xdr:cNvSpPr>
        </xdr:nvSpPr>
        <xdr:spPr>
          <a:xfrm flipH="1" flipV="1">
            <a:off x="12252" y="7428"/>
            <a:ext cx="2735" cy="2547"/>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4" name="Line 109"/>
          <xdr:cNvSpPr>
            <a:spLocks/>
          </xdr:cNvSpPr>
        </xdr:nvSpPr>
        <xdr:spPr>
          <a:xfrm>
            <a:off x="10524" y="8701"/>
            <a:ext cx="1894" cy="3340"/>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5" name="Line 110"/>
          <xdr:cNvSpPr>
            <a:spLocks/>
          </xdr:cNvSpPr>
        </xdr:nvSpPr>
        <xdr:spPr>
          <a:xfrm flipH="1">
            <a:off x="10566" y="7428"/>
            <a:ext cx="1685" cy="1218"/>
          </a:xfrm>
          <a:prstGeom prst="line">
            <a:avLst/>
          </a:prstGeom>
          <a:solidFill>
            <a:srgbClr val="FFFFFF"/>
          </a:solidFill>
          <a:ln w="9525" cmpd="sng">
            <a:solidFill>
              <a:srgbClr val="00009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6" name="Line 148"/>
          <xdr:cNvSpPr>
            <a:spLocks/>
          </xdr:cNvSpPr>
        </xdr:nvSpPr>
        <xdr:spPr>
          <a:xfrm flipV="1">
            <a:off x="7538" y="9975"/>
            <a:ext cx="7411" cy="1592"/>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Geneva"/>
                <a:ea typeface="Geneva"/>
                <a:cs typeface="Geneva"/>
              </a:rPr>
              <a:t/>
            </a:r>
          </a:p>
        </xdr:txBody>
      </xdr:sp>
      <xdr:sp>
        <xdr:nvSpPr>
          <xdr:cNvPr id="127" name="Arc 150"/>
          <xdr:cNvSpPr>
            <a:spLocks/>
          </xdr:cNvSpPr>
        </xdr:nvSpPr>
        <xdr:spPr>
          <a:xfrm>
            <a:off x="7452" y="4295"/>
            <a:ext cx="7876" cy="8540"/>
          </a:xfrm>
          <a:prstGeom prst="arc">
            <a:avLst/>
          </a:prstGeom>
          <a:noFill/>
          <a:ln w="24765" cmpd="sng">
            <a:solidFill>
              <a:srgbClr val="9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128" name="Group 187"/>
          <xdr:cNvGrpSpPr>
            <a:grpSpLocks/>
          </xdr:cNvGrpSpPr>
        </xdr:nvGrpSpPr>
        <xdr:grpSpPr>
          <a:xfrm>
            <a:off x="12423" y="793"/>
            <a:ext cx="2189" cy="955"/>
            <a:chOff x="12421" y="795"/>
            <a:chExt cx="2189" cy="955"/>
          </a:xfrm>
          <a:solidFill>
            <a:srgbClr val="FFFFFF"/>
          </a:solidFill>
        </xdr:grpSpPr>
        <xdr:sp>
          <xdr:nvSpPr>
            <xdr:cNvPr id="129" name="Line 188"/>
            <xdr:cNvSpPr>
              <a:spLocks/>
            </xdr:cNvSpPr>
          </xdr:nvSpPr>
          <xdr:spPr>
            <a:xfrm flipH="1">
              <a:off x="12421" y="795"/>
              <a:ext cx="0" cy="95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0" name="Arc 189"/>
            <xdr:cNvSpPr>
              <a:spLocks/>
            </xdr:cNvSpPr>
          </xdr:nvSpPr>
          <xdr:spPr>
            <a:xfrm>
              <a:off x="13937" y="1114"/>
              <a:ext cx="337" cy="26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1" name="Line 190"/>
            <xdr:cNvSpPr>
              <a:spLocks/>
            </xdr:cNvSpPr>
          </xdr:nvSpPr>
          <xdr:spPr>
            <a:xfrm>
              <a:off x="12589" y="795"/>
              <a:ext cx="253" cy="3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2" name="Line 191"/>
            <xdr:cNvSpPr>
              <a:spLocks/>
            </xdr:cNvSpPr>
          </xdr:nvSpPr>
          <xdr:spPr>
            <a:xfrm flipH="1" flipV="1">
              <a:off x="14274" y="1379"/>
              <a:ext cx="168" cy="5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3" name="Rectangle 192"/>
            <xdr:cNvSpPr>
              <a:spLocks/>
            </xdr:cNvSpPr>
          </xdr:nvSpPr>
          <xdr:spPr>
            <a:xfrm>
              <a:off x="12463" y="1432"/>
              <a:ext cx="1095" cy="10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4" name="Line 193"/>
            <xdr:cNvSpPr>
              <a:spLocks/>
            </xdr:cNvSpPr>
          </xdr:nvSpPr>
          <xdr:spPr>
            <a:xfrm>
              <a:off x="12421" y="1750"/>
              <a:ext cx="206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5" name="Rectangle 194"/>
            <xdr:cNvSpPr>
              <a:spLocks/>
            </xdr:cNvSpPr>
          </xdr:nvSpPr>
          <xdr:spPr>
            <a:xfrm>
              <a:off x="14063" y="1167"/>
              <a:ext cx="84" cy="212"/>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6" name="Line 195"/>
            <xdr:cNvSpPr>
              <a:spLocks/>
            </xdr:cNvSpPr>
          </xdr:nvSpPr>
          <xdr:spPr>
            <a:xfrm>
              <a:off x="12421" y="795"/>
              <a:ext cx="16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7" name="Line 196"/>
            <xdr:cNvSpPr>
              <a:spLocks/>
            </xdr:cNvSpPr>
          </xdr:nvSpPr>
          <xdr:spPr>
            <a:xfrm>
              <a:off x="12842" y="1114"/>
              <a:ext cx="117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8" name="Arc 197"/>
            <xdr:cNvSpPr>
              <a:spLocks/>
            </xdr:cNvSpPr>
          </xdr:nvSpPr>
          <xdr:spPr>
            <a:xfrm>
              <a:off x="14400" y="1432"/>
              <a:ext cx="210" cy="15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39" name="Arc 198"/>
            <xdr:cNvSpPr>
              <a:spLocks/>
            </xdr:cNvSpPr>
          </xdr:nvSpPr>
          <xdr:spPr>
            <a:xfrm flipV="1">
              <a:off x="14442" y="1591"/>
              <a:ext cx="168" cy="159"/>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0" name="Line 199"/>
            <xdr:cNvSpPr>
              <a:spLocks/>
            </xdr:cNvSpPr>
          </xdr:nvSpPr>
          <xdr:spPr>
            <a:xfrm>
              <a:off x="12884" y="1114"/>
              <a:ext cx="0" cy="21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1" name="Line 200"/>
            <xdr:cNvSpPr>
              <a:spLocks/>
            </xdr:cNvSpPr>
          </xdr:nvSpPr>
          <xdr:spPr>
            <a:xfrm>
              <a:off x="13853" y="1114"/>
              <a:ext cx="0" cy="21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2" name="Line 201"/>
            <xdr:cNvSpPr>
              <a:spLocks/>
            </xdr:cNvSpPr>
          </xdr:nvSpPr>
          <xdr:spPr>
            <a:xfrm>
              <a:off x="12884" y="1326"/>
              <a:ext cx="96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7</xdr:col>
      <xdr:colOff>847725</xdr:colOff>
      <xdr:row>111</xdr:row>
      <xdr:rowOff>76200</xdr:rowOff>
    </xdr:from>
    <xdr:to>
      <xdr:col>7</xdr:col>
      <xdr:colOff>942975</xdr:colOff>
      <xdr:row>114</xdr:row>
      <xdr:rowOff>85725</xdr:rowOff>
    </xdr:to>
    <xdr:sp>
      <xdr:nvSpPr>
        <xdr:cNvPr id="143" name="AutoShape 205"/>
        <xdr:cNvSpPr>
          <a:spLocks/>
        </xdr:cNvSpPr>
      </xdr:nvSpPr>
      <xdr:spPr>
        <a:xfrm>
          <a:off x="7324725" y="19211925"/>
          <a:ext cx="85725" cy="495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847725</xdr:colOff>
      <xdr:row>111</xdr:row>
      <xdr:rowOff>76200</xdr:rowOff>
    </xdr:from>
    <xdr:to>
      <xdr:col>11</xdr:col>
      <xdr:colOff>123825</xdr:colOff>
      <xdr:row>114</xdr:row>
      <xdr:rowOff>66675</xdr:rowOff>
    </xdr:to>
    <xdr:sp>
      <xdr:nvSpPr>
        <xdr:cNvPr id="144" name="AutoShape 206"/>
        <xdr:cNvSpPr>
          <a:spLocks/>
        </xdr:cNvSpPr>
      </xdr:nvSpPr>
      <xdr:spPr>
        <a:xfrm>
          <a:off x="10725150" y="19211925"/>
          <a:ext cx="28575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742950</xdr:colOff>
      <xdr:row>133</xdr:row>
      <xdr:rowOff>123825</xdr:rowOff>
    </xdr:from>
    <xdr:to>
      <xdr:col>6</xdr:col>
      <xdr:colOff>742950</xdr:colOff>
      <xdr:row>150</xdr:row>
      <xdr:rowOff>123825</xdr:rowOff>
    </xdr:to>
    <xdr:sp>
      <xdr:nvSpPr>
        <xdr:cNvPr id="145" name="Line 274"/>
        <xdr:cNvSpPr>
          <a:spLocks/>
        </xdr:cNvSpPr>
      </xdr:nvSpPr>
      <xdr:spPr>
        <a:xfrm>
          <a:off x="6353175" y="22821900"/>
          <a:ext cx="0" cy="2752725"/>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561975</xdr:colOff>
      <xdr:row>149</xdr:row>
      <xdr:rowOff>123825</xdr:rowOff>
    </xdr:from>
    <xdr:to>
      <xdr:col>9</xdr:col>
      <xdr:colOff>666750</xdr:colOff>
      <xdr:row>149</xdr:row>
      <xdr:rowOff>123825</xdr:rowOff>
    </xdr:to>
    <xdr:sp>
      <xdr:nvSpPr>
        <xdr:cNvPr id="146" name="Line 275"/>
        <xdr:cNvSpPr>
          <a:spLocks/>
        </xdr:cNvSpPr>
      </xdr:nvSpPr>
      <xdr:spPr>
        <a:xfrm>
          <a:off x="6172200" y="25412700"/>
          <a:ext cx="3333750" cy="0"/>
        </a:xfrm>
        <a:prstGeom prst="line">
          <a:avLst/>
        </a:prstGeom>
        <a:solidFill>
          <a:srgbClr val="FFFFFF"/>
        </a:solidFill>
        <a:ln w="9525"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742950</xdr:colOff>
      <xdr:row>134</xdr:row>
      <xdr:rowOff>123825</xdr:rowOff>
    </xdr:from>
    <xdr:to>
      <xdr:col>9</xdr:col>
      <xdr:colOff>533400</xdr:colOff>
      <xdr:row>149</xdr:row>
      <xdr:rowOff>123825</xdr:rowOff>
    </xdr:to>
    <xdr:sp>
      <xdr:nvSpPr>
        <xdr:cNvPr id="147" name="Arc 276"/>
        <xdr:cNvSpPr>
          <a:spLocks/>
        </xdr:cNvSpPr>
      </xdr:nvSpPr>
      <xdr:spPr>
        <a:xfrm>
          <a:off x="6353175" y="22983825"/>
          <a:ext cx="3019425" cy="2428875"/>
        </a:xfrm>
        <a:prstGeom prst="arc">
          <a:avLst/>
        </a:prstGeom>
        <a:noFill/>
        <a:ln w="24765" cmpd="sng">
          <a:solidFill>
            <a:srgbClr val="9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762000</xdr:colOff>
      <xdr:row>124</xdr:row>
      <xdr:rowOff>85725</xdr:rowOff>
    </xdr:from>
    <xdr:to>
      <xdr:col>10</xdr:col>
      <xdr:colOff>762000</xdr:colOff>
      <xdr:row>149</xdr:row>
      <xdr:rowOff>133350</xdr:rowOff>
    </xdr:to>
    <xdr:sp>
      <xdr:nvSpPr>
        <xdr:cNvPr id="148" name="Line 277"/>
        <xdr:cNvSpPr>
          <a:spLocks/>
        </xdr:cNvSpPr>
      </xdr:nvSpPr>
      <xdr:spPr>
        <a:xfrm flipV="1">
          <a:off x="6372225" y="21326475"/>
          <a:ext cx="4267200" cy="4095750"/>
        </a:xfrm>
        <a:prstGeom prst="line">
          <a:avLst/>
        </a:prstGeom>
        <a:solidFill>
          <a:srgbClr val="FFFFFF"/>
        </a:solidFill>
        <a:ln w="19050" cmpd="sng">
          <a:solidFill>
            <a:srgbClr val="FF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123825</xdr:colOff>
      <xdr:row>124</xdr:row>
      <xdr:rowOff>85725</xdr:rowOff>
    </xdr:from>
    <xdr:to>
      <xdr:col>10</xdr:col>
      <xdr:colOff>762000</xdr:colOff>
      <xdr:row>163</xdr:row>
      <xdr:rowOff>28575</xdr:rowOff>
    </xdr:to>
    <xdr:sp>
      <xdr:nvSpPr>
        <xdr:cNvPr id="149" name="Line 278"/>
        <xdr:cNvSpPr>
          <a:spLocks/>
        </xdr:cNvSpPr>
      </xdr:nvSpPr>
      <xdr:spPr>
        <a:xfrm flipH="1">
          <a:off x="8963025" y="21326475"/>
          <a:ext cx="1676400" cy="6257925"/>
        </a:xfrm>
        <a:prstGeom prst="line">
          <a:avLst/>
        </a:prstGeom>
        <a:solidFill>
          <a:srgbClr val="FFFFFF"/>
        </a:solidFill>
        <a:ln w="19050" cmpd="sng">
          <a:solidFill>
            <a:srgbClr val="00008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733425</xdr:colOff>
      <xdr:row>150</xdr:row>
      <xdr:rowOff>0</xdr:rowOff>
    </xdr:from>
    <xdr:to>
      <xdr:col>9</xdr:col>
      <xdr:colOff>466725</xdr:colOff>
      <xdr:row>153</xdr:row>
      <xdr:rowOff>76200</xdr:rowOff>
    </xdr:to>
    <xdr:sp>
      <xdr:nvSpPr>
        <xdr:cNvPr id="150" name="Line 279"/>
        <xdr:cNvSpPr>
          <a:spLocks/>
        </xdr:cNvSpPr>
      </xdr:nvSpPr>
      <xdr:spPr>
        <a:xfrm>
          <a:off x="6343650" y="25450800"/>
          <a:ext cx="2962275" cy="561975"/>
        </a:xfrm>
        <a:prstGeom prst="line">
          <a:avLst/>
        </a:prstGeom>
        <a:solidFill>
          <a:srgbClr val="FFFFFF"/>
        </a:solidFill>
        <a:ln w="19050" cmpd="sng">
          <a:solidFill>
            <a:srgbClr val="000000"/>
          </a:solidFill>
          <a:headEnd type="triangl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161925</xdr:colOff>
      <xdr:row>125</xdr:row>
      <xdr:rowOff>38100</xdr:rowOff>
    </xdr:from>
    <xdr:to>
      <xdr:col>11</xdr:col>
      <xdr:colOff>361950</xdr:colOff>
      <xdr:row>129</xdr:row>
      <xdr:rowOff>0</xdr:rowOff>
    </xdr:to>
    <xdr:grpSp>
      <xdr:nvGrpSpPr>
        <xdr:cNvPr id="151" name="Group 280"/>
        <xdr:cNvGrpSpPr>
          <a:grpSpLocks/>
        </xdr:cNvGrpSpPr>
      </xdr:nvGrpSpPr>
      <xdr:grpSpPr>
        <a:xfrm>
          <a:off x="10039350" y="21440775"/>
          <a:ext cx="1209675" cy="609600"/>
          <a:chOff x="10291" y="2637"/>
          <a:chExt cx="5696" cy="2693"/>
        </a:xfrm>
        <a:solidFill>
          <a:srgbClr val="FFFFFF"/>
        </a:solidFill>
      </xdr:grpSpPr>
      <xdr:sp>
        <xdr:nvSpPr>
          <xdr:cNvPr id="152" name="Arc 281"/>
          <xdr:cNvSpPr>
            <a:spLocks/>
          </xdr:cNvSpPr>
        </xdr:nvSpPr>
        <xdr:spPr>
          <a:xfrm flipH="1" flipV="1">
            <a:off x="11521" y="3846"/>
            <a:ext cx="1749" cy="879"/>
          </a:xfrm>
          <a:prstGeom prst="arc">
            <a:avLst/>
          </a:prstGeom>
          <a:noFill/>
          <a:ln w="1" cmpd="sng">
            <a:solidFill>
              <a:srgbClr val="1FB714"/>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3" name="Line 282"/>
          <xdr:cNvSpPr>
            <a:spLocks/>
          </xdr:cNvSpPr>
        </xdr:nvSpPr>
        <xdr:spPr>
          <a:xfrm flipH="1" flipV="1">
            <a:off x="13333" y="4725"/>
            <a:ext cx="2654" cy="605"/>
          </a:xfrm>
          <a:prstGeom prst="line">
            <a:avLst/>
          </a:prstGeom>
          <a:solidFill>
            <a:srgbClr val="FFFFFF"/>
          </a:solidFill>
          <a:ln w="1"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154" name="Line 283"/>
          <xdr:cNvSpPr>
            <a:spLocks/>
          </xdr:cNvSpPr>
        </xdr:nvSpPr>
        <xdr:spPr>
          <a:xfrm>
            <a:off x="10291" y="2637"/>
            <a:ext cx="1230" cy="1264"/>
          </a:xfrm>
          <a:prstGeom prst="line">
            <a:avLst/>
          </a:prstGeom>
          <a:solidFill>
            <a:srgbClr val="FFFFFF"/>
          </a:solidFill>
          <a:ln w="1" cmpd="sng">
            <a:solidFill>
              <a:srgbClr val="1FB714"/>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7</xdr:col>
      <xdr:colOff>266700</xdr:colOff>
      <xdr:row>147</xdr:row>
      <xdr:rowOff>76200</xdr:rowOff>
    </xdr:from>
    <xdr:to>
      <xdr:col>7</xdr:col>
      <xdr:colOff>561975</xdr:colOff>
      <xdr:row>150</xdr:row>
      <xdr:rowOff>123825</xdr:rowOff>
    </xdr:to>
    <xdr:sp>
      <xdr:nvSpPr>
        <xdr:cNvPr id="155" name="Arc 284"/>
        <xdr:cNvSpPr>
          <a:spLocks/>
        </xdr:cNvSpPr>
      </xdr:nvSpPr>
      <xdr:spPr>
        <a:xfrm>
          <a:off x="6743700" y="25041225"/>
          <a:ext cx="295275" cy="533400"/>
        </a:xfrm>
        <a:prstGeom prst="arc">
          <a:avLst>
            <a:gd name="adj" fmla="val 16021328"/>
          </a:avLst>
        </a:prstGeom>
        <a:noFill/>
        <a:ln w="1" cmpd="sng">
          <a:solidFill>
            <a:srgbClr val="0000D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28575</xdr:colOff>
      <xdr:row>146</xdr:row>
      <xdr:rowOff>66675</xdr:rowOff>
    </xdr:from>
    <xdr:to>
      <xdr:col>7</xdr:col>
      <xdr:colOff>266700</xdr:colOff>
      <xdr:row>147</xdr:row>
      <xdr:rowOff>66675</xdr:rowOff>
    </xdr:to>
    <xdr:sp>
      <xdr:nvSpPr>
        <xdr:cNvPr id="156" name="Line 285"/>
        <xdr:cNvSpPr>
          <a:spLocks/>
        </xdr:cNvSpPr>
      </xdr:nvSpPr>
      <xdr:spPr>
        <a:xfrm>
          <a:off x="6505575" y="24869775"/>
          <a:ext cx="228600" cy="161925"/>
        </a:xfrm>
        <a:prstGeom prst="line">
          <a:avLst/>
        </a:prstGeom>
        <a:solidFill>
          <a:srgbClr val="FFFFFF"/>
        </a:solidFill>
        <a:ln w="1" cmpd="sng">
          <a:solidFill>
            <a:srgbClr val="0000D4"/>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104775</xdr:colOff>
      <xdr:row>150</xdr:row>
      <xdr:rowOff>152400</xdr:rowOff>
    </xdr:from>
    <xdr:to>
      <xdr:col>7</xdr:col>
      <xdr:colOff>447675</xdr:colOff>
      <xdr:row>155</xdr:row>
      <xdr:rowOff>0</xdr:rowOff>
    </xdr:to>
    <xdr:sp>
      <xdr:nvSpPr>
        <xdr:cNvPr id="157" name="Line 286"/>
        <xdr:cNvSpPr>
          <a:spLocks/>
        </xdr:cNvSpPr>
      </xdr:nvSpPr>
      <xdr:spPr>
        <a:xfrm flipV="1">
          <a:off x="6581775" y="25603200"/>
          <a:ext cx="342900" cy="657225"/>
        </a:xfrm>
        <a:prstGeom prst="line">
          <a:avLst/>
        </a:prstGeom>
        <a:solidFill>
          <a:srgbClr val="FFFFFF"/>
        </a:solidFill>
        <a:ln w="1" cmpd="sng">
          <a:solidFill>
            <a:srgbClr val="0000D4"/>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876300</xdr:colOff>
      <xdr:row>146</xdr:row>
      <xdr:rowOff>66675</xdr:rowOff>
    </xdr:from>
    <xdr:to>
      <xdr:col>9</xdr:col>
      <xdr:colOff>714375</xdr:colOff>
      <xdr:row>152</xdr:row>
      <xdr:rowOff>152400</xdr:rowOff>
    </xdr:to>
    <xdr:grpSp>
      <xdr:nvGrpSpPr>
        <xdr:cNvPr id="158" name="Group 287"/>
        <xdr:cNvGrpSpPr>
          <a:grpSpLocks/>
        </xdr:cNvGrpSpPr>
      </xdr:nvGrpSpPr>
      <xdr:grpSpPr>
        <a:xfrm>
          <a:off x="8467725" y="24869775"/>
          <a:ext cx="1085850" cy="1057275"/>
          <a:chOff x="7767" y="9780"/>
          <a:chExt cx="4207" cy="4671"/>
        </a:xfrm>
        <a:solidFill>
          <a:srgbClr val="FFFFFF"/>
        </a:solidFill>
      </xdr:grpSpPr>
      <xdr:sp>
        <xdr:nvSpPr>
          <xdr:cNvPr id="159" name="Arc 288"/>
          <xdr:cNvSpPr>
            <a:spLocks/>
          </xdr:cNvSpPr>
        </xdr:nvSpPr>
        <xdr:spPr>
          <a:xfrm flipH="1">
            <a:off x="7767" y="9835"/>
            <a:ext cx="3301" cy="4066"/>
          </a:xfrm>
          <a:prstGeom prst="arc">
            <a:avLst/>
          </a:prstGeom>
          <a:noFill/>
          <a:ln w="1" cmpd="sng">
            <a:solidFill>
              <a:srgbClr val="DD0806"/>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0" name="Line 289"/>
          <xdr:cNvSpPr>
            <a:spLocks/>
          </xdr:cNvSpPr>
        </xdr:nvSpPr>
        <xdr:spPr>
          <a:xfrm flipV="1">
            <a:off x="11003" y="9780"/>
            <a:ext cx="971" cy="55"/>
          </a:xfrm>
          <a:prstGeom prst="line">
            <a:avLst/>
          </a:prstGeom>
          <a:solidFill>
            <a:srgbClr val="FFFFFF"/>
          </a:solidFill>
          <a:ln w="9525" cmpd="sng">
            <a:solidFill>
              <a:srgbClr val="DD0806"/>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161" name="Line 290"/>
          <xdr:cNvSpPr>
            <a:spLocks/>
          </xdr:cNvSpPr>
        </xdr:nvSpPr>
        <xdr:spPr>
          <a:xfrm>
            <a:off x="7767" y="13901"/>
            <a:ext cx="0" cy="550"/>
          </a:xfrm>
          <a:prstGeom prst="line">
            <a:avLst/>
          </a:prstGeom>
          <a:solidFill>
            <a:srgbClr val="FFFFFF"/>
          </a:solidFill>
          <a:ln w="1" cmpd="sng">
            <a:solidFill>
              <a:srgbClr val="DD0806"/>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495300</xdr:colOff>
      <xdr:row>123</xdr:row>
      <xdr:rowOff>38100</xdr:rowOff>
    </xdr:from>
    <xdr:to>
      <xdr:col>11</xdr:col>
      <xdr:colOff>247650</xdr:colOff>
      <xdr:row>124</xdr:row>
      <xdr:rowOff>95250</xdr:rowOff>
    </xdr:to>
    <xdr:grpSp>
      <xdr:nvGrpSpPr>
        <xdr:cNvPr id="162" name="Group 291"/>
        <xdr:cNvGrpSpPr>
          <a:grpSpLocks/>
        </xdr:cNvGrpSpPr>
      </xdr:nvGrpSpPr>
      <xdr:grpSpPr>
        <a:xfrm>
          <a:off x="10372725" y="21116925"/>
          <a:ext cx="762000" cy="219075"/>
          <a:chOff x="13010" y="-549"/>
          <a:chExt cx="3365" cy="989"/>
        </a:xfrm>
        <a:solidFill>
          <a:srgbClr val="FFFFFF"/>
        </a:solidFill>
      </xdr:grpSpPr>
      <xdr:sp>
        <xdr:nvSpPr>
          <xdr:cNvPr id="163" name="Line 292"/>
          <xdr:cNvSpPr>
            <a:spLocks/>
          </xdr:cNvSpPr>
        </xdr:nvSpPr>
        <xdr:spPr>
          <a:xfrm flipH="1">
            <a:off x="13010" y="-549"/>
            <a:ext cx="0" cy="98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4" name="Arc 293"/>
          <xdr:cNvSpPr>
            <a:spLocks/>
          </xdr:cNvSpPr>
        </xdr:nvSpPr>
        <xdr:spPr>
          <a:xfrm>
            <a:off x="15340" y="-219"/>
            <a:ext cx="518" cy="274"/>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5" name="Line 294"/>
          <xdr:cNvSpPr>
            <a:spLocks/>
          </xdr:cNvSpPr>
        </xdr:nvSpPr>
        <xdr:spPr>
          <a:xfrm>
            <a:off x="13269" y="-549"/>
            <a:ext cx="388" cy="33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6" name="Line 295"/>
          <xdr:cNvSpPr>
            <a:spLocks/>
          </xdr:cNvSpPr>
        </xdr:nvSpPr>
        <xdr:spPr>
          <a:xfrm flipH="1" flipV="1">
            <a:off x="15858" y="55"/>
            <a:ext cx="259" cy="5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7" name="Rectangle 296"/>
          <xdr:cNvSpPr>
            <a:spLocks/>
          </xdr:cNvSpPr>
        </xdr:nvSpPr>
        <xdr:spPr>
          <a:xfrm>
            <a:off x="13075" y="110"/>
            <a:ext cx="1682" cy="11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8" name="Line 297"/>
          <xdr:cNvSpPr>
            <a:spLocks/>
          </xdr:cNvSpPr>
        </xdr:nvSpPr>
        <xdr:spPr>
          <a:xfrm>
            <a:off x="13010" y="440"/>
            <a:ext cx="317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69" name="Rectangle 298"/>
          <xdr:cNvSpPr>
            <a:spLocks/>
          </xdr:cNvSpPr>
        </xdr:nvSpPr>
        <xdr:spPr>
          <a:xfrm>
            <a:off x="15534" y="-164"/>
            <a:ext cx="129" cy="219"/>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0" name="Line 299"/>
          <xdr:cNvSpPr>
            <a:spLocks/>
          </xdr:cNvSpPr>
        </xdr:nvSpPr>
        <xdr:spPr>
          <a:xfrm>
            <a:off x="13010" y="-549"/>
            <a:ext cx="25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1" name="Line 300"/>
          <xdr:cNvSpPr>
            <a:spLocks/>
          </xdr:cNvSpPr>
        </xdr:nvSpPr>
        <xdr:spPr>
          <a:xfrm>
            <a:off x="13657" y="-219"/>
            <a:ext cx="181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2" name="Arc 301"/>
          <xdr:cNvSpPr>
            <a:spLocks/>
          </xdr:cNvSpPr>
        </xdr:nvSpPr>
        <xdr:spPr>
          <a:xfrm>
            <a:off x="16052" y="110"/>
            <a:ext cx="323" cy="16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3" name="Arc 302"/>
          <xdr:cNvSpPr>
            <a:spLocks/>
          </xdr:cNvSpPr>
        </xdr:nvSpPr>
        <xdr:spPr>
          <a:xfrm flipV="1">
            <a:off x="16117" y="275"/>
            <a:ext cx="258" cy="16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4" name="Line 303"/>
          <xdr:cNvSpPr>
            <a:spLocks/>
          </xdr:cNvSpPr>
        </xdr:nvSpPr>
        <xdr:spPr>
          <a:xfrm>
            <a:off x="13722" y="-219"/>
            <a:ext cx="0" cy="2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5" name="Line 304"/>
          <xdr:cNvSpPr>
            <a:spLocks/>
          </xdr:cNvSpPr>
        </xdr:nvSpPr>
        <xdr:spPr>
          <a:xfrm>
            <a:off x="15210" y="-219"/>
            <a:ext cx="0" cy="2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76" name="Line 305"/>
          <xdr:cNvSpPr>
            <a:spLocks/>
          </xdr:cNvSpPr>
        </xdr:nvSpPr>
        <xdr:spPr>
          <a:xfrm>
            <a:off x="13722" y="0"/>
            <a:ext cx="1488"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6</xdr:col>
      <xdr:colOff>742950</xdr:colOff>
      <xdr:row>149</xdr:row>
      <xdr:rowOff>152400</xdr:rowOff>
    </xdr:from>
    <xdr:to>
      <xdr:col>9</xdr:col>
      <xdr:colOff>533400</xdr:colOff>
      <xdr:row>164</xdr:row>
      <xdr:rowOff>152400</xdr:rowOff>
    </xdr:to>
    <xdr:sp>
      <xdr:nvSpPr>
        <xdr:cNvPr id="177" name="Arc 306"/>
        <xdr:cNvSpPr>
          <a:spLocks/>
        </xdr:cNvSpPr>
      </xdr:nvSpPr>
      <xdr:spPr>
        <a:xfrm flipV="1">
          <a:off x="6353175" y="25441275"/>
          <a:ext cx="3019425" cy="2428875"/>
        </a:xfrm>
        <a:prstGeom prst="arc">
          <a:avLst/>
        </a:prstGeom>
        <a:noFill/>
        <a:ln w="24765" cmpd="sng">
          <a:solidFill>
            <a:srgbClr val="9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542925</xdr:colOff>
      <xdr:row>153</xdr:row>
      <xdr:rowOff>85725</xdr:rowOff>
    </xdr:from>
    <xdr:to>
      <xdr:col>9</xdr:col>
      <xdr:colOff>809625</xdr:colOff>
      <xdr:row>153</xdr:row>
      <xdr:rowOff>85725</xdr:rowOff>
    </xdr:to>
    <xdr:sp>
      <xdr:nvSpPr>
        <xdr:cNvPr id="178" name="Line 307"/>
        <xdr:cNvSpPr>
          <a:spLocks/>
        </xdr:cNvSpPr>
      </xdr:nvSpPr>
      <xdr:spPr>
        <a:xfrm flipH="1">
          <a:off x="9382125" y="26022300"/>
          <a:ext cx="266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828675</xdr:colOff>
      <xdr:row>164</xdr:row>
      <xdr:rowOff>47625</xdr:rowOff>
    </xdr:from>
    <xdr:to>
      <xdr:col>3</xdr:col>
      <xdr:colOff>47625</xdr:colOff>
      <xdr:row>167</xdr:row>
      <xdr:rowOff>66675</xdr:rowOff>
    </xdr:to>
    <xdr:sp>
      <xdr:nvSpPr>
        <xdr:cNvPr id="179" name="AutoShape 310"/>
        <xdr:cNvSpPr>
          <a:spLocks/>
        </xdr:cNvSpPr>
      </xdr:nvSpPr>
      <xdr:spPr>
        <a:xfrm>
          <a:off x="2219325" y="27765375"/>
          <a:ext cx="190500" cy="5048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438150</xdr:colOff>
      <xdr:row>164</xdr:row>
      <xdr:rowOff>28575</xdr:rowOff>
    </xdr:from>
    <xdr:to>
      <xdr:col>6</xdr:col>
      <xdr:colOff>571500</xdr:colOff>
      <xdr:row>167</xdr:row>
      <xdr:rowOff>9525</xdr:rowOff>
    </xdr:to>
    <xdr:sp>
      <xdr:nvSpPr>
        <xdr:cNvPr id="180" name="AutoShape 311"/>
        <xdr:cNvSpPr>
          <a:spLocks/>
        </xdr:cNvSpPr>
      </xdr:nvSpPr>
      <xdr:spPr>
        <a:xfrm>
          <a:off x="6048375" y="27746325"/>
          <a:ext cx="142875" cy="4667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647700</xdr:colOff>
      <xdr:row>115</xdr:row>
      <xdr:rowOff>95250</xdr:rowOff>
    </xdr:from>
    <xdr:to>
      <xdr:col>11</xdr:col>
      <xdr:colOff>695325</xdr:colOff>
      <xdr:row>115</xdr:row>
      <xdr:rowOff>95250</xdr:rowOff>
    </xdr:to>
    <xdr:sp>
      <xdr:nvSpPr>
        <xdr:cNvPr id="181" name="Line 314"/>
        <xdr:cNvSpPr>
          <a:spLocks/>
        </xdr:cNvSpPr>
      </xdr:nvSpPr>
      <xdr:spPr>
        <a:xfrm flipV="1">
          <a:off x="2038350" y="19878675"/>
          <a:ext cx="95440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628650</xdr:colOff>
      <xdr:row>115</xdr:row>
      <xdr:rowOff>95250</xdr:rowOff>
    </xdr:from>
    <xdr:to>
      <xdr:col>2</xdr:col>
      <xdr:colOff>628650</xdr:colOff>
      <xdr:row>173</xdr:row>
      <xdr:rowOff>9525</xdr:rowOff>
    </xdr:to>
    <xdr:sp>
      <xdr:nvSpPr>
        <xdr:cNvPr id="182" name="Line 315"/>
        <xdr:cNvSpPr>
          <a:spLocks/>
        </xdr:cNvSpPr>
      </xdr:nvSpPr>
      <xdr:spPr>
        <a:xfrm flipH="1">
          <a:off x="2019300" y="19878675"/>
          <a:ext cx="0" cy="93059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704850</xdr:colOff>
      <xdr:row>115</xdr:row>
      <xdr:rowOff>95250</xdr:rowOff>
    </xdr:from>
    <xdr:to>
      <xdr:col>11</xdr:col>
      <xdr:colOff>704850</xdr:colOff>
      <xdr:row>173</xdr:row>
      <xdr:rowOff>9525</xdr:rowOff>
    </xdr:to>
    <xdr:sp>
      <xdr:nvSpPr>
        <xdr:cNvPr id="183" name="Line 316"/>
        <xdr:cNvSpPr>
          <a:spLocks/>
        </xdr:cNvSpPr>
      </xdr:nvSpPr>
      <xdr:spPr>
        <a:xfrm flipH="1">
          <a:off x="11591925" y="19878675"/>
          <a:ext cx="0" cy="93059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647700</xdr:colOff>
      <xdr:row>173</xdr:row>
      <xdr:rowOff>9525</xdr:rowOff>
    </xdr:from>
    <xdr:to>
      <xdr:col>11</xdr:col>
      <xdr:colOff>695325</xdr:colOff>
      <xdr:row>173</xdr:row>
      <xdr:rowOff>9525</xdr:rowOff>
    </xdr:to>
    <xdr:sp>
      <xdr:nvSpPr>
        <xdr:cNvPr id="184" name="Line 317"/>
        <xdr:cNvSpPr>
          <a:spLocks/>
        </xdr:cNvSpPr>
      </xdr:nvSpPr>
      <xdr:spPr>
        <a:xfrm flipV="1">
          <a:off x="2038350" y="29184600"/>
          <a:ext cx="95440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ol.jsc.nasa.gov/sseop/FootprintCalculator.xls" TargetMode="External" /><Relationship Id="rId2" Type="http://schemas.openxmlformats.org/officeDocument/2006/relationships/hyperlink" Target="mailto:earthweb@ems.jsc.nasa.gov" TargetMode="Externa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O138"/>
  <sheetViews>
    <sheetView tabSelected="1" workbookViewId="0" topLeftCell="A1">
      <selection activeCell="A1" sqref="A1"/>
    </sheetView>
  </sheetViews>
  <sheetFormatPr defaultColWidth="9.00390625" defaultRowHeight="12.75"/>
  <cols>
    <col min="1" max="1" width="3.25390625" style="0" customWidth="1"/>
    <col min="2" max="4" width="11.375" style="0" customWidth="1"/>
    <col min="5" max="5" width="12.125" style="0" customWidth="1"/>
    <col min="6" max="12" width="11.375" style="0" customWidth="1"/>
    <col min="13" max="13" width="11.875" style="0" customWidth="1"/>
    <col min="14" max="16384" width="11.375" style="0" customWidth="1"/>
  </cols>
  <sheetData>
    <row r="1" spans="1:15" ht="26.25">
      <c r="A1" s="675" t="s">
        <v>843</v>
      </c>
      <c r="B1" s="249"/>
      <c r="C1" s="249"/>
      <c r="D1" s="249"/>
      <c r="E1" s="249"/>
      <c r="F1" s="249"/>
      <c r="G1" s="249"/>
      <c r="H1" s="249"/>
      <c r="I1" s="249"/>
      <c r="J1" s="249"/>
      <c r="K1" s="249"/>
      <c r="L1" s="249"/>
      <c r="M1" s="677"/>
      <c r="N1" s="677"/>
      <c r="O1" s="678"/>
    </row>
    <row r="2" spans="1:15" ht="23.25">
      <c r="A2" s="676" t="s">
        <v>946</v>
      </c>
      <c r="B2" s="465"/>
      <c r="C2" s="294"/>
      <c r="D2" s="294"/>
      <c r="E2" s="294"/>
      <c r="F2" s="294"/>
      <c r="G2" s="294"/>
      <c r="H2" s="294"/>
      <c r="I2" s="294"/>
      <c r="J2" s="294"/>
      <c r="K2" s="294"/>
      <c r="L2" s="294"/>
      <c r="M2" s="677"/>
      <c r="N2" s="677"/>
      <c r="O2" s="678"/>
    </row>
    <row r="3" spans="1:12" ht="12.75">
      <c r="A3" s="247"/>
      <c r="B3" s="63"/>
      <c r="C3" s="63"/>
      <c r="D3" s="63"/>
      <c r="E3" s="63"/>
      <c r="F3" s="63"/>
      <c r="G3" s="63"/>
      <c r="H3" s="63"/>
      <c r="I3" s="63"/>
      <c r="J3" s="63"/>
      <c r="K3" s="63"/>
      <c r="L3" s="63"/>
    </row>
    <row r="4" spans="1:12" ht="15.75">
      <c r="A4" s="250" t="s">
        <v>329</v>
      </c>
      <c r="B4" s="251"/>
      <c r="C4" s="251"/>
      <c r="D4" s="251"/>
      <c r="E4" s="251"/>
      <c r="F4" s="251"/>
      <c r="G4" s="251"/>
      <c r="H4" s="251"/>
      <c r="I4" s="251"/>
      <c r="J4" s="251"/>
      <c r="K4" s="251"/>
      <c r="L4" s="251"/>
    </row>
    <row r="6" spans="1:2" ht="15.75">
      <c r="A6" s="11"/>
      <c r="B6" s="11" t="s">
        <v>341</v>
      </c>
    </row>
    <row r="7" ht="12.75">
      <c r="B7" s="124" t="s">
        <v>410</v>
      </c>
    </row>
    <row r="8" ht="12.75">
      <c r="B8" s="124" t="s">
        <v>331</v>
      </c>
    </row>
    <row r="9" ht="12.75">
      <c r="B9" s="124"/>
    </row>
    <row r="10" ht="19.5" customHeight="1" thickBot="1"/>
    <row r="11" spans="2:12" ht="22.5" customHeight="1">
      <c r="B11" s="256" t="s">
        <v>849</v>
      </c>
      <c r="C11" s="252"/>
      <c r="D11" s="252"/>
      <c r="E11" s="252"/>
      <c r="F11" s="252"/>
      <c r="G11" s="252"/>
      <c r="H11" s="252"/>
      <c r="I11" s="252"/>
      <c r="J11" s="252"/>
      <c r="K11" s="252"/>
      <c r="L11" s="253"/>
    </row>
    <row r="12" spans="2:12" ht="18">
      <c r="B12" s="415" t="s">
        <v>940</v>
      </c>
      <c r="C12" s="416"/>
      <c r="D12" s="416"/>
      <c r="E12" s="416"/>
      <c r="F12" s="416"/>
      <c r="G12" s="416"/>
      <c r="H12" s="416"/>
      <c r="I12" s="416"/>
      <c r="J12" s="416"/>
      <c r="K12" s="416"/>
      <c r="L12" s="417"/>
    </row>
    <row r="13" spans="2:12" ht="18" customHeight="1" thickBot="1">
      <c r="B13" s="257" t="s">
        <v>590</v>
      </c>
      <c r="C13" s="254"/>
      <c r="D13" s="254"/>
      <c r="E13" s="254"/>
      <c r="F13" s="254"/>
      <c r="G13" s="254"/>
      <c r="H13" s="254"/>
      <c r="I13" s="254"/>
      <c r="J13" s="254"/>
      <c r="K13" s="254"/>
      <c r="L13" s="255"/>
    </row>
    <row r="14" spans="2:12" ht="24" customHeight="1" thickBot="1">
      <c r="B14" s="427"/>
      <c r="C14" s="428"/>
      <c r="D14" s="428"/>
      <c r="E14" s="428"/>
      <c r="F14" s="428"/>
      <c r="G14" s="428"/>
      <c r="H14" s="428"/>
      <c r="I14" s="428"/>
      <c r="J14" s="428"/>
      <c r="K14" s="428"/>
      <c r="L14" s="428"/>
    </row>
    <row r="15" spans="2:12" ht="24" thickBot="1">
      <c r="B15" s="686" t="s">
        <v>1037</v>
      </c>
      <c r="C15" s="495"/>
      <c r="D15" s="495"/>
      <c r="E15" s="495"/>
      <c r="F15" s="495"/>
      <c r="G15" s="495"/>
      <c r="H15" s="495"/>
      <c r="I15" s="495"/>
      <c r="J15" s="495"/>
      <c r="K15" s="495"/>
      <c r="L15" s="687"/>
    </row>
    <row r="17" spans="1:12" ht="15.75">
      <c r="A17" s="11" t="s">
        <v>591</v>
      </c>
      <c r="F17" s="5"/>
      <c r="G17" s="5"/>
      <c r="H17" s="5"/>
      <c r="I17" s="124" t="s">
        <v>549</v>
      </c>
      <c r="J17" s="5"/>
      <c r="K17" s="5"/>
      <c r="L17" s="5"/>
    </row>
    <row r="18" spans="6:12" ht="12.75">
      <c r="F18" s="5"/>
      <c r="G18" s="5"/>
      <c r="H18" s="5"/>
      <c r="I18" s="5"/>
      <c r="J18" s="22"/>
      <c r="K18" s="5"/>
      <c r="L18" s="5"/>
    </row>
    <row r="19" spans="1:13" ht="12.75">
      <c r="A19" s="274" t="s">
        <v>1194</v>
      </c>
      <c r="B19" t="s">
        <v>1306</v>
      </c>
      <c r="F19" s="5"/>
      <c r="G19" s="5"/>
      <c r="I19" s="5"/>
      <c r="K19" s="5"/>
      <c r="L19" s="124"/>
      <c r="M19" s="5"/>
    </row>
    <row r="20" spans="1:13" ht="12.75">
      <c r="A20" s="274"/>
      <c r="F20" s="5"/>
      <c r="G20" s="5"/>
      <c r="H20" s="5"/>
      <c r="I20" s="5"/>
      <c r="J20" s="5"/>
      <c r="K20" s="5"/>
      <c r="M20" s="5"/>
    </row>
    <row r="21" spans="1:11" ht="12.75">
      <c r="A21" s="274" t="s">
        <v>237</v>
      </c>
      <c r="B21" t="s">
        <v>425</v>
      </c>
      <c r="F21" s="5"/>
      <c r="G21" s="5"/>
      <c r="H21" s="5"/>
      <c r="I21" s="5"/>
      <c r="J21" s="5"/>
      <c r="K21" s="5"/>
    </row>
    <row r="22" spans="1:11" ht="12.75">
      <c r="A22" s="274"/>
      <c r="B22" t="s">
        <v>898</v>
      </c>
      <c r="F22" s="5"/>
      <c r="G22" s="5"/>
      <c r="H22" s="5"/>
      <c r="I22" s="5"/>
      <c r="J22" s="5"/>
      <c r="K22" s="5"/>
    </row>
    <row r="23" spans="1:11" ht="12.75">
      <c r="A23" s="274"/>
      <c r="F23" s="5"/>
      <c r="G23" s="5"/>
      <c r="H23" s="22" t="s">
        <v>1127</v>
      </c>
      <c r="I23" s="5"/>
      <c r="J23" s="5"/>
      <c r="K23" s="5"/>
    </row>
    <row r="24" spans="1:12" ht="12.75">
      <c r="A24" s="274" t="s">
        <v>534</v>
      </c>
      <c r="B24" t="s">
        <v>895</v>
      </c>
      <c r="F24" s="5"/>
      <c r="G24" s="5"/>
      <c r="H24" s="5"/>
      <c r="I24" s="5"/>
      <c r="J24" s="5"/>
      <c r="K24" s="5"/>
      <c r="L24" s="5"/>
    </row>
    <row r="25" spans="2:12" ht="12.75">
      <c r="B25" t="s">
        <v>1169</v>
      </c>
      <c r="F25" s="5"/>
      <c r="G25" s="5"/>
      <c r="H25" s="5"/>
      <c r="I25" s="5"/>
      <c r="J25" s="5"/>
      <c r="L25" s="5"/>
    </row>
    <row r="26" spans="4:12" ht="12.75">
      <c r="D26" s="5"/>
      <c r="E26" s="5"/>
      <c r="F26" s="5"/>
      <c r="G26" s="5"/>
      <c r="I26" s="5"/>
      <c r="L26" s="5"/>
    </row>
    <row r="27" spans="1:12" ht="12.75">
      <c r="A27" s="274" t="s">
        <v>600</v>
      </c>
      <c r="B27" t="s">
        <v>1313</v>
      </c>
      <c r="D27" s="5"/>
      <c r="E27" s="5"/>
      <c r="G27" s="5"/>
      <c r="H27" s="22" t="s">
        <v>430</v>
      </c>
      <c r="I27" s="124"/>
      <c r="J27" s="5"/>
      <c r="K27" s="124"/>
      <c r="L27" s="5"/>
    </row>
    <row r="28" spans="2:12" ht="12.75">
      <c r="B28" s="5" t="s">
        <v>1014</v>
      </c>
      <c r="D28" s="5"/>
      <c r="E28" s="5"/>
      <c r="F28" s="5"/>
      <c r="G28" s="5"/>
      <c r="H28" s="418" t="s">
        <v>431</v>
      </c>
      <c r="I28" s="5"/>
      <c r="J28" s="5"/>
      <c r="K28" s="22" t="s">
        <v>756</v>
      </c>
      <c r="L28" s="5"/>
    </row>
    <row r="29" spans="2:12" ht="12.75">
      <c r="B29" s="5" t="s">
        <v>896</v>
      </c>
      <c r="C29" s="5"/>
      <c r="D29" s="5"/>
      <c r="E29" s="5"/>
      <c r="F29" s="5"/>
      <c r="G29" s="5"/>
      <c r="H29" s="5"/>
      <c r="I29" s="5"/>
      <c r="J29" s="5"/>
      <c r="K29" s="22" t="s">
        <v>894</v>
      </c>
      <c r="L29" s="5"/>
    </row>
    <row r="30" spans="2:12" ht="12.75">
      <c r="B30" s="5"/>
      <c r="C30" s="5"/>
      <c r="D30" s="5"/>
      <c r="E30" s="5"/>
      <c r="F30" s="5"/>
      <c r="G30" s="5"/>
      <c r="H30" s="5"/>
      <c r="I30" s="5"/>
      <c r="J30" s="5"/>
      <c r="K30" s="22"/>
      <c r="L30" s="5"/>
    </row>
    <row r="31" spans="1:12" ht="12.75">
      <c r="A31" s="274" t="s">
        <v>1782</v>
      </c>
      <c r="B31" s="52" t="s">
        <v>1013</v>
      </c>
      <c r="C31" s="5"/>
      <c r="D31" s="5"/>
      <c r="E31" s="5"/>
      <c r="F31" s="5"/>
      <c r="G31" s="5"/>
      <c r="H31" s="5"/>
      <c r="I31" s="5"/>
      <c r="J31" s="5"/>
      <c r="K31" s="22"/>
      <c r="L31" s="5"/>
    </row>
    <row r="32" spans="1:12" ht="12.75">
      <c r="A32" s="274"/>
      <c r="B32" s="52"/>
      <c r="C32" s="5"/>
      <c r="D32" s="5"/>
      <c r="E32" s="5"/>
      <c r="F32" s="5"/>
      <c r="G32" s="5"/>
      <c r="H32" s="5"/>
      <c r="I32" s="5"/>
      <c r="J32" s="5"/>
      <c r="K32" s="22"/>
      <c r="L32" s="5"/>
    </row>
    <row r="33" spans="3:12" ht="12.75">
      <c r="C33" s="5"/>
      <c r="D33" s="5"/>
      <c r="E33" s="5"/>
      <c r="F33" s="5"/>
      <c r="G33" s="5"/>
      <c r="I33" s="5"/>
      <c r="J33" s="5"/>
      <c r="K33" s="22"/>
      <c r="L33" s="5"/>
    </row>
    <row r="34" spans="1:12" ht="18">
      <c r="A34" s="172" t="s">
        <v>1123</v>
      </c>
      <c r="B34" s="5"/>
      <c r="C34" s="5"/>
      <c r="D34" s="5"/>
      <c r="E34" s="5"/>
      <c r="F34" s="5"/>
      <c r="G34" s="5"/>
      <c r="H34" s="5"/>
      <c r="I34" s="5"/>
      <c r="J34" s="5"/>
      <c r="K34" s="5"/>
      <c r="L34" s="5"/>
    </row>
    <row r="35" spans="2:12" ht="12.75">
      <c r="B35" s="5"/>
      <c r="C35" s="5"/>
      <c r="D35" s="5"/>
      <c r="E35" s="5"/>
      <c r="F35" s="5"/>
      <c r="G35" s="5"/>
      <c r="H35" s="5"/>
      <c r="I35" s="5"/>
      <c r="J35" s="5"/>
      <c r="K35" s="5"/>
      <c r="L35" s="5"/>
    </row>
    <row r="36" spans="1:12" ht="15.75">
      <c r="A36" s="296" t="s">
        <v>1124</v>
      </c>
      <c r="B36" s="16" t="s">
        <v>1009</v>
      </c>
      <c r="C36" s="5"/>
      <c r="D36" s="5"/>
      <c r="E36" s="5"/>
      <c r="F36" s="5"/>
      <c r="G36" s="5"/>
      <c r="H36" s="5"/>
      <c r="I36" s="5"/>
      <c r="J36" s="5"/>
      <c r="K36" s="5"/>
      <c r="L36" s="5"/>
    </row>
    <row r="37" spans="1:12" ht="15.75">
      <c r="A37" s="124"/>
      <c r="B37" s="16" t="s">
        <v>592</v>
      </c>
      <c r="C37" s="5"/>
      <c r="D37" s="5"/>
      <c r="E37" s="5"/>
      <c r="F37" s="5"/>
      <c r="G37" s="5"/>
      <c r="H37" s="5"/>
      <c r="I37" s="5"/>
      <c r="J37" s="5"/>
      <c r="K37" s="5"/>
      <c r="L37" s="5"/>
    </row>
    <row r="38" spans="2:12" ht="12.75">
      <c r="B38" s="5"/>
      <c r="C38" s="5"/>
      <c r="D38" s="5"/>
      <c r="E38" s="5"/>
      <c r="F38" s="5"/>
      <c r="G38" s="5"/>
      <c r="H38" s="22" t="s">
        <v>415</v>
      </c>
      <c r="I38" s="5"/>
      <c r="J38" s="5"/>
      <c r="K38" s="5"/>
      <c r="L38" s="5"/>
    </row>
    <row r="39" spans="1:12" ht="12.75">
      <c r="A39" s="274"/>
      <c r="B39" s="124" t="s">
        <v>593</v>
      </c>
      <c r="C39" s="5"/>
      <c r="D39" s="5"/>
      <c r="E39" s="52"/>
      <c r="F39" s="5"/>
      <c r="G39" s="5"/>
      <c r="H39" s="5"/>
      <c r="I39" s="5"/>
      <c r="J39" s="5"/>
      <c r="K39" s="5"/>
      <c r="L39" s="5"/>
    </row>
    <row r="40" spans="3:12" ht="12.75">
      <c r="C40" s="5"/>
      <c r="D40" s="5"/>
      <c r="E40" s="5"/>
      <c r="F40" s="5"/>
      <c r="G40" s="5"/>
      <c r="H40" s="22"/>
      <c r="I40" s="5"/>
      <c r="J40" s="5"/>
      <c r="K40" s="5"/>
      <c r="L40" s="5"/>
    </row>
    <row r="41" spans="2:12" ht="12.75">
      <c r="B41" t="s">
        <v>777</v>
      </c>
      <c r="C41" s="5"/>
      <c r="D41" s="5"/>
      <c r="E41" s="5"/>
      <c r="F41" s="5"/>
      <c r="G41" s="5"/>
      <c r="H41" s="5"/>
      <c r="I41" s="5"/>
      <c r="J41" s="5"/>
      <c r="K41" s="5"/>
      <c r="L41" s="5"/>
    </row>
    <row r="42" spans="2:12" ht="12.75">
      <c r="B42" t="s">
        <v>509</v>
      </c>
      <c r="C42" s="5"/>
      <c r="D42" s="5"/>
      <c r="E42" s="5"/>
      <c r="F42" s="5"/>
      <c r="G42" s="5"/>
      <c r="H42" s="5"/>
      <c r="I42" s="5"/>
      <c r="J42" s="5"/>
      <c r="K42" s="5"/>
      <c r="L42" s="5"/>
    </row>
    <row r="43" spans="2:12" ht="12.75">
      <c r="B43" t="s">
        <v>416</v>
      </c>
      <c r="C43" s="5"/>
      <c r="D43" s="5"/>
      <c r="E43" s="5"/>
      <c r="F43" s="5"/>
      <c r="G43" s="5"/>
      <c r="H43" s="5"/>
      <c r="J43" s="5"/>
      <c r="L43" s="5"/>
    </row>
    <row r="44" spans="2:12" ht="12.75">
      <c r="B44" t="s">
        <v>464</v>
      </c>
      <c r="C44" s="5"/>
      <c r="D44" s="5"/>
      <c r="E44" s="5"/>
      <c r="F44" s="5"/>
      <c r="G44" s="5"/>
      <c r="H44" s="5"/>
      <c r="J44" s="5"/>
      <c r="L44" s="5"/>
    </row>
    <row r="45" spans="3:12" ht="12.75">
      <c r="C45" s="5"/>
      <c r="D45" s="5"/>
      <c r="E45" s="5"/>
      <c r="F45" s="5"/>
      <c r="G45" s="5"/>
      <c r="H45" s="5"/>
      <c r="I45" s="5"/>
      <c r="J45" s="5"/>
      <c r="L45" s="5"/>
    </row>
    <row r="46" spans="2:12" ht="12.75">
      <c r="B46" t="s">
        <v>408</v>
      </c>
      <c r="C46" s="5"/>
      <c r="D46" s="5"/>
      <c r="E46" s="5"/>
      <c r="F46" s="5"/>
      <c r="G46" s="5"/>
      <c r="H46" s="5"/>
      <c r="I46" s="5"/>
      <c r="J46" s="5"/>
      <c r="K46" s="5"/>
      <c r="L46" s="5"/>
    </row>
    <row r="47" spans="2:12" ht="12.75">
      <c r="B47" t="s">
        <v>465</v>
      </c>
      <c r="C47" s="5"/>
      <c r="D47" s="5"/>
      <c r="E47" s="5"/>
      <c r="F47" s="5"/>
      <c r="G47" s="5"/>
      <c r="H47" s="5"/>
      <c r="I47" s="5"/>
      <c r="J47" s="5"/>
      <c r="K47" s="5"/>
      <c r="L47" s="5"/>
    </row>
    <row r="48" spans="3:12" ht="12.75">
      <c r="C48" s="5"/>
      <c r="D48" s="5"/>
      <c r="E48" s="5"/>
      <c r="F48" s="5"/>
      <c r="G48" s="5"/>
      <c r="H48" s="5"/>
      <c r="I48" s="5"/>
      <c r="J48" s="5"/>
      <c r="K48" s="5"/>
      <c r="L48" s="5"/>
    </row>
    <row r="49" spans="2:12" ht="12.75">
      <c r="B49" t="s">
        <v>444</v>
      </c>
      <c r="C49" s="5"/>
      <c r="D49" s="5"/>
      <c r="E49" s="5"/>
      <c r="F49" s="5"/>
      <c r="G49" s="5"/>
      <c r="H49" s="5"/>
      <c r="I49" s="5"/>
      <c r="J49" s="5"/>
      <c r="K49" s="5"/>
      <c r="L49" s="5"/>
    </row>
    <row r="50" spans="2:12" ht="12.75">
      <c r="B50" s="280" t="s">
        <v>360</v>
      </c>
      <c r="C50" s="5"/>
      <c r="D50" s="5"/>
      <c r="E50" s="5"/>
      <c r="F50" s="5"/>
      <c r="G50" s="5"/>
      <c r="H50" s="5"/>
      <c r="I50" s="5"/>
      <c r="J50" s="5"/>
      <c r="K50" s="5"/>
      <c r="L50" s="5"/>
    </row>
    <row r="51" spans="2:12" ht="12.75">
      <c r="B51" t="s">
        <v>497</v>
      </c>
      <c r="C51" s="5"/>
      <c r="D51" s="5"/>
      <c r="E51" s="5"/>
      <c r="F51" s="5"/>
      <c r="G51" s="5"/>
      <c r="H51" s="5"/>
      <c r="I51" s="5"/>
      <c r="J51" s="5"/>
      <c r="K51" s="5"/>
      <c r="L51" s="5"/>
    </row>
    <row r="52" spans="2:12" ht="12.75">
      <c r="B52" t="s">
        <v>407</v>
      </c>
      <c r="C52" s="5"/>
      <c r="D52" s="5"/>
      <c r="E52" s="5"/>
      <c r="F52" s="5"/>
      <c r="G52" s="5"/>
      <c r="H52" s="5"/>
      <c r="I52" s="5"/>
      <c r="J52" s="5"/>
      <c r="K52" s="5"/>
      <c r="L52" s="5"/>
    </row>
    <row r="53" spans="3:12" ht="12.75">
      <c r="C53" s="5"/>
      <c r="D53" s="5"/>
      <c r="E53" s="5"/>
      <c r="F53" s="5"/>
      <c r="G53" s="5"/>
      <c r="H53" s="5"/>
      <c r="I53" s="5"/>
      <c r="J53" s="5"/>
      <c r="K53" s="5"/>
      <c r="L53" s="5"/>
    </row>
    <row r="54" spans="2:12" ht="12.75">
      <c r="B54" t="s">
        <v>547</v>
      </c>
      <c r="C54" s="5"/>
      <c r="D54" s="5"/>
      <c r="E54" s="5"/>
      <c r="F54" s="5"/>
      <c r="G54" s="5"/>
      <c r="H54" s="5"/>
      <c r="I54" s="5"/>
      <c r="J54" s="5"/>
      <c r="K54" s="5"/>
      <c r="L54" s="5"/>
    </row>
    <row r="55" spans="2:12" ht="12.75">
      <c r="B55" t="s">
        <v>361</v>
      </c>
      <c r="C55" s="5"/>
      <c r="D55" s="5"/>
      <c r="E55" s="5"/>
      <c r="F55" s="5"/>
      <c r="G55" s="5"/>
      <c r="H55" s="5"/>
      <c r="I55" s="5"/>
      <c r="J55" s="5"/>
      <c r="K55" s="5"/>
      <c r="L55" s="5"/>
    </row>
    <row r="56" spans="3:12" ht="12.75">
      <c r="C56" s="5"/>
      <c r="D56" s="5"/>
      <c r="E56" s="5"/>
      <c r="F56" s="5"/>
      <c r="G56" s="5"/>
      <c r="H56" s="5"/>
      <c r="I56" s="5"/>
      <c r="J56" s="5"/>
      <c r="K56" s="5"/>
      <c r="L56" s="5"/>
    </row>
    <row r="57" spans="2:3" ht="12.75">
      <c r="B57" t="s">
        <v>548</v>
      </c>
      <c r="C57" s="5"/>
    </row>
    <row r="58" spans="2:4" ht="12.75">
      <c r="B58" t="s">
        <v>361</v>
      </c>
      <c r="C58" s="131"/>
      <c r="D58" s="191"/>
    </row>
    <row r="59" spans="2:4" ht="12.75">
      <c r="B59" s="44" t="s">
        <v>1788</v>
      </c>
      <c r="C59" s="131"/>
      <c r="D59" s="191"/>
    </row>
    <row r="60" spans="2:4" ht="12.75">
      <c r="B60" s="44"/>
      <c r="C60" s="131"/>
      <c r="D60" s="191"/>
    </row>
    <row r="61" spans="2:4" ht="12.75">
      <c r="B61" s="419" t="s">
        <v>406</v>
      </c>
      <c r="C61" s="131"/>
      <c r="D61" s="191"/>
    </row>
    <row r="62" spans="2:4" ht="12.75">
      <c r="B62" s="419" t="s">
        <v>380</v>
      </c>
      <c r="C62" s="131"/>
      <c r="D62" s="191"/>
    </row>
    <row r="63" spans="2:4" ht="12.75">
      <c r="B63" s="419"/>
      <c r="C63" s="131"/>
      <c r="D63" s="191"/>
    </row>
    <row r="64" spans="2:4" ht="12.75">
      <c r="B64" s="419" t="s">
        <v>330</v>
      </c>
      <c r="C64" s="131"/>
      <c r="D64" s="191"/>
    </row>
    <row r="65" spans="2:12" ht="12.75">
      <c r="B65" s="419" t="s">
        <v>546</v>
      </c>
      <c r="C65" s="5"/>
      <c r="F65" s="5"/>
      <c r="G65" s="5"/>
      <c r="I65" s="5"/>
      <c r="K65" s="5"/>
      <c r="L65" s="5"/>
    </row>
    <row r="66" spans="2:12" ht="12.75">
      <c r="B66" s="419"/>
      <c r="C66" s="5"/>
      <c r="F66" s="5"/>
      <c r="G66" s="5"/>
      <c r="I66" s="5"/>
      <c r="K66" s="5"/>
      <c r="L66" s="5"/>
    </row>
    <row r="67" ht="12.75">
      <c r="C67" s="5"/>
    </row>
    <row r="68" spans="1:5" ht="12.75">
      <c r="A68" s="274"/>
      <c r="B68" s="124" t="s">
        <v>381</v>
      </c>
      <c r="D68" s="5"/>
      <c r="E68" s="5"/>
    </row>
    <row r="69" spans="1:5" ht="12.75">
      <c r="A69" s="274"/>
      <c r="B69" s="124" t="s">
        <v>1015</v>
      </c>
      <c r="D69" s="5"/>
      <c r="E69" s="5"/>
    </row>
    <row r="70" spans="1:5" ht="12.75">
      <c r="A70" s="274"/>
      <c r="B70" s="124" t="s">
        <v>1016</v>
      </c>
      <c r="D70" s="5"/>
      <c r="E70" s="5"/>
    </row>
    <row r="71" spans="1:5" ht="12.75">
      <c r="A71" s="274"/>
      <c r="B71" s="124" t="s">
        <v>550</v>
      </c>
      <c r="D71" s="5"/>
      <c r="E71" s="5"/>
    </row>
    <row r="72" spans="1:5" ht="12.75">
      <c r="A72" s="274"/>
      <c r="B72" t="s">
        <v>799</v>
      </c>
      <c r="D72" s="5"/>
      <c r="E72" s="5"/>
    </row>
    <row r="73" spans="1:5" ht="12.75">
      <c r="A73" s="274"/>
      <c r="B73" t="s">
        <v>373</v>
      </c>
      <c r="D73" s="5"/>
      <c r="E73" s="5"/>
    </row>
    <row r="74" spans="2:5" ht="12.75">
      <c r="B74" t="s">
        <v>1017</v>
      </c>
      <c r="D74" s="5"/>
      <c r="E74" s="5"/>
    </row>
    <row r="75" spans="3:5" ht="12.75">
      <c r="C75" s="5"/>
      <c r="D75" s="5"/>
      <c r="E75" s="5"/>
    </row>
    <row r="76" spans="2:5" ht="12.75">
      <c r="B76" t="s">
        <v>903</v>
      </c>
      <c r="C76" s="5"/>
      <c r="D76" s="5"/>
      <c r="E76" s="5"/>
    </row>
    <row r="77" spans="2:5" ht="12.75">
      <c r="B77" t="s">
        <v>371</v>
      </c>
      <c r="D77" s="5"/>
      <c r="E77" s="5"/>
    </row>
    <row r="78" spans="2:5" ht="12.75">
      <c r="B78" t="s">
        <v>498</v>
      </c>
      <c r="E78" s="5"/>
    </row>
    <row r="79" spans="3:5" ht="12.75">
      <c r="C79" s="5"/>
      <c r="E79" s="5"/>
    </row>
    <row r="80" spans="2:5" ht="12.75">
      <c r="B80" s="419" t="s">
        <v>551</v>
      </c>
      <c r="C80" s="5"/>
      <c r="E80" s="5"/>
    </row>
    <row r="81" spans="2:5" ht="12.75">
      <c r="B81" s="419" t="s">
        <v>938</v>
      </c>
      <c r="C81" s="5"/>
      <c r="E81" s="5"/>
    </row>
    <row r="82" spans="2:5" ht="12.75">
      <c r="B82" s="419"/>
      <c r="C82" s="5"/>
      <c r="E82" s="5"/>
    </row>
    <row r="83" spans="2:5" ht="12.75">
      <c r="B83" s="419"/>
      <c r="C83" s="5"/>
      <c r="E83" s="5"/>
    </row>
    <row r="84" spans="2:5" ht="12.75">
      <c r="B84" s="124" t="s">
        <v>957</v>
      </c>
      <c r="C84" s="5"/>
      <c r="E84" s="5"/>
    </row>
    <row r="85" spans="2:5" ht="12.75">
      <c r="B85" s="124" t="s">
        <v>874</v>
      </c>
      <c r="C85" s="46"/>
      <c r="E85" s="5"/>
    </row>
    <row r="86" spans="2:5" ht="12.75">
      <c r="B86" s="419"/>
      <c r="C86" s="5"/>
      <c r="E86" s="5"/>
    </row>
    <row r="87" spans="2:5" ht="12.75">
      <c r="B87" s="44" t="s">
        <v>958</v>
      </c>
      <c r="C87" s="5"/>
      <c r="E87" s="5"/>
    </row>
    <row r="88" spans="2:5" ht="12.75">
      <c r="B88" s="44" t="s">
        <v>959</v>
      </c>
      <c r="C88" s="5"/>
      <c r="E88" s="5"/>
    </row>
    <row r="89" spans="2:5" ht="12.75">
      <c r="B89" s="44"/>
      <c r="C89" s="5"/>
      <c r="E89" s="5"/>
    </row>
    <row r="90" ht="12.75">
      <c r="E90" s="5"/>
    </row>
    <row r="91" spans="1:5" ht="15.75">
      <c r="A91" s="296" t="s">
        <v>1126</v>
      </c>
      <c r="B91" s="11" t="s">
        <v>382</v>
      </c>
      <c r="E91" s="5"/>
    </row>
    <row r="93" ht="12.75">
      <c r="B93" t="s">
        <v>840</v>
      </c>
    </row>
    <row r="94" ht="12.75">
      <c r="B94" t="s">
        <v>841</v>
      </c>
    </row>
    <row r="95" ht="12.75">
      <c r="B95" t="s">
        <v>372</v>
      </c>
    </row>
    <row r="98" spans="1:2" ht="15.75">
      <c r="A98" s="296" t="s">
        <v>534</v>
      </c>
      <c r="B98" s="11" t="s">
        <v>511</v>
      </c>
    </row>
    <row r="99" spans="1:2" ht="15.75">
      <c r="A99" s="124"/>
      <c r="B99" s="11" t="s">
        <v>512</v>
      </c>
    </row>
    <row r="100" spans="1:2" ht="15.75">
      <c r="A100" s="124"/>
      <c r="B100" s="11"/>
    </row>
    <row r="101" spans="1:2" ht="15.75">
      <c r="A101" s="124"/>
      <c r="B101" s="11" t="s">
        <v>1006</v>
      </c>
    </row>
    <row r="102" spans="1:2" ht="15.75">
      <c r="A102" s="124"/>
      <c r="B102" s="11" t="s">
        <v>1008</v>
      </c>
    </row>
    <row r="103" spans="1:2" ht="15.75">
      <c r="A103" s="124"/>
      <c r="B103" s="11"/>
    </row>
    <row r="104" spans="1:2" ht="15.75">
      <c r="A104" s="124"/>
      <c r="B104" s="11" t="s">
        <v>1007</v>
      </c>
    </row>
    <row r="105" spans="1:2" ht="15.75">
      <c r="A105" s="124"/>
      <c r="B105" s="11" t="s">
        <v>1005</v>
      </c>
    </row>
    <row r="106" spans="1:2" ht="12.75">
      <c r="A106" s="124"/>
      <c r="B106" s="124"/>
    </row>
    <row r="107" ht="18">
      <c r="B107" s="647" t="s">
        <v>1307</v>
      </c>
    </row>
    <row r="110" spans="1:2" ht="12.75">
      <c r="A110" s="296" t="s">
        <v>600</v>
      </c>
      <c r="B110" s="124" t="s">
        <v>409</v>
      </c>
    </row>
    <row r="111" ht="12.75">
      <c r="B111" s="124" t="s">
        <v>778</v>
      </c>
    </row>
    <row r="112" spans="2:4" ht="12.75">
      <c r="B112" s="124"/>
      <c r="D112" s="202"/>
    </row>
    <row r="113" spans="2:5" ht="12.75">
      <c r="B113" s="297" t="s">
        <v>192</v>
      </c>
      <c r="C113" s="298"/>
      <c r="D113" s="298"/>
      <c r="E113" s="298"/>
    </row>
    <row r="114" spans="2:5" ht="12.75">
      <c r="B114" s="470"/>
      <c r="C114" s="202"/>
      <c r="D114" s="202"/>
      <c r="E114" s="202"/>
    </row>
    <row r="115" spans="1:5" ht="12.75">
      <c r="A115" s="296" t="s">
        <v>1782</v>
      </c>
      <c r="B115" s="124" t="s">
        <v>1026</v>
      </c>
      <c r="C115" s="202"/>
      <c r="D115" s="202"/>
      <c r="E115" s="202"/>
    </row>
    <row r="116" spans="2:5" ht="12.75">
      <c r="B116" s="654" t="s">
        <v>1027</v>
      </c>
      <c r="C116" s="202"/>
      <c r="D116" s="202"/>
      <c r="E116" s="202"/>
    </row>
    <row r="118" ht="13.5" thickBot="1"/>
    <row r="119" spans="2:5" ht="12.75">
      <c r="B119" s="1"/>
      <c r="C119" s="2"/>
      <c r="D119" s="2"/>
      <c r="E119" s="3"/>
    </row>
    <row r="120" spans="2:5" ht="12.75">
      <c r="B120" s="449" t="s">
        <v>1035</v>
      </c>
      <c r="C120" s="148"/>
      <c r="D120" s="148"/>
      <c r="E120" s="206"/>
    </row>
    <row r="121" spans="2:5" ht="12.75">
      <c r="B121" s="449" t="s">
        <v>1036</v>
      </c>
      <c r="C121" s="148"/>
      <c r="D121" s="148"/>
      <c r="E121" s="206"/>
    </row>
    <row r="122" spans="2:5" ht="12.75">
      <c r="B122" s="203"/>
      <c r="C122" s="148"/>
      <c r="D122" s="148"/>
      <c r="E122" s="206"/>
    </row>
    <row r="123" spans="2:5" ht="90" customHeight="1">
      <c r="B123" s="699" t="s">
        <v>1018</v>
      </c>
      <c r="C123" s="700"/>
      <c r="D123" s="700"/>
      <c r="E123" s="701"/>
    </row>
    <row r="124" spans="2:5" ht="13.5" thickBot="1">
      <c r="B124" s="450"/>
      <c r="C124" s="451"/>
      <c r="D124" s="451"/>
      <c r="E124" s="452"/>
    </row>
    <row r="125" spans="2:5" ht="12.75">
      <c r="B125" s="453"/>
      <c r="C125" s="454"/>
      <c r="D125" s="454"/>
      <c r="E125" s="455"/>
    </row>
    <row r="126" spans="2:5" ht="80.25" customHeight="1">
      <c r="B126" s="696" t="s">
        <v>969</v>
      </c>
      <c r="C126" s="697"/>
      <c r="D126" s="697"/>
      <c r="E126" s="698"/>
    </row>
    <row r="127" spans="2:5" ht="13.5" thickBot="1">
      <c r="B127" s="450"/>
      <c r="C127" s="451"/>
      <c r="D127" s="451"/>
      <c r="E127" s="452"/>
    </row>
    <row r="128" spans="2:5" ht="12.75">
      <c r="B128" s="453"/>
      <c r="C128" s="454"/>
      <c r="D128" s="454"/>
      <c r="E128" s="455"/>
    </row>
    <row r="129" spans="2:5" ht="12.75">
      <c r="B129" s="456" t="s">
        <v>1310</v>
      </c>
      <c r="C129" s="148"/>
      <c r="D129" s="148"/>
      <c r="E129" s="206"/>
    </row>
    <row r="130" spans="2:5" ht="12.75">
      <c r="B130" s="203"/>
      <c r="C130" s="148"/>
      <c r="D130" s="148"/>
      <c r="E130" s="206"/>
    </row>
    <row r="131" spans="2:5" ht="12.75">
      <c r="B131" s="203" t="s">
        <v>873</v>
      </c>
      <c r="C131" s="457" t="s">
        <v>872</v>
      </c>
      <c r="D131" s="148"/>
      <c r="E131" s="206"/>
    </row>
    <row r="132" spans="2:5" ht="12.75">
      <c r="B132" s="203"/>
      <c r="C132" s="148"/>
      <c r="D132" s="148"/>
      <c r="E132" s="206"/>
    </row>
    <row r="133" spans="2:5" ht="12.75">
      <c r="B133" s="674" t="s">
        <v>877</v>
      </c>
      <c r="C133" s="148"/>
      <c r="D133" s="148"/>
      <c r="E133" s="206"/>
    </row>
    <row r="134" spans="2:5" ht="12.75">
      <c r="B134" s="203"/>
      <c r="C134" s="148"/>
      <c r="D134" s="148"/>
      <c r="E134" s="206"/>
    </row>
    <row r="135" spans="2:5" ht="12.75">
      <c r="B135" s="466" t="s">
        <v>876</v>
      </c>
      <c r="C135" s="148"/>
      <c r="D135" s="148"/>
      <c r="E135" s="206"/>
    </row>
    <row r="136" spans="2:5" ht="13.5" thickBot="1">
      <c r="B136" s="7"/>
      <c r="C136" s="8"/>
      <c r="D136" s="8"/>
      <c r="E136" s="9"/>
    </row>
    <row r="138" ht="12.75">
      <c r="B138" s="124"/>
    </row>
  </sheetData>
  <sheetProtection password="CFF3" sheet="1" objects="1" scenarios="1"/>
  <mergeCells count="2">
    <mergeCell ref="B126:E126"/>
    <mergeCell ref="B123:E123"/>
  </mergeCells>
  <hyperlinks>
    <hyperlink ref="B135" r:id="rId1" display="http://eol.jsc.nasa.gov/sseop/FootprintCalculator.xls"/>
    <hyperlink ref="C131" r:id="rId2" display="earthweb@ems.jsc.nasa.gov"/>
  </hyperlinks>
  <printOptions/>
  <pageMargins left="0.43" right="0.46" top="0.42" bottom="0.6" header="0.42" footer="0.42"/>
  <pageSetup fitToHeight="3" orientation="landscape" paperSize="9" scale="70"/>
  <headerFooter alignWithMargins="0">
    <oddFooter>&amp;C&amp;A&amp;RPage &amp;P</oddFooter>
  </headerFooter>
  <rowBreaks count="1" manualBreakCount="1">
    <brk id="49" max="11" man="1"/>
  </rowBreaks>
  <drawing r:id="rId3"/>
</worksheet>
</file>

<file path=xl/worksheets/sheet10.xml><?xml version="1.0" encoding="utf-8"?>
<worksheet xmlns="http://schemas.openxmlformats.org/spreadsheetml/2006/main" xmlns:r="http://schemas.openxmlformats.org/officeDocument/2006/relationships">
  <sheetPr codeName="Sheet8"/>
  <dimension ref="A1:M297"/>
  <sheetViews>
    <sheetView workbookViewId="0" topLeftCell="A1">
      <selection activeCell="A1" sqref="A1"/>
    </sheetView>
  </sheetViews>
  <sheetFormatPr defaultColWidth="9.00390625" defaultRowHeight="12.75"/>
  <cols>
    <col min="1" max="1" width="4.25390625" style="0" customWidth="1"/>
    <col min="2" max="2" width="8.75390625" style="0" customWidth="1"/>
    <col min="3" max="4" width="13.375" style="0" customWidth="1"/>
    <col min="5" max="5" width="15.00390625" style="0" customWidth="1"/>
    <col min="6" max="6" width="14.625" style="0" customWidth="1"/>
    <col min="7" max="7" width="15.25390625" style="0" customWidth="1"/>
    <col min="8" max="8" width="12.00390625" style="0" customWidth="1"/>
    <col min="9" max="9" width="13.875" style="0" customWidth="1"/>
    <col min="10" max="11" width="14.875" style="0" customWidth="1"/>
    <col min="12" max="12" width="12.75390625" style="0" customWidth="1"/>
    <col min="13" max="13" width="10.25390625" style="0" customWidth="1"/>
    <col min="14" max="16384" width="11.375" style="0" customWidth="1"/>
  </cols>
  <sheetData>
    <row r="1" spans="1:12" ht="23.25">
      <c r="A1" s="458" t="s">
        <v>343</v>
      </c>
      <c r="B1" s="298"/>
      <c r="C1" s="298"/>
      <c r="D1" s="298"/>
      <c r="E1" s="298"/>
      <c r="F1" s="298"/>
      <c r="G1" s="298"/>
      <c r="H1" s="298"/>
      <c r="I1" s="298"/>
      <c r="J1" s="298"/>
      <c r="K1" s="298"/>
      <c r="L1" s="298"/>
    </row>
    <row r="2" spans="1:11" ht="15" customHeight="1">
      <c r="A2" s="472"/>
      <c r="B2" s="202"/>
      <c r="C2" s="202"/>
      <c r="D2" s="202"/>
      <c r="E2" s="202"/>
      <c r="F2" s="202"/>
      <c r="G2" s="202"/>
      <c r="H2" s="202"/>
      <c r="I2" s="202"/>
      <c r="J2" s="202"/>
      <c r="K2" s="202"/>
    </row>
    <row r="3" spans="1:13" ht="18" customHeight="1">
      <c r="A3" s="491" t="s">
        <v>950</v>
      </c>
      <c r="B3" s="298"/>
      <c r="C3" s="298"/>
      <c r="D3" s="298"/>
      <c r="E3" s="298"/>
      <c r="F3" s="298"/>
      <c r="G3" s="298"/>
      <c r="H3" s="298"/>
      <c r="I3" s="298"/>
      <c r="J3" s="298"/>
      <c r="K3" s="298"/>
      <c r="L3" s="298"/>
      <c r="M3" s="298"/>
    </row>
    <row r="4" spans="1:13" ht="18" customHeight="1">
      <c r="A4" s="492" t="s">
        <v>947</v>
      </c>
      <c r="B4" s="298"/>
      <c r="C4" s="298"/>
      <c r="D4" s="298"/>
      <c r="E4" s="298"/>
      <c r="F4" s="298"/>
      <c r="G4" s="298"/>
      <c r="H4" s="298"/>
      <c r="I4" s="298"/>
      <c r="J4" s="298"/>
      <c r="K4" s="298"/>
      <c r="L4" s="298"/>
      <c r="M4" s="298"/>
    </row>
    <row r="5" spans="1:13" ht="15" customHeight="1">
      <c r="A5" s="458"/>
      <c r="B5" s="298"/>
      <c r="C5" s="298"/>
      <c r="D5" s="298"/>
      <c r="E5" s="298"/>
      <c r="F5" s="298"/>
      <c r="G5" s="298"/>
      <c r="H5" s="298"/>
      <c r="I5" s="298"/>
      <c r="J5" s="298"/>
      <c r="K5" s="298"/>
      <c r="L5" s="298"/>
      <c r="M5" s="298"/>
    </row>
    <row r="6" spans="1:11" ht="15" customHeight="1">
      <c r="A6" s="472"/>
      <c r="B6" s="202"/>
      <c r="C6" s="202"/>
      <c r="D6" s="202"/>
      <c r="E6" s="202"/>
      <c r="F6" s="202"/>
      <c r="G6" s="202"/>
      <c r="H6" s="202"/>
      <c r="I6" s="202"/>
      <c r="J6" s="202"/>
      <c r="K6" s="202"/>
    </row>
    <row r="7" ht="18">
      <c r="A7" s="12" t="s">
        <v>1096</v>
      </c>
    </row>
    <row r="9" ht="15.75">
      <c r="A9" s="11" t="s">
        <v>102</v>
      </c>
    </row>
    <row r="10" ht="15.75">
      <c r="A10" s="11" t="s">
        <v>207</v>
      </c>
    </row>
    <row r="12" ht="13.5" thickBot="1"/>
    <row r="13" spans="1:13" ht="12.75">
      <c r="A13" s="1"/>
      <c r="B13" s="2"/>
      <c r="C13" s="2"/>
      <c r="D13" s="2"/>
      <c r="E13" s="2"/>
      <c r="F13" s="2"/>
      <c r="G13" s="3"/>
      <c r="H13" s="1"/>
      <c r="I13" s="2"/>
      <c r="J13" s="2"/>
      <c r="K13" s="2"/>
      <c r="L13" s="3"/>
      <c r="M13" s="5"/>
    </row>
    <row r="14" spans="1:13" ht="18">
      <c r="A14" s="194" t="s">
        <v>584</v>
      </c>
      <c r="C14" s="5"/>
      <c r="D14" s="5"/>
      <c r="E14" s="5"/>
      <c r="F14" s="5"/>
      <c r="G14" s="6"/>
      <c r="H14" s="13" t="s">
        <v>143</v>
      </c>
      <c r="I14" s="5"/>
      <c r="J14" s="5"/>
      <c r="K14" s="5"/>
      <c r="L14" s="6"/>
      <c r="M14" s="5"/>
    </row>
    <row r="15" spans="1:13" ht="12.75">
      <c r="A15" s="4"/>
      <c r="B15" s="5"/>
      <c r="C15" s="5"/>
      <c r="D15" s="5"/>
      <c r="E15" s="5"/>
      <c r="F15" s="5"/>
      <c r="G15" s="6"/>
      <c r="H15" s="4"/>
      <c r="I15" s="5"/>
      <c r="J15" s="5"/>
      <c r="K15" s="5"/>
      <c r="L15" s="6"/>
      <c r="M15" s="5"/>
    </row>
    <row r="16" spans="1:13" ht="12.75">
      <c r="A16" s="4"/>
      <c r="B16" s="5" t="s">
        <v>202</v>
      </c>
      <c r="C16" s="5"/>
      <c r="D16" s="5"/>
      <c r="E16" s="5"/>
      <c r="F16" s="5"/>
      <c r="G16" s="6"/>
      <c r="H16" s="4"/>
      <c r="I16" s="5"/>
      <c r="J16" s="5"/>
      <c r="K16" s="5"/>
      <c r="L16" s="6"/>
      <c r="M16" s="5"/>
    </row>
    <row r="17" spans="1:13" ht="12.75">
      <c r="A17" s="4"/>
      <c r="B17" s="5" t="s">
        <v>1751</v>
      </c>
      <c r="C17" s="5"/>
      <c r="D17" s="5"/>
      <c r="E17" s="5"/>
      <c r="F17" s="5"/>
      <c r="G17" s="6"/>
      <c r="H17" s="4"/>
      <c r="I17" s="5"/>
      <c r="J17" s="5"/>
      <c r="K17" s="5"/>
      <c r="L17" s="6"/>
      <c r="M17" s="5"/>
    </row>
    <row r="18" spans="1:13" ht="12.75">
      <c r="A18" s="4"/>
      <c r="B18" s="5" t="s">
        <v>744</v>
      </c>
      <c r="C18" s="5"/>
      <c r="D18" s="5"/>
      <c r="E18" s="5"/>
      <c r="F18" s="5"/>
      <c r="G18" s="6"/>
      <c r="H18" s="4"/>
      <c r="I18" s="5"/>
      <c r="J18" s="5"/>
      <c r="K18" s="5"/>
      <c r="L18" s="6"/>
      <c r="M18" s="5"/>
    </row>
    <row r="19" spans="1:13" ht="12.75">
      <c r="A19" s="4"/>
      <c r="B19" s="5" t="s">
        <v>747</v>
      </c>
      <c r="C19" s="5"/>
      <c r="D19" s="5"/>
      <c r="E19" s="5"/>
      <c r="F19" s="5"/>
      <c r="G19" s="6"/>
      <c r="H19" s="4"/>
      <c r="I19" s="5"/>
      <c r="J19" s="110" t="s">
        <v>745</v>
      </c>
      <c r="K19" s="5"/>
      <c r="L19" s="6"/>
      <c r="M19" s="5"/>
    </row>
    <row r="20" spans="1:13" ht="12.75">
      <c r="A20" s="4"/>
      <c r="B20" s="5"/>
      <c r="C20" s="5"/>
      <c r="D20" s="5"/>
      <c r="E20" s="5"/>
      <c r="F20" s="5"/>
      <c r="G20" s="6"/>
      <c r="H20" s="4"/>
      <c r="I20" s="5"/>
      <c r="J20" s="5"/>
      <c r="K20" s="5"/>
      <c r="L20" s="6"/>
      <c r="M20" s="5"/>
    </row>
    <row r="21" spans="1:13" ht="12.75">
      <c r="A21" s="4"/>
      <c r="B21" s="5"/>
      <c r="C21" s="5"/>
      <c r="D21" s="5"/>
      <c r="E21" s="5" t="s">
        <v>749</v>
      </c>
      <c r="F21" s="5"/>
      <c r="G21" s="6"/>
      <c r="H21" s="4"/>
      <c r="I21" s="5"/>
      <c r="J21" s="41" t="s">
        <v>748</v>
      </c>
      <c r="K21" s="5"/>
      <c r="L21" s="6"/>
      <c r="M21" s="5"/>
    </row>
    <row r="22" spans="1:13" ht="12.75">
      <c r="A22" s="4"/>
      <c r="B22" s="5"/>
      <c r="C22" s="5"/>
      <c r="D22" s="5" t="s">
        <v>1759</v>
      </c>
      <c r="E22" s="5"/>
      <c r="F22" s="5"/>
      <c r="G22" s="6"/>
      <c r="H22" s="4"/>
      <c r="I22" s="5"/>
      <c r="J22" s="5"/>
      <c r="K22" s="109" t="s">
        <v>750</v>
      </c>
      <c r="L22" s="6"/>
      <c r="M22" s="5"/>
    </row>
    <row r="23" spans="1:13" ht="12.75">
      <c r="A23" s="4"/>
      <c r="B23" s="5"/>
      <c r="C23" s="5"/>
      <c r="D23" s="5"/>
      <c r="E23" s="5"/>
      <c r="F23" s="5" t="s">
        <v>1679</v>
      </c>
      <c r="G23" s="6"/>
      <c r="H23" s="4"/>
      <c r="I23" s="5"/>
      <c r="J23" s="5" t="s">
        <v>1760</v>
      </c>
      <c r="K23" s="5"/>
      <c r="L23" s="6"/>
      <c r="M23" s="5"/>
    </row>
    <row r="24" spans="1:13" ht="12.75">
      <c r="A24" s="4"/>
      <c r="B24" s="5"/>
      <c r="C24" s="5"/>
      <c r="D24" s="5"/>
      <c r="E24" s="5"/>
      <c r="F24" s="5"/>
      <c r="G24" s="6"/>
      <c r="H24" s="4"/>
      <c r="I24" s="5"/>
      <c r="J24" s="5"/>
      <c r="K24" s="5"/>
      <c r="L24" s="6"/>
      <c r="M24" s="5"/>
    </row>
    <row r="25" spans="1:13" ht="12.75">
      <c r="A25" s="4"/>
      <c r="B25" s="5"/>
      <c r="C25" s="5"/>
      <c r="D25" s="5"/>
      <c r="E25" s="5"/>
      <c r="F25" s="5"/>
      <c r="G25" s="6"/>
      <c r="H25" s="4"/>
      <c r="I25" s="5"/>
      <c r="J25" s="5"/>
      <c r="K25" s="5"/>
      <c r="L25" s="6"/>
      <c r="M25" s="5"/>
    </row>
    <row r="26" spans="1:13" ht="12.75">
      <c r="A26" s="4"/>
      <c r="B26" s="5"/>
      <c r="C26" s="5"/>
      <c r="D26" s="5" t="s">
        <v>1765</v>
      </c>
      <c r="E26" s="5"/>
      <c r="F26" s="5"/>
      <c r="G26" s="6"/>
      <c r="H26" s="4"/>
      <c r="I26" s="5"/>
      <c r="J26" s="5"/>
      <c r="K26" s="5"/>
      <c r="L26" s="6"/>
      <c r="M26" s="5"/>
    </row>
    <row r="27" spans="1:13" ht="12.75">
      <c r="A27" s="4"/>
      <c r="B27" s="5"/>
      <c r="C27" s="5"/>
      <c r="D27" s="5"/>
      <c r="E27" s="5"/>
      <c r="F27" s="5"/>
      <c r="G27" s="6"/>
      <c r="H27" s="4"/>
      <c r="I27" s="5"/>
      <c r="J27" s="5"/>
      <c r="K27" s="5"/>
      <c r="L27" s="6"/>
      <c r="M27" s="5"/>
    </row>
    <row r="28" spans="1:13" ht="12.75">
      <c r="A28" s="4"/>
      <c r="B28" s="5"/>
      <c r="C28" s="5"/>
      <c r="D28" s="5"/>
      <c r="E28" s="5"/>
      <c r="F28" s="5" t="s">
        <v>1766</v>
      </c>
      <c r="G28" s="6"/>
      <c r="H28" s="4"/>
      <c r="I28" s="5"/>
      <c r="J28" s="5"/>
      <c r="K28" s="5"/>
      <c r="L28" s="6"/>
      <c r="M28" s="5"/>
    </row>
    <row r="29" spans="1:13" ht="12.75">
      <c r="A29" s="4"/>
      <c r="B29" s="5"/>
      <c r="C29" s="5"/>
      <c r="D29" s="5"/>
      <c r="E29" s="5"/>
      <c r="F29" s="5"/>
      <c r="G29" s="6"/>
      <c r="H29" s="4"/>
      <c r="I29" s="5"/>
      <c r="J29" s="5"/>
      <c r="K29" s="5"/>
      <c r="L29" s="6"/>
      <c r="M29" s="5"/>
    </row>
    <row r="30" spans="1:13" ht="12.75">
      <c r="A30" s="4"/>
      <c r="B30" s="5"/>
      <c r="C30" s="5"/>
      <c r="D30" s="5"/>
      <c r="E30" s="5"/>
      <c r="F30" s="5"/>
      <c r="G30" s="6"/>
      <c r="H30" s="4"/>
      <c r="I30" s="5"/>
      <c r="J30" s="5"/>
      <c r="K30" s="5"/>
      <c r="L30" s="6"/>
      <c r="M30" s="5"/>
    </row>
    <row r="31" spans="1:13" ht="12.75">
      <c r="A31" s="4"/>
      <c r="B31" s="5"/>
      <c r="C31" s="5"/>
      <c r="D31" s="5" t="s">
        <v>1769</v>
      </c>
      <c r="E31" s="5"/>
      <c r="F31" s="5"/>
      <c r="G31" s="6"/>
      <c r="H31" s="4"/>
      <c r="I31" s="5"/>
      <c r="J31" s="110" t="s">
        <v>1767</v>
      </c>
      <c r="K31" s="5"/>
      <c r="L31" s="6" t="s">
        <v>1768</v>
      </c>
      <c r="M31" s="5"/>
    </row>
    <row r="32" spans="1:13" ht="12.75">
      <c r="A32" s="4"/>
      <c r="B32" s="5"/>
      <c r="C32" s="5"/>
      <c r="D32" s="5"/>
      <c r="E32" s="5"/>
      <c r="F32" s="5"/>
      <c r="G32" s="6"/>
      <c r="H32" s="193" t="s">
        <v>1770</v>
      </c>
      <c r="I32" s="5"/>
      <c r="J32" s="5"/>
      <c r="K32" s="112" t="s">
        <v>1771</v>
      </c>
      <c r="L32" s="6"/>
      <c r="M32" s="5"/>
    </row>
    <row r="33" spans="1:13" ht="12.75">
      <c r="A33" s="4"/>
      <c r="B33" s="5"/>
      <c r="C33" s="5"/>
      <c r="D33" s="5"/>
      <c r="E33" s="111" t="s">
        <v>487</v>
      </c>
      <c r="F33" s="5"/>
      <c r="G33" s="6"/>
      <c r="H33" s="4"/>
      <c r="I33" s="5"/>
      <c r="J33" s="110" t="s">
        <v>1772</v>
      </c>
      <c r="K33" s="5"/>
      <c r="L33" s="6"/>
      <c r="M33" s="5"/>
    </row>
    <row r="34" spans="1:13" ht="12.75">
      <c r="A34" s="4"/>
      <c r="B34" s="5"/>
      <c r="C34" s="5"/>
      <c r="D34" s="110" t="s">
        <v>489</v>
      </c>
      <c r="E34" s="5"/>
      <c r="F34" s="5"/>
      <c r="G34" s="6"/>
      <c r="H34" s="4"/>
      <c r="I34" s="5"/>
      <c r="J34" s="112" t="s">
        <v>488</v>
      </c>
      <c r="K34" s="5"/>
      <c r="L34" s="6"/>
      <c r="M34" s="5"/>
    </row>
    <row r="35" spans="1:13" ht="12.75">
      <c r="A35" s="4"/>
      <c r="B35" s="5"/>
      <c r="C35" s="5"/>
      <c r="D35" s="5"/>
      <c r="E35" s="5"/>
      <c r="F35" s="5"/>
      <c r="G35" s="6"/>
      <c r="H35" s="4"/>
      <c r="I35" s="5"/>
      <c r="J35" s="5"/>
      <c r="K35" s="22" t="s">
        <v>490</v>
      </c>
      <c r="L35" s="6"/>
      <c r="M35" s="5"/>
    </row>
    <row r="36" spans="1:13" ht="12.75">
      <c r="A36" s="4"/>
      <c r="B36" s="5"/>
      <c r="C36" s="5"/>
      <c r="D36" s="5"/>
      <c r="E36" s="109" t="s">
        <v>492</v>
      </c>
      <c r="F36" s="5"/>
      <c r="G36" s="6"/>
      <c r="H36" s="4"/>
      <c r="I36" s="5" t="s">
        <v>491</v>
      </c>
      <c r="J36" s="5"/>
      <c r="K36" s="5"/>
      <c r="L36" s="6"/>
      <c r="M36" s="5"/>
    </row>
    <row r="37" spans="1:13" ht="12.75">
      <c r="A37" s="4"/>
      <c r="B37" s="5"/>
      <c r="C37" s="5"/>
      <c r="D37" s="5"/>
      <c r="E37" s="42"/>
      <c r="F37" s="5"/>
      <c r="G37" s="6"/>
      <c r="H37" s="4"/>
      <c r="I37" s="5" t="s">
        <v>263</v>
      </c>
      <c r="J37" s="5"/>
      <c r="K37" s="5"/>
      <c r="L37" s="6"/>
      <c r="M37" s="5"/>
    </row>
    <row r="38" spans="1:13" ht="12.75">
      <c r="A38" s="4"/>
      <c r="B38" s="5"/>
      <c r="C38" s="5"/>
      <c r="D38" s="5" t="s">
        <v>563</v>
      </c>
      <c r="E38" s="5"/>
      <c r="F38" s="5"/>
      <c r="G38" s="6"/>
      <c r="H38" s="4"/>
      <c r="I38" s="5"/>
      <c r="J38" s="5"/>
      <c r="K38" s="5"/>
      <c r="L38" s="6"/>
      <c r="M38" s="5"/>
    </row>
    <row r="39" spans="1:13" ht="12.75">
      <c r="A39" s="4"/>
      <c r="B39" s="5"/>
      <c r="C39" s="5"/>
      <c r="D39" s="61" t="s">
        <v>566</v>
      </c>
      <c r="E39" s="5"/>
      <c r="F39" s="5"/>
      <c r="G39" s="6"/>
      <c r="H39" s="4"/>
      <c r="I39" s="5"/>
      <c r="J39" s="5"/>
      <c r="K39" s="5"/>
      <c r="L39" s="6"/>
      <c r="M39" s="5"/>
    </row>
    <row r="40" spans="1:13" ht="12.75">
      <c r="A40" s="4"/>
      <c r="B40" s="5"/>
      <c r="C40" s="5"/>
      <c r="D40" s="5"/>
      <c r="E40" s="5"/>
      <c r="F40" s="5"/>
      <c r="G40" s="6"/>
      <c r="H40" s="4"/>
      <c r="I40" s="5"/>
      <c r="J40" s="5"/>
      <c r="K40" s="5"/>
      <c r="L40" s="6"/>
      <c r="M40" s="5"/>
    </row>
    <row r="41" spans="1:13" ht="12.75">
      <c r="A41" s="4"/>
      <c r="B41" s="5"/>
      <c r="C41" s="5"/>
      <c r="D41" s="5"/>
      <c r="E41" s="5"/>
      <c r="F41" s="5"/>
      <c r="G41" s="6"/>
      <c r="H41" s="4"/>
      <c r="I41" s="5"/>
      <c r="J41" s="5"/>
      <c r="K41" s="5"/>
      <c r="L41" s="6"/>
      <c r="M41" s="5"/>
    </row>
    <row r="42" spans="1:13" ht="12.75">
      <c r="A42" s="4"/>
      <c r="B42" s="5"/>
      <c r="C42" s="5"/>
      <c r="D42" s="5"/>
      <c r="E42" s="5"/>
      <c r="F42" s="5"/>
      <c r="G42" s="6"/>
      <c r="H42" s="4"/>
      <c r="I42" s="5"/>
      <c r="J42" s="5"/>
      <c r="K42" s="5"/>
      <c r="L42" s="6"/>
      <c r="M42" s="5"/>
    </row>
    <row r="43" spans="1:13" ht="12.75">
      <c r="A43" s="4"/>
      <c r="B43" s="5"/>
      <c r="C43" s="5"/>
      <c r="D43" s="5"/>
      <c r="E43" s="108" t="s">
        <v>495</v>
      </c>
      <c r="F43" s="5"/>
      <c r="G43" s="6"/>
      <c r="H43" s="4"/>
      <c r="I43" s="5"/>
      <c r="J43" s="5"/>
      <c r="K43" s="5"/>
      <c r="L43" s="6"/>
      <c r="M43" s="5"/>
    </row>
    <row r="44" spans="1:13" ht="12.75">
      <c r="A44" s="4"/>
      <c r="B44" s="5"/>
      <c r="C44" s="5"/>
      <c r="D44" s="5"/>
      <c r="E44" s="5"/>
      <c r="F44" s="5"/>
      <c r="G44" s="6"/>
      <c r="H44" s="4"/>
      <c r="I44" s="5"/>
      <c r="J44" s="5"/>
      <c r="K44" s="5"/>
      <c r="L44" s="6"/>
      <c r="M44" s="5"/>
    </row>
    <row r="45" spans="1:13" ht="12.75">
      <c r="A45" s="4"/>
      <c r="B45" s="5"/>
      <c r="C45" s="5"/>
      <c r="D45" s="5"/>
      <c r="E45" s="5"/>
      <c r="F45" s="5"/>
      <c r="G45" s="6"/>
      <c r="H45" s="4"/>
      <c r="I45" s="5"/>
      <c r="J45" s="5"/>
      <c r="K45" s="5"/>
      <c r="L45" s="6"/>
      <c r="M45" s="5"/>
    </row>
    <row r="46" spans="1:13" ht="12.75">
      <c r="A46" s="4"/>
      <c r="B46" s="5"/>
      <c r="C46" s="5"/>
      <c r="D46" s="5"/>
      <c r="E46" s="5"/>
      <c r="F46" s="5"/>
      <c r="G46" s="6"/>
      <c r="H46" s="4"/>
      <c r="I46" s="5"/>
      <c r="J46" s="5"/>
      <c r="K46" s="5"/>
      <c r="L46" s="6"/>
      <c r="M46" s="5"/>
    </row>
    <row r="47" spans="1:13" ht="12.75">
      <c r="A47" s="4"/>
      <c r="B47" s="5"/>
      <c r="C47" s="5"/>
      <c r="D47" s="5"/>
      <c r="E47" s="5"/>
      <c r="F47" s="5"/>
      <c r="G47" s="6"/>
      <c r="H47" s="4"/>
      <c r="I47" s="5"/>
      <c r="J47" s="5"/>
      <c r="K47" s="5"/>
      <c r="L47" s="6"/>
      <c r="M47" s="5"/>
    </row>
    <row r="48" spans="1:13" ht="13.5" thickBot="1">
      <c r="A48" s="7"/>
      <c r="B48" s="8"/>
      <c r="C48" s="8"/>
      <c r="D48" s="8"/>
      <c r="E48" s="8"/>
      <c r="F48" s="8"/>
      <c r="G48" s="9"/>
      <c r="H48" s="7"/>
      <c r="I48" s="8"/>
      <c r="J48" s="8"/>
      <c r="K48" s="8"/>
      <c r="L48" s="9"/>
      <c r="M48" s="5"/>
    </row>
    <row r="49" ht="13.5" thickBot="1"/>
    <row r="50" spans="1:12" ht="12.75">
      <c r="A50" s="1"/>
      <c r="B50" s="2"/>
      <c r="C50" s="2"/>
      <c r="D50" s="2"/>
      <c r="E50" s="2"/>
      <c r="F50" s="2"/>
      <c r="G50" s="2"/>
      <c r="H50" s="2"/>
      <c r="I50" s="2"/>
      <c r="J50" s="2"/>
      <c r="K50" s="2"/>
      <c r="L50" s="3"/>
    </row>
    <row r="51" spans="1:12" ht="12.75">
      <c r="A51" s="10" t="s">
        <v>634</v>
      </c>
      <c r="B51" s="5"/>
      <c r="C51" s="5"/>
      <c r="D51" s="5"/>
      <c r="E51" s="5"/>
      <c r="F51" s="5"/>
      <c r="G51" s="5"/>
      <c r="H51" s="5"/>
      <c r="I51" s="5"/>
      <c r="J51" s="5"/>
      <c r="K51" s="5"/>
      <c r="L51" s="6"/>
    </row>
    <row r="52" spans="1:12" ht="12.75">
      <c r="A52" s="10" t="s">
        <v>541</v>
      </c>
      <c r="B52" s="5"/>
      <c r="C52" s="5"/>
      <c r="D52" s="5"/>
      <c r="E52" s="5"/>
      <c r="F52" s="5"/>
      <c r="G52" s="5"/>
      <c r="H52" s="5"/>
      <c r="I52" s="5"/>
      <c r="J52" s="5"/>
      <c r="K52" s="5"/>
      <c r="L52" s="6"/>
    </row>
    <row r="53" spans="1:12" ht="12.75">
      <c r="A53" s="4"/>
      <c r="B53" s="5"/>
      <c r="C53" s="5"/>
      <c r="D53" s="5"/>
      <c r="E53" s="5"/>
      <c r="F53" s="5"/>
      <c r="G53" s="5"/>
      <c r="H53" s="5"/>
      <c r="I53" s="5"/>
      <c r="J53" s="5"/>
      <c r="K53" s="5"/>
      <c r="L53" s="6"/>
    </row>
    <row r="54" spans="1:12" ht="15.75">
      <c r="A54" s="4"/>
      <c r="B54" s="5" t="s">
        <v>542</v>
      </c>
      <c r="C54" s="46"/>
      <c r="D54" s="16"/>
      <c r="E54" s="113"/>
      <c r="F54" s="52"/>
      <c r="G54" s="142"/>
      <c r="H54" s="46"/>
      <c r="I54" s="5"/>
      <c r="J54" s="5"/>
      <c r="K54" s="5"/>
      <c r="L54" s="6"/>
    </row>
    <row r="55" spans="1:12" ht="15.75">
      <c r="A55" s="4"/>
      <c r="B55" s="5" t="s">
        <v>1419</v>
      </c>
      <c r="C55" s="46"/>
      <c r="D55" s="16"/>
      <c r="E55" s="113"/>
      <c r="F55" s="52"/>
      <c r="G55" s="142"/>
      <c r="H55" s="46"/>
      <c r="I55" s="5"/>
      <c r="J55" s="5"/>
      <c r="K55" s="5"/>
      <c r="L55" s="6"/>
    </row>
    <row r="56" spans="1:12" ht="15.75">
      <c r="A56" s="4"/>
      <c r="B56" s="5" t="s">
        <v>1416</v>
      </c>
      <c r="C56" s="46"/>
      <c r="D56" s="16"/>
      <c r="E56" s="113"/>
      <c r="F56" s="52"/>
      <c r="G56" s="142"/>
      <c r="H56" s="46"/>
      <c r="I56" s="15" t="s">
        <v>1524</v>
      </c>
      <c r="J56" s="63"/>
      <c r="K56" s="15"/>
      <c r="L56" s="6"/>
    </row>
    <row r="57" spans="1:12" ht="15.75">
      <c r="A57" s="4"/>
      <c r="B57" s="5"/>
      <c r="C57" s="46"/>
      <c r="D57" s="16"/>
      <c r="E57" s="113"/>
      <c r="F57" s="52"/>
      <c r="G57" s="142"/>
      <c r="H57" s="46"/>
      <c r="I57" s="15" t="s">
        <v>1220</v>
      </c>
      <c r="J57" s="63"/>
      <c r="K57" s="15"/>
      <c r="L57" s="6"/>
    </row>
    <row r="58" spans="1:12" ht="15.75">
      <c r="A58" s="4"/>
      <c r="B58" s="5" t="s">
        <v>1221</v>
      </c>
      <c r="C58" s="46"/>
      <c r="D58" s="16"/>
      <c r="E58" s="113"/>
      <c r="F58" s="52"/>
      <c r="G58" s="142"/>
      <c r="H58" s="46"/>
      <c r="I58" s="197" t="s">
        <v>1128</v>
      </c>
      <c r="J58" s="95">
        <f>J66</f>
        <v>-2756905.7041250933</v>
      </c>
      <c r="K58" s="5" t="s">
        <v>167</v>
      </c>
      <c r="L58" s="6"/>
    </row>
    <row r="59" spans="1:12" ht="15.75">
      <c r="A59" s="4"/>
      <c r="B59" s="5" t="s">
        <v>1222</v>
      </c>
      <c r="C59" s="46"/>
      <c r="D59" s="16"/>
      <c r="E59" s="113"/>
      <c r="F59" s="52"/>
      <c r="G59" s="142"/>
      <c r="H59" s="46"/>
      <c r="I59" s="197" t="s">
        <v>651</v>
      </c>
      <c r="J59" s="95">
        <f>J67</f>
        <v>-4377891.963385336</v>
      </c>
      <c r="K59" s="5" t="s">
        <v>167</v>
      </c>
      <c r="L59" s="6"/>
    </row>
    <row r="60" spans="1:12" ht="15.75">
      <c r="A60" s="4"/>
      <c r="B60" s="5"/>
      <c r="C60" s="46"/>
      <c r="D60" s="16"/>
      <c r="E60" s="113"/>
      <c r="F60" s="52"/>
      <c r="G60" s="142"/>
      <c r="H60" s="46"/>
      <c r="I60" s="197" t="s">
        <v>1223</v>
      </c>
      <c r="J60" s="95">
        <f>J68</f>
        <v>4204496.6000832</v>
      </c>
      <c r="K60" s="5" t="s">
        <v>167</v>
      </c>
      <c r="L60" s="6"/>
    </row>
    <row r="61" spans="1:12" ht="15.75">
      <c r="A61" s="4"/>
      <c r="B61" s="5"/>
      <c r="C61" s="46"/>
      <c r="D61" s="16"/>
      <c r="E61" s="113"/>
      <c r="F61" s="52"/>
      <c r="G61" s="142"/>
      <c r="H61" s="46"/>
      <c r="I61" s="5"/>
      <c r="J61" s="5"/>
      <c r="K61" s="5"/>
      <c r="L61" s="6"/>
    </row>
    <row r="62" spans="1:12" ht="15.75">
      <c r="A62" s="4"/>
      <c r="B62" s="5" t="s">
        <v>1295</v>
      </c>
      <c r="C62" s="46"/>
      <c r="D62" s="16"/>
      <c r="E62" s="113"/>
      <c r="F62" s="52"/>
      <c r="G62" s="142"/>
      <c r="H62" s="46"/>
      <c r="I62" s="5"/>
      <c r="J62" s="5"/>
      <c r="K62" s="5"/>
      <c r="L62" s="6"/>
    </row>
    <row r="63" spans="1:12" ht="15.75">
      <c r="A63" s="4"/>
      <c r="B63" s="5"/>
      <c r="C63" s="46"/>
      <c r="D63" s="16"/>
      <c r="E63" s="113"/>
      <c r="F63" s="52"/>
      <c r="G63" s="142"/>
      <c r="H63" s="46"/>
      <c r="I63" s="5"/>
      <c r="J63" s="5"/>
      <c r="K63" s="5"/>
      <c r="L63" s="6"/>
    </row>
    <row r="64" spans="1:12" ht="12.75">
      <c r="A64" s="4"/>
      <c r="B64" s="5" t="s">
        <v>1499</v>
      </c>
      <c r="C64" s="5"/>
      <c r="D64" s="15" t="s">
        <v>640</v>
      </c>
      <c r="E64" s="15"/>
      <c r="F64" s="15"/>
      <c r="G64" s="5"/>
      <c r="H64" s="5" t="s">
        <v>93</v>
      </c>
      <c r="I64" s="5"/>
      <c r="J64" s="5" t="s">
        <v>1544</v>
      </c>
      <c r="K64" s="5"/>
      <c r="L64" s="6"/>
    </row>
    <row r="65" spans="1:12" ht="12.75">
      <c r="A65" s="4"/>
      <c r="B65" s="5"/>
      <c r="C65" s="5"/>
      <c r="D65" s="5"/>
      <c r="E65" s="5"/>
      <c r="F65" s="5"/>
      <c r="G65" s="5"/>
      <c r="H65" s="5"/>
      <c r="I65" s="5"/>
      <c r="J65" s="5"/>
      <c r="K65" s="5"/>
      <c r="L65" s="6"/>
    </row>
    <row r="66" spans="1:12" ht="12.75">
      <c r="A66" s="4"/>
      <c r="B66" s="104" t="s">
        <v>636</v>
      </c>
      <c r="C66" s="5" t="s">
        <v>167</v>
      </c>
      <c r="D66" s="185">
        <f>Trans_Origin!E330</f>
        <v>-0.5613975469481101</v>
      </c>
      <c r="E66" s="185">
        <f>Trans_Origin!E331</f>
        <v>0.7168125110114011</v>
      </c>
      <c r="F66" s="185">
        <f>Trans_Origin!E332</f>
        <v>-0.4135367194556907</v>
      </c>
      <c r="G66" s="5"/>
      <c r="H66" s="104" t="s">
        <v>637</v>
      </c>
      <c r="I66" s="5" t="s">
        <v>167</v>
      </c>
      <c r="J66" s="96">
        <f>Trans_Origin!I354</f>
        <v>-2756905.7041250933</v>
      </c>
      <c r="K66" s="5" t="s">
        <v>167</v>
      </c>
      <c r="L66" s="6"/>
    </row>
    <row r="67" spans="1:12" ht="12.75">
      <c r="A67" s="4"/>
      <c r="B67" s="104" t="s">
        <v>638</v>
      </c>
      <c r="C67" s="5" t="s">
        <v>1545</v>
      </c>
      <c r="D67" s="185">
        <f>Trans_Origin!F330</f>
        <v>-0.36143043030347477</v>
      </c>
      <c r="E67" s="185">
        <f>Trans_Origin!F331</f>
        <v>-0.6619158832268075</v>
      </c>
      <c r="F67" s="185">
        <f>Trans_Origin!F332</f>
        <v>-0.6566851662575609</v>
      </c>
      <c r="G67" s="5" t="s">
        <v>641</v>
      </c>
      <c r="H67" s="104" t="s">
        <v>642</v>
      </c>
      <c r="I67" s="5" t="s">
        <v>1546</v>
      </c>
      <c r="J67" s="96">
        <f>Trans_Origin!I355</f>
        <v>-4377891.963385336</v>
      </c>
      <c r="K67" s="5" t="s">
        <v>167</v>
      </c>
      <c r="L67" s="6"/>
    </row>
    <row r="68" spans="1:12" ht="12.75">
      <c r="A68" s="4"/>
      <c r="B68" s="104" t="s">
        <v>643</v>
      </c>
      <c r="C68" s="5" t="s">
        <v>167</v>
      </c>
      <c r="D68" s="185">
        <f>Trans_Origin!G330</f>
        <v>-0.7444466658742517</v>
      </c>
      <c r="E68" s="185">
        <f>Trans_Origin!G331</f>
        <v>-0.21919668699504888</v>
      </c>
      <c r="F68" s="185">
        <f>Trans_Origin!G332</f>
        <v>0.6306758074312863</v>
      </c>
      <c r="G68" s="5"/>
      <c r="H68" s="104" t="s">
        <v>644</v>
      </c>
      <c r="I68" s="5" t="s">
        <v>167</v>
      </c>
      <c r="J68" s="96">
        <f>Trans_Origin!I356</f>
        <v>4204496.6000832</v>
      </c>
      <c r="K68" s="5" t="s">
        <v>167</v>
      </c>
      <c r="L68" s="6"/>
    </row>
    <row r="69" spans="1:12" ht="12.75">
      <c r="A69" s="4"/>
      <c r="B69" s="5"/>
      <c r="C69" s="5"/>
      <c r="D69" s="5"/>
      <c r="E69" s="5"/>
      <c r="F69" s="5"/>
      <c r="G69" s="5"/>
      <c r="H69" s="5"/>
      <c r="I69" s="5"/>
      <c r="J69" s="5"/>
      <c r="K69" s="5"/>
      <c r="L69" s="6"/>
    </row>
    <row r="70" spans="1:12" ht="13.5" thickBot="1">
      <c r="A70" s="7"/>
      <c r="B70" s="8"/>
      <c r="C70" s="8"/>
      <c r="D70" s="8"/>
      <c r="E70" s="8"/>
      <c r="F70" s="8"/>
      <c r="G70" s="8"/>
      <c r="H70" s="8"/>
      <c r="I70" s="8"/>
      <c r="J70" s="8"/>
      <c r="K70" s="8"/>
      <c r="L70" s="9"/>
    </row>
    <row r="71" spans="1:12" ht="13.5" thickBot="1">
      <c r="A71" s="5"/>
      <c r="B71" s="5"/>
      <c r="C71" s="5"/>
      <c r="D71" s="5"/>
      <c r="E71" s="5"/>
      <c r="F71" s="5"/>
      <c r="G71" s="5"/>
      <c r="H71" s="5"/>
      <c r="I71" s="5"/>
      <c r="J71" s="5"/>
      <c r="K71" s="5"/>
      <c r="L71" s="5"/>
    </row>
    <row r="72" spans="1:12" ht="18">
      <c r="A72" s="1"/>
      <c r="B72" s="293" t="s">
        <v>701</v>
      </c>
      <c r="C72" s="2"/>
      <c r="D72" s="2"/>
      <c r="E72" s="2"/>
      <c r="F72" s="2"/>
      <c r="G72" s="2"/>
      <c r="H72" s="2"/>
      <c r="I72" s="2"/>
      <c r="J72" s="2"/>
      <c r="K72" s="2"/>
      <c r="L72" s="3"/>
    </row>
    <row r="73" spans="1:12" ht="12.75">
      <c r="A73" s="4"/>
      <c r="B73" s="5" t="s">
        <v>800</v>
      </c>
      <c r="C73" s="5"/>
      <c r="D73" s="5"/>
      <c r="E73" s="5"/>
      <c r="F73" s="5"/>
      <c r="G73" s="5"/>
      <c r="H73" s="5"/>
      <c r="I73" s="5"/>
      <c r="J73" s="5"/>
      <c r="K73" s="5"/>
      <c r="L73" s="6"/>
    </row>
    <row r="74" spans="1:12" ht="12.75">
      <c r="A74" s="4"/>
      <c r="B74" s="5" t="s">
        <v>897</v>
      </c>
      <c r="C74" s="5"/>
      <c r="D74" s="5"/>
      <c r="E74" s="5"/>
      <c r="F74" s="5"/>
      <c r="G74" s="5"/>
      <c r="H74" s="5"/>
      <c r="I74" s="5"/>
      <c r="J74" s="5"/>
      <c r="K74" s="5"/>
      <c r="L74" s="6"/>
    </row>
    <row r="75" spans="1:12" ht="12.75">
      <c r="A75" s="4"/>
      <c r="B75" s="5"/>
      <c r="C75" s="5"/>
      <c r="D75" s="5"/>
      <c r="E75" s="5"/>
      <c r="F75" s="5"/>
      <c r="G75" s="5"/>
      <c r="H75" s="5"/>
      <c r="I75" s="5"/>
      <c r="J75" s="5"/>
      <c r="K75" s="5"/>
      <c r="L75" s="6"/>
    </row>
    <row r="76" spans="1:12" ht="15.75">
      <c r="A76" s="4"/>
      <c r="B76" s="16" t="s">
        <v>1206</v>
      </c>
      <c r="C76" s="5"/>
      <c r="D76" s="5"/>
      <c r="E76" s="5"/>
      <c r="F76" s="5"/>
      <c r="G76" s="5"/>
      <c r="H76" s="5"/>
      <c r="I76" s="5"/>
      <c r="J76" s="5"/>
      <c r="K76" s="5"/>
      <c r="L76" s="6"/>
    </row>
    <row r="77" spans="1:12" ht="12.75">
      <c r="A77" s="4"/>
      <c r="B77" s="5"/>
      <c r="C77" s="5"/>
      <c r="D77" s="5"/>
      <c r="E77" s="5"/>
      <c r="F77" s="5"/>
      <c r="G77" s="5"/>
      <c r="H77" s="5"/>
      <c r="I77" s="5"/>
      <c r="J77" s="5"/>
      <c r="K77" s="5"/>
      <c r="L77" s="6"/>
    </row>
    <row r="78" spans="1:12" ht="12.75">
      <c r="A78" s="4"/>
      <c r="B78" s="5"/>
      <c r="C78" s="5" t="s">
        <v>1207</v>
      </c>
      <c r="D78" s="5"/>
      <c r="E78" s="5"/>
      <c r="F78" s="5" t="str">
        <f>Trans_Origin!D373</f>
        <v>X_Lsn  =</v>
      </c>
      <c r="G78" s="267">
        <f>Trans_Origin!E373</f>
        <v>0</v>
      </c>
      <c r="H78" s="5" t="str">
        <f>Trans_Origin!F373</f>
        <v>m</v>
      </c>
      <c r="I78" s="5"/>
      <c r="J78" s="5"/>
      <c r="K78" s="5"/>
      <c r="L78" s="6"/>
    </row>
    <row r="79" spans="1:12" ht="12.75">
      <c r="A79" s="4"/>
      <c r="B79" s="5"/>
      <c r="C79" s="5"/>
      <c r="D79" s="5"/>
      <c r="E79" s="5"/>
      <c r="F79" s="5" t="str">
        <f>Trans_Origin!D374</f>
        <v>Y_Lsn  =</v>
      </c>
      <c r="G79" s="267">
        <f>Trans_Origin!E374</f>
        <v>-2.3283064365386963E-10</v>
      </c>
      <c r="H79" s="5" t="str">
        <f>Trans_Origin!F374</f>
        <v>m</v>
      </c>
      <c r="I79" s="5"/>
      <c r="J79" s="5"/>
      <c r="K79" s="5"/>
      <c r="L79" s="6"/>
    </row>
    <row r="80" spans="1:12" ht="12.75">
      <c r="A80" s="4"/>
      <c r="B80" s="5"/>
      <c r="C80" s="5"/>
      <c r="D80" s="5"/>
      <c r="E80" s="5"/>
      <c r="F80" s="5" t="str">
        <f>Trans_Origin!D375</f>
        <v>Z_Lsn  =</v>
      </c>
      <c r="G80" s="266">
        <f>Trans_Origin!E375</f>
        <v>-296320</v>
      </c>
      <c r="H80" s="5" t="str">
        <f>Trans_Origin!F375</f>
        <v>m</v>
      </c>
      <c r="I80" s="5"/>
      <c r="J80" s="5"/>
      <c r="K80" s="5"/>
      <c r="L80" s="6"/>
    </row>
    <row r="81" spans="1:12" ht="12.75">
      <c r="A81" s="4"/>
      <c r="B81" s="5"/>
      <c r="C81" s="5"/>
      <c r="D81" s="5"/>
      <c r="E81" s="5"/>
      <c r="F81" s="5"/>
      <c r="G81" s="5"/>
      <c r="H81" s="5"/>
      <c r="I81" s="5"/>
      <c r="J81" s="5"/>
      <c r="K81" s="5"/>
      <c r="L81" s="6"/>
    </row>
    <row r="82" spans="1:12" ht="12.75">
      <c r="A82" s="4"/>
      <c r="B82" s="5"/>
      <c r="C82" s="5"/>
      <c r="D82" s="5"/>
      <c r="E82" s="5"/>
      <c r="F82" s="5"/>
      <c r="G82" s="5"/>
      <c r="H82" s="5"/>
      <c r="I82" s="5"/>
      <c r="J82" s="5"/>
      <c r="K82" s="5"/>
      <c r="L82" s="6"/>
    </row>
    <row r="83" spans="1:12" ht="12.75">
      <c r="A83" s="4"/>
      <c r="B83" s="5" t="s">
        <v>1499</v>
      </c>
      <c r="C83" s="5"/>
      <c r="D83" s="15" t="s">
        <v>640</v>
      </c>
      <c r="E83" s="15"/>
      <c r="F83" s="15"/>
      <c r="G83" s="5"/>
      <c r="H83" s="5" t="s">
        <v>1615</v>
      </c>
      <c r="I83" s="5"/>
      <c r="J83" s="5" t="s">
        <v>1544</v>
      </c>
      <c r="K83" s="5"/>
      <c r="L83" s="6"/>
    </row>
    <row r="84" spans="1:12" ht="12.75">
      <c r="A84" s="4"/>
      <c r="B84" s="5"/>
      <c r="C84" s="5"/>
      <c r="D84" s="5"/>
      <c r="E84" s="5"/>
      <c r="F84" s="5"/>
      <c r="G84" s="5"/>
      <c r="H84" s="5"/>
      <c r="I84" s="5"/>
      <c r="J84" s="5"/>
      <c r="K84" s="5"/>
      <c r="L84" s="6"/>
    </row>
    <row r="85" spans="1:12" ht="12.75">
      <c r="A85" s="4"/>
      <c r="B85" s="104" t="s">
        <v>636</v>
      </c>
      <c r="C85" s="5" t="s">
        <v>167</v>
      </c>
      <c r="D85" s="152">
        <f>$D$66</f>
        <v>-0.5613975469481101</v>
      </c>
      <c r="E85" s="152">
        <f>$E$66</f>
        <v>0.7168125110114011</v>
      </c>
      <c r="F85" s="152">
        <f>$F$66</f>
        <v>-0.4135367194556907</v>
      </c>
      <c r="G85" s="5"/>
      <c r="H85" s="281">
        <f>G78</f>
        <v>0</v>
      </c>
      <c r="I85" s="5" t="s">
        <v>167</v>
      </c>
      <c r="J85" s="96">
        <f>$J$66</f>
        <v>-2756905.7041250933</v>
      </c>
      <c r="K85" s="5" t="s">
        <v>167</v>
      </c>
      <c r="L85" s="6"/>
    </row>
    <row r="86" spans="1:12" ht="12.75">
      <c r="A86" s="4"/>
      <c r="B86" s="104" t="s">
        <v>638</v>
      </c>
      <c r="C86" s="5" t="s">
        <v>1545</v>
      </c>
      <c r="D86" s="152">
        <f>$D$67</f>
        <v>-0.36143043030347477</v>
      </c>
      <c r="E86" s="152">
        <f>$E$67</f>
        <v>-0.6619158832268075</v>
      </c>
      <c r="F86" s="152">
        <f>$F$67</f>
        <v>-0.6566851662575609</v>
      </c>
      <c r="G86" s="5" t="s">
        <v>641</v>
      </c>
      <c r="H86" s="281">
        <f>G79</f>
        <v>-2.3283064365386963E-10</v>
      </c>
      <c r="I86" s="5" t="s">
        <v>1546</v>
      </c>
      <c r="J86" s="96">
        <f>$J$67</f>
        <v>-4377891.963385336</v>
      </c>
      <c r="K86" s="5" t="s">
        <v>167</v>
      </c>
      <c r="L86" s="6"/>
    </row>
    <row r="87" spans="1:12" ht="12.75">
      <c r="A87" s="4"/>
      <c r="B87" s="104" t="s">
        <v>643</v>
      </c>
      <c r="C87" s="5" t="s">
        <v>167</v>
      </c>
      <c r="D87" s="152">
        <f>$D$68</f>
        <v>-0.7444466658742517</v>
      </c>
      <c r="E87" s="152">
        <f>$E$68</f>
        <v>-0.21919668699504888</v>
      </c>
      <c r="F87" s="152">
        <f>$F$68</f>
        <v>0.6306758074312863</v>
      </c>
      <c r="G87" s="5"/>
      <c r="H87" s="281">
        <f>G80</f>
        <v>-296320</v>
      </c>
      <c r="I87" s="5" t="s">
        <v>167</v>
      </c>
      <c r="J87" s="96">
        <f>$J$68</f>
        <v>4204496.6000832</v>
      </c>
      <c r="K87" s="5" t="s">
        <v>167</v>
      </c>
      <c r="L87" s="6"/>
    </row>
    <row r="88" spans="1:12" ht="12.75">
      <c r="A88" s="4"/>
      <c r="B88" s="5"/>
      <c r="C88" s="5"/>
      <c r="D88" s="5"/>
      <c r="E88" s="5"/>
      <c r="F88" s="5"/>
      <c r="G88" s="5"/>
      <c r="H88" s="5"/>
      <c r="I88" s="5"/>
      <c r="J88" s="5"/>
      <c r="K88" s="5"/>
      <c r="L88" s="6"/>
    </row>
    <row r="89" spans="1:12" ht="12.75">
      <c r="A89" s="4"/>
      <c r="B89" s="5"/>
      <c r="C89" s="5"/>
      <c r="D89" s="5"/>
      <c r="E89" s="5"/>
      <c r="F89" s="5"/>
      <c r="G89" s="5"/>
      <c r="H89" s="5"/>
      <c r="I89" s="5"/>
      <c r="J89" s="5"/>
      <c r="K89" s="5"/>
      <c r="L89" s="6"/>
    </row>
    <row r="90" spans="1:12" ht="12.75">
      <c r="A90" s="4"/>
      <c r="B90" s="5"/>
      <c r="C90" s="5" t="s">
        <v>694</v>
      </c>
      <c r="D90" s="24">
        <f>IF(H85="","",(D85*H85+E85*H86+F85*H87)+J85)</f>
        <v>-2634366.503415983</v>
      </c>
      <c r="E90" s="5" t="s">
        <v>167</v>
      </c>
      <c r="F90" s="5"/>
      <c r="G90" s="5"/>
      <c r="H90" s="5"/>
      <c r="I90" s="5"/>
      <c r="J90" s="5"/>
      <c r="K90" s="5"/>
      <c r="L90" s="6"/>
    </row>
    <row r="91" spans="1:12" ht="12.75">
      <c r="A91" s="4"/>
      <c r="B91" s="5"/>
      <c r="C91" s="5" t="s">
        <v>695</v>
      </c>
      <c r="D91" s="24">
        <f>IF(H86="","",(D86*H85+E86*H86+F86*H87)+J86)</f>
        <v>-4183303.0149198957</v>
      </c>
      <c r="E91" s="5" t="s">
        <v>167</v>
      </c>
      <c r="F91" s="5"/>
      <c r="G91" s="5"/>
      <c r="H91" s="5"/>
      <c r="I91" s="5"/>
      <c r="J91" s="5"/>
      <c r="K91" s="5"/>
      <c r="L91" s="6"/>
    </row>
    <row r="92" spans="1:12" ht="12.75">
      <c r="A92" s="4"/>
      <c r="B92" s="5"/>
      <c r="C92" s="5" t="s">
        <v>696</v>
      </c>
      <c r="D92" s="24">
        <f>IF(H85="","",(D87*H85+E87*H86+F87*H87)+J87)</f>
        <v>4017614.7448251615</v>
      </c>
      <c r="E92" s="5" t="s">
        <v>167</v>
      </c>
      <c r="F92" s="5"/>
      <c r="G92" s="5"/>
      <c r="H92" s="5"/>
      <c r="I92" s="5"/>
      <c r="J92" s="5"/>
      <c r="K92" s="5"/>
      <c r="L92" s="6"/>
    </row>
    <row r="93" spans="1:12" ht="12.75">
      <c r="A93" s="4"/>
      <c r="B93" s="5"/>
      <c r="C93" s="5"/>
      <c r="D93" s="5"/>
      <c r="E93" s="5"/>
      <c r="F93" s="5"/>
      <c r="G93" s="5"/>
      <c r="H93" s="5"/>
      <c r="I93" s="5"/>
      <c r="J93" s="5"/>
      <c r="K93" s="5"/>
      <c r="L93" s="6"/>
    </row>
    <row r="94" spans="1:12" ht="12.75">
      <c r="A94" s="4"/>
      <c r="B94" s="5"/>
      <c r="C94" s="5"/>
      <c r="D94" s="5"/>
      <c r="E94" s="5"/>
      <c r="F94" s="5"/>
      <c r="G94" s="5"/>
      <c r="H94" s="5"/>
      <c r="I94" s="5"/>
      <c r="J94" s="5"/>
      <c r="K94" s="5"/>
      <c r="L94" s="6"/>
    </row>
    <row r="95" spans="1:12" ht="12.75">
      <c r="A95" s="4"/>
      <c r="B95" s="5"/>
      <c r="C95" s="5" t="s">
        <v>1389</v>
      </c>
      <c r="D95" s="5"/>
      <c r="E95" s="5"/>
      <c r="F95" s="5"/>
      <c r="G95" s="5"/>
      <c r="H95" s="5"/>
      <c r="I95" s="5"/>
      <c r="J95" s="5"/>
      <c r="K95" s="5"/>
      <c r="L95" s="6"/>
    </row>
    <row r="96" spans="1:12" ht="12.75">
      <c r="A96" s="4"/>
      <c r="B96" s="5"/>
      <c r="C96" s="5" t="str">
        <f>SPH_REC!B206</f>
        <v>Xsn =</v>
      </c>
      <c r="D96" s="267">
        <f>SPH_REC!C206</f>
        <v>-2634366.503415983</v>
      </c>
      <c r="E96" s="5" t="str">
        <f>SPH_REC!D206</f>
        <v>m</v>
      </c>
      <c r="F96" s="5"/>
      <c r="G96" s="5"/>
      <c r="H96" s="5"/>
      <c r="I96" s="5"/>
      <c r="J96" s="5"/>
      <c r="K96" s="5"/>
      <c r="L96" s="6"/>
    </row>
    <row r="97" spans="1:12" ht="12.75">
      <c r="A97" s="4"/>
      <c r="B97" s="5"/>
      <c r="C97" s="5" t="str">
        <f>SPH_REC!B207</f>
        <v>Ysn =</v>
      </c>
      <c r="D97" s="267">
        <f>SPH_REC!C207</f>
        <v>-4183303.014919896</v>
      </c>
      <c r="E97" s="5" t="str">
        <f>SPH_REC!D207</f>
        <v>m</v>
      </c>
      <c r="F97" s="5"/>
      <c r="G97" s="5"/>
      <c r="H97" s="5"/>
      <c r="I97" s="5"/>
      <c r="J97" s="5"/>
      <c r="K97" s="5"/>
      <c r="L97" s="6"/>
    </row>
    <row r="98" spans="1:12" ht="12.75">
      <c r="A98" s="4"/>
      <c r="B98" s="5"/>
      <c r="C98" s="5" t="str">
        <f>SPH_REC!B208</f>
        <v>Zsn =</v>
      </c>
      <c r="D98" s="267">
        <f>SPH_REC!C208</f>
        <v>4017614.744825162</v>
      </c>
      <c r="E98" s="5" t="str">
        <f>SPH_REC!D208</f>
        <v>m</v>
      </c>
      <c r="F98" s="5"/>
      <c r="G98" s="5"/>
      <c r="H98" s="5"/>
      <c r="I98" s="5"/>
      <c r="J98" s="5"/>
      <c r="K98" s="5"/>
      <c r="L98" s="6"/>
    </row>
    <row r="99" spans="1:12" ht="12.75">
      <c r="A99" s="4"/>
      <c r="B99" s="5"/>
      <c r="C99" s="5"/>
      <c r="D99" s="5"/>
      <c r="E99" s="5"/>
      <c r="F99" s="5"/>
      <c r="G99" s="5"/>
      <c r="H99" s="5"/>
      <c r="I99" s="5"/>
      <c r="J99" s="5"/>
      <c r="K99" s="5"/>
      <c r="L99" s="6"/>
    </row>
    <row r="100" spans="1:12" ht="12.75">
      <c r="A100" s="4"/>
      <c r="B100" s="5"/>
      <c r="C100" s="5"/>
      <c r="D100" s="5"/>
      <c r="E100" s="5"/>
      <c r="F100" s="5"/>
      <c r="G100" s="5"/>
      <c r="H100" s="5"/>
      <c r="I100" s="5"/>
      <c r="J100" s="5"/>
      <c r="K100" s="5"/>
      <c r="L100" s="6"/>
    </row>
    <row r="101" spans="1:12" ht="12.75">
      <c r="A101" s="4"/>
      <c r="B101" s="5"/>
      <c r="C101" s="5"/>
      <c r="D101" s="5" t="s">
        <v>795</v>
      </c>
      <c r="E101" s="5"/>
      <c r="F101" s="5"/>
      <c r="G101" s="5"/>
      <c r="H101" s="5"/>
      <c r="I101" s="5"/>
      <c r="J101" s="5"/>
      <c r="K101" s="5"/>
      <c r="L101" s="6"/>
    </row>
    <row r="102" spans="1:12" ht="13.5" thickBot="1">
      <c r="A102" s="4"/>
      <c r="B102" s="5"/>
      <c r="C102" s="5"/>
      <c r="D102" s="282">
        <f>D90-D96</f>
        <v>0</v>
      </c>
      <c r="E102" s="5"/>
      <c r="F102" s="5"/>
      <c r="G102" s="5"/>
      <c r="H102" s="5"/>
      <c r="I102" s="88" t="s">
        <v>1196</v>
      </c>
      <c r="J102" s="115"/>
      <c r="K102" s="115"/>
      <c r="L102" s="192"/>
    </row>
    <row r="103" spans="1:12" ht="13.5" thickBot="1">
      <c r="A103" s="4"/>
      <c r="B103" s="5"/>
      <c r="C103" s="5"/>
      <c r="D103" s="282">
        <f>D91-D97</f>
        <v>0</v>
      </c>
      <c r="E103" s="5"/>
      <c r="F103" s="5"/>
      <c r="G103" s="5"/>
      <c r="H103" s="5"/>
      <c r="I103" s="283" t="str">
        <f>IF((TRUNC((SUM(D102:D104)*1000000)))/1000000=0,"None","Reverse Transformation does not Yield same Coordiantes for pc")</f>
        <v>None</v>
      </c>
      <c r="J103" s="116"/>
      <c r="K103" s="116"/>
      <c r="L103" s="87"/>
    </row>
    <row r="104" spans="1:12" ht="12.75">
      <c r="A104" s="4"/>
      <c r="B104" s="5"/>
      <c r="C104" s="5"/>
      <c r="D104" s="282">
        <f>D92-D98</f>
        <v>0</v>
      </c>
      <c r="E104" s="5"/>
      <c r="F104" s="5"/>
      <c r="G104" s="5"/>
      <c r="H104" s="5"/>
      <c r="I104" s="5"/>
      <c r="J104" s="5"/>
      <c r="K104" s="5"/>
      <c r="L104" s="6"/>
    </row>
    <row r="105" spans="1:12" ht="12.75">
      <c r="A105" s="4"/>
      <c r="B105" s="5"/>
      <c r="C105" s="5"/>
      <c r="D105" s="5"/>
      <c r="E105" s="5"/>
      <c r="F105" s="5"/>
      <c r="G105" s="5"/>
      <c r="H105" s="5"/>
      <c r="I105" s="5"/>
      <c r="J105" s="5"/>
      <c r="K105" s="5"/>
      <c r="L105" s="6"/>
    </row>
    <row r="106" spans="1:12" ht="12.75">
      <c r="A106" s="4"/>
      <c r="B106" s="5"/>
      <c r="C106" s="5"/>
      <c r="D106" s="5"/>
      <c r="E106" s="5"/>
      <c r="F106" s="5"/>
      <c r="G106" s="5"/>
      <c r="H106" s="5"/>
      <c r="I106" s="5"/>
      <c r="J106" s="5"/>
      <c r="K106" s="5"/>
      <c r="L106" s="6"/>
    </row>
    <row r="107" spans="1:12" ht="12.75">
      <c r="A107" s="4"/>
      <c r="B107" s="5"/>
      <c r="C107" s="5"/>
      <c r="D107" s="5"/>
      <c r="E107" s="5"/>
      <c r="F107" s="5"/>
      <c r="G107" s="5"/>
      <c r="H107" s="5"/>
      <c r="I107" s="5"/>
      <c r="J107" s="5"/>
      <c r="K107" s="5"/>
      <c r="L107" s="6"/>
    </row>
    <row r="108" spans="1:12" ht="15.75">
      <c r="A108" s="4"/>
      <c r="B108" s="16" t="s">
        <v>1390</v>
      </c>
      <c r="C108" s="5"/>
      <c r="D108" s="5"/>
      <c r="E108" s="5"/>
      <c r="F108" s="5"/>
      <c r="G108" s="5"/>
      <c r="H108" s="5"/>
      <c r="I108" s="5"/>
      <c r="J108" s="5"/>
      <c r="K108" s="5"/>
      <c r="L108" s="6"/>
    </row>
    <row r="109" spans="1:12" ht="12.75">
      <c r="A109" s="4"/>
      <c r="B109" s="5"/>
      <c r="C109" s="5"/>
      <c r="D109" s="5"/>
      <c r="E109" s="5"/>
      <c r="F109" s="5"/>
      <c r="G109" s="5"/>
      <c r="H109" s="5"/>
      <c r="I109" s="5"/>
      <c r="J109" s="5"/>
      <c r="K109" s="5"/>
      <c r="L109" s="6"/>
    </row>
    <row r="110" spans="1:12" ht="12.75">
      <c r="A110" s="4"/>
      <c r="B110" s="5"/>
      <c r="C110" s="5" t="s">
        <v>31</v>
      </c>
      <c r="D110" s="5"/>
      <c r="E110" s="5"/>
      <c r="F110" s="5" t="str">
        <f>Trans_Origin!D387</f>
        <v>X_Lpc  =</v>
      </c>
      <c r="G110" s="5">
        <f>Trans_Origin!E387</f>
        <v>92674.10063604917</v>
      </c>
      <c r="H110" s="5" t="str">
        <f>Trans_Origin!F387</f>
        <v>m</v>
      </c>
      <c r="I110" s="5"/>
      <c r="J110" s="5"/>
      <c r="K110" s="5"/>
      <c r="L110" s="6"/>
    </row>
    <row r="111" spans="1:12" ht="12.75">
      <c r="A111" s="4"/>
      <c r="B111" s="5"/>
      <c r="C111" s="5"/>
      <c r="D111" s="5"/>
      <c r="E111" s="5"/>
      <c r="F111" s="5" t="str">
        <f>Trans_Origin!D388</f>
        <v>Y_Lpc  =</v>
      </c>
      <c r="G111" s="5">
        <f>Trans_Origin!E388</f>
        <v>-2.3283064365386963E-10</v>
      </c>
      <c r="H111" s="5" t="str">
        <f>Trans_Origin!F388</f>
        <v>m</v>
      </c>
      <c r="I111" s="5"/>
      <c r="J111" s="5"/>
      <c r="K111" s="5"/>
      <c r="L111" s="6"/>
    </row>
    <row r="112" spans="1:12" ht="12.75">
      <c r="A112" s="4"/>
      <c r="B112" s="5"/>
      <c r="C112" s="5"/>
      <c r="D112" s="5"/>
      <c r="E112" s="5"/>
      <c r="F112" s="5" t="str">
        <f>Trans_Origin!D389</f>
        <v>Z_Lpc  =</v>
      </c>
      <c r="G112" s="5">
        <f>Trans_Origin!E389</f>
        <v>-296994.1361666601</v>
      </c>
      <c r="H112" s="5" t="str">
        <f>Trans_Origin!F389</f>
        <v>m</v>
      </c>
      <c r="I112" s="5"/>
      <c r="J112" s="5"/>
      <c r="K112" s="5"/>
      <c r="L112" s="6"/>
    </row>
    <row r="113" spans="1:12" ht="12.75">
      <c r="A113" s="4"/>
      <c r="B113" s="5"/>
      <c r="C113" s="5"/>
      <c r="D113" s="5"/>
      <c r="E113" s="5"/>
      <c r="F113" s="5"/>
      <c r="G113" s="5"/>
      <c r="H113" s="5"/>
      <c r="I113" s="5"/>
      <c r="J113" s="5"/>
      <c r="K113" s="5"/>
      <c r="L113" s="6"/>
    </row>
    <row r="114" spans="1:12" ht="12.75">
      <c r="A114" s="4"/>
      <c r="B114" s="5"/>
      <c r="C114" s="5"/>
      <c r="D114" s="5"/>
      <c r="E114" s="5"/>
      <c r="F114" s="5"/>
      <c r="G114" s="5"/>
      <c r="H114" s="5"/>
      <c r="I114" s="5"/>
      <c r="J114" s="5"/>
      <c r="K114" s="5"/>
      <c r="L114" s="6"/>
    </row>
    <row r="115" spans="1:12" ht="12.75">
      <c r="A115" s="4"/>
      <c r="B115" s="5" t="s">
        <v>1499</v>
      </c>
      <c r="C115" s="5"/>
      <c r="D115" s="15" t="s">
        <v>640</v>
      </c>
      <c r="E115" s="15"/>
      <c r="F115" s="15"/>
      <c r="G115" s="5"/>
      <c r="H115" s="5" t="s">
        <v>1615</v>
      </c>
      <c r="I115" s="5"/>
      <c r="J115" s="5" t="s">
        <v>1544</v>
      </c>
      <c r="K115" s="5"/>
      <c r="L115" s="6"/>
    </row>
    <row r="116" spans="1:12" ht="12.75">
      <c r="A116" s="4"/>
      <c r="B116" s="5"/>
      <c r="C116" s="5"/>
      <c r="D116" s="5"/>
      <c r="E116" s="5"/>
      <c r="F116" s="5"/>
      <c r="G116" s="5"/>
      <c r="H116" s="5"/>
      <c r="I116" s="5"/>
      <c r="J116" s="5"/>
      <c r="K116" s="5"/>
      <c r="L116" s="6"/>
    </row>
    <row r="117" spans="1:12" ht="12.75">
      <c r="A117" s="4"/>
      <c r="B117" s="104" t="s">
        <v>636</v>
      </c>
      <c r="C117" s="5" t="s">
        <v>167</v>
      </c>
      <c r="D117" s="152">
        <f>$D$66</f>
        <v>-0.5613975469481101</v>
      </c>
      <c r="E117" s="152">
        <f>$E$66</f>
        <v>0.7168125110114011</v>
      </c>
      <c r="F117" s="152">
        <f>$F$66</f>
        <v>-0.4135367194556907</v>
      </c>
      <c r="G117" s="5"/>
      <c r="H117" s="281">
        <f>G110</f>
        <v>92674.10063604917</v>
      </c>
      <c r="I117" s="5" t="s">
        <v>167</v>
      </c>
      <c r="J117" s="96">
        <f>$J$66</f>
        <v>-2756905.7041250933</v>
      </c>
      <c r="K117" s="5" t="s">
        <v>167</v>
      </c>
      <c r="L117" s="6"/>
    </row>
    <row r="118" spans="1:12" ht="12.75">
      <c r="A118" s="4"/>
      <c r="B118" s="104" t="s">
        <v>638</v>
      </c>
      <c r="C118" s="5" t="s">
        <v>1545</v>
      </c>
      <c r="D118" s="152">
        <f>$D$67</f>
        <v>-0.36143043030347477</v>
      </c>
      <c r="E118" s="152">
        <f>$E$67</f>
        <v>-0.6619158832268075</v>
      </c>
      <c r="F118" s="152">
        <f>$F$67</f>
        <v>-0.6566851662575609</v>
      </c>
      <c r="G118" s="5" t="s">
        <v>641</v>
      </c>
      <c r="H118" s="281">
        <f>G111</f>
        <v>-2.3283064365386963E-10</v>
      </c>
      <c r="I118" s="5" t="s">
        <v>1546</v>
      </c>
      <c r="J118" s="96">
        <f>$J$67</f>
        <v>-4377891.963385336</v>
      </c>
      <c r="K118" s="5" t="s">
        <v>167</v>
      </c>
      <c r="L118" s="6"/>
    </row>
    <row r="119" spans="1:12" ht="12.75">
      <c r="A119" s="4"/>
      <c r="B119" s="104" t="s">
        <v>643</v>
      </c>
      <c r="C119" s="5" t="s">
        <v>167</v>
      </c>
      <c r="D119" s="152">
        <f>$D$68</f>
        <v>-0.7444466658742517</v>
      </c>
      <c r="E119" s="152">
        <f>$E$68</f>
        <v>-0.21919668699504888</v>
      </c>
      <c r="F119" s="152">
        <f>$F$68</f>
        <v>0.6306758074312863</v>
      </c>
      <c r="G119" s="5"/>
      <c r="H119" s="281">
        <f>G112</f>
        <v>-296994.1361666601</v>
      </c>
      <c r="I119" s="5" t="s">
        <v>167</v>
      </c>
      <c r="J119" s="96">
        <f>$J$68</f>
        <v>4204496.6000832</v>
      </c>
      <c r="K119" s="5" t="s">
        <v>167</v>
      </c>
      <c r="L119" s="6"/>
    </row>
    <row r="120" spans="1:12" ht="12.75">
      <c r="A120" s="4"/>
      <c r="B120" s="5"/>
      <c r="C120" s="5"/>
      <c r="D120" s="5"/>
      <c r="E120" s="5"/>
      <c r="F120" s="5"/>
      <c r="G120" s="5"/>
      <c r="H120" s="5"/>
      <c r="I120" s="5"/>
      <c r="J120" s="5"/>
      <c r="K120" s="5"/>
      <c r="L120" s="6"/>
    </row>
    <row r="121" spans="1:12" ht="12.75">
      <c r="A121" s="4"/>
      <c r="B121" s="5"/>
      <c r="C121" s="5"/>
      <c r="D121" s="5"/>
      <c r="E121" s="5"/>
      <c r="F121" s="5"/>
      <c r="G121" s="5"/>
      <c r="H121" s="5"/>
      <c r="I121" s="5"/>
      <c r="J121" s="5"/>
      <c r="K121" s="5"/>
      <c r="L121" s="6"/>
    </row>
    <row r="122" spans="1:12" ht="12.75">
      <c r="A122" s="4"/>
      <c r="B122" s="5"/>
      <c r="C122" s="5" t="s">
        <v>697</v>
      </c>
      <c r="D122" s="24">
        <f>IF(H117="","",(D117*H117+E117*H118+F117*H119)+J117)</f>
        <v>-2686114.7361198566</v>
      </c>
      <c r="E122" s="5" t="s">
        <v>167</v>
      </c>
      <c r="F122" s="5"/>
      <c r="G122" s="5"/>
      <c r="H122" s="5"/>
      <c r="I122" s="5"/>
      <c r="J122" s="5"/>
      <c r="K122" s="5"/>
      <c r="L122" s="6"/>
    </row>
    <row r="123" spans="1:12" ht="12.75">
      <c r="A123" s="4"/>
      <c r="B123" s="5"/>
      <c r="C123" s="5" t="s">
        <v>698</v>
      </c>
      <c r="D123" s="24">
        <f>IF(H118="","",(D118*H117+E118*H118+F118*H119)+J118)</f>
        <v>-4216355.559770087</v>
      </c>
      <c r="E123" s="5" t="s">
        <v>167</v>
      </c>
      <c r="F123" s="5"/>
      <c r="G123" s="5"/>
      <c r="H123" s="5"/>
      <c r="I123" s="5"/>
      <c r="J123" s="5"/>
      <c r="K123" s="5"/>
      <c r="L123" s="6"/>
    </row>
    <row r="124" spans="1:12" ht="12.75">
      <c r="A124" s="4"/>
      <c r="B124" s="5"/>
      <c r="C124" s="5" t="s">
        <v>699</v>
      </c>
      <c r="D124" s="24">
        <f>IF(H117="","",(D119*H117+E119*H118+F119*H119)+J119)</f>
        <v>3948198.658222533</v>
      </c>
      <c r="E124" s="5" t="s">
        <v>167</v>
      </c>
      <c r="F124" s="5"/>
      <c r="G124" s="5"/>
      <c r="H124" s="5"/>
      <c r="I124" s="5"/>
      <c r="J124" s="5"/>
      <c r="K124" s="5"/>
      <c r="L124" s="6"/>
    </row>
    <row r="125" spans="1:12" ht="12.75">
      <c r="A125" s="4"/>
      <c r="B125" s="5"/>
      <c r="C125" s="5"/>
      <c r="D125" s="5"/>
      <c r="E125" s="5"/>
      <c r="F125" s="5"/>
      <c r="G125" s="5"/>
      <c r="H125" s="5"/>
      <c r="I125" s="5"/>
      <c r="J125" s="5"/>
      <c r="K125" s="5"/>
      <c r="L125" s="6"/>
    </row>
    <row r="126" spans="1:12" ht="12.75">
      <c r="A126" s="4"/>
      <c r="B126" s="5"/>
      <c r="C126" s="5"/>
      <c r="D126" s="5"/>
      <c r="E126" s="5"/>
      <c r="F126" s="5"/>
      <c r="G126" s="5"/>
      <c r="H126" s="5"/>
      <c r="I126" s="5"/>
      <c r="J126" s="5"/>
      <c r="K126" s="5"/>
      <c r="L126" s="6"/>
    </row>
    <row r="127" spans="1:12" ht="12.75">
      <c r="A127" s="4"/>
      <c r="B127" s="5"/>
      <c r="C127" s="5" t="s">
        <v>1389</v>
      </c>
      <c r="D127" s="5"/>
      <c r="E127" s="5"/>
      <c r="F127" s="5"/>
      <c r="G127" s="5"/>
      <c r="H127" s="5"/>
      <c r="I127" s="5"/>
      <c r="J127" s="5"/>
      <c r="K127" s="5"/>
      <c r="L127" s="6"/>
    </row>
    <row r="128" spans="1:12" ht="12.75">
      <c r="A128" s="4"/>
      <c r="B128" s="5"/>
      <c r="C128" s="5" t="str">
        <f>SPH_REC!B213</f>
        <v>Xpc =</v>
      </c>
      <c r="D128" s="267">
        <f>SPH_REC!C213</f>
        <v>-2686114.7361198566</v>
      </c>
      <c r="E128" s="5" t="str">
        <f>SPH_REC!D213</f>
        <v>m</v>
      </c>
      <c r="F128" s="5"/>
      <c r="G128" s="5"/>
      <c r="H128" s="5"/>
      <c r="I128" s="5"/>
      <c r="J128" s="5"/>
      <c r="K128" s="5"/>
      <c r="L128" s="6"/>
    </row>
    <row r="129" spans="1:12" ht="12.75">
      <c r="A129" s="4"/>
      <c r="B129" s="5"/>
      <c r="C129" s="5" t="str">
        <f>SPH_REC!B214</f>
        <v>Ypc =</v>
      </c>
      <c r="D129" s="267">
        <f>SPH_REC!C214</f>
        <v>-4216355.559770088</v>
      </c>
      <c r="E129" s="5" t="str">
        <f>SPH_REC!D214</f>
        <v>m</v>
      </c>
      <c r="F129" s="5"/>
      <c r="G129" s="5"/>
      <c r="H129" s="5"/>
      <c r="I129" s="5"/>
      <c r="J129" s="5"/>
      <c r="K129" s="5"/>
      <c r="L129" s="6"/>
    </row>
    <row r="130" spans="1:12" ht="12.75">
      <c r="A130" s="4"/>
      <c r="B130" s="5"/>
      <c r="C130" s="5" t="str">
        <f>SPH_REC!B215</f>
        <v>Zpc =</v>
      </c>
      <c r="D130" s="267">
        <f>SPH_REC!C215</f>
        <v>3948198.6582225338</v>
      </c>
      <c r="E130" s="5" t="str">
        <f>SPH_REC!D215</f>
        <v>m</v>
      </c>
      <c r="F130" s="5"/>
      <c r="G130" s="5"/>
      <c r="H130" s="5"/>
      <c r="I130" s="5"/>
      <c r="J130" s="5"/>
      <c r="K130" s="5"/>
      <c r="L130" s="6"/>
    </row>
    <row r="131" spans="1:12" ht="12.75">
      <c r="A131" s="4"/>
      <c r="B131" s="5"/>
      <c r="C131" s="5"/>
      <c r="D131" s="5"/>
      <c r="E131" s="5"/>
      <c r="F131" s="5"/>
      <c r="G131" s="5"/>
      <c r="H131" s="5"/>
      <c r="I131" s="5"/>
      <c r="J131" s="5"/>
      <c r="K131" s="5"/>
      <c r="L131" s="6"/>
    </row>
    <row r="132" spans="1:12" ht="12.75">
      <c r="A132" s="4"/>
      <c r="B132" s="5"/>
      <c r="C132" s="5"/>
      <c r="D132" s="5"/>
      <c r="E132" s="5"/>
      <c r="F132" s="5"/>
      <c r="G132" s="5"/>
      <c r="H132" s="5"/>
      <c r="I132" s="5"/>
      <c r="J132" s="5"/>
      <c r="K132" s="5"/>
      <c r="L132" s="6"/>
    </row>
    <row r="133" spans="1:12" ht="12.75">
      <c r="A133" s="4"/>
      <c r="B133" s="5"/>
      <c r="C133" s="5"/>
      <c r="D133" s="5" t="s">
        <v>795</v>
      </c>
      <c r="E133" s="5"/>
      <c r="F133" s="5"/>
      <c r="G133" s="5"/>
      <c r="H133" s="5"/>
      <c r="I133" s="5"/>
      <c r="J133" s="5"/>
      <c r="K133" s="5"/>
      <c r="L133" s="6"/>
    </row>
    <row r="134" spans="1:12" ht="13.5" thickBot="1">
      <c r="A134" s="4"/>
      <c r="B134" s="5"/>
      <c r="C134" s="5"/>
      <c r="D134" s="282">
        <f>D122-D128</f>
        <v>0</v>
      </c>
      <c r="E134" s="5"/>
      <c r="F134" s="5"/>
      <c r="G134" s="5"/>
      <c r="H134" s="5"/>
      <c r="I134" s="88" t="s">
        <v>1779</v>
      </c>
      <c r="J134" s="115"/>
      <c r="K134" s="115"/>
      <c r="L134" s="192"/>
    </row>
    <row r="135" spans="1:12" ht="13.5" thickBot="1">
      <c r="A135" s="4"/>
      <c r="B135" s="5"/>
      <c r="C135" s="5"/>
      <c r="D135" s="282">
        <f>D123-D129</f>
        <v>0</v>
      </c>
      <c r="E135" s="5"/>
      <c r="F135" s="5"/>
      <c r="G135" s="5"/>
      <c r="H135" s="5"/>
      <c r="I135" s="283" t="str">
        <f>IF((TRUNC((SUM(D134:D136)*1000000)))/1000000=0,"None","Reverse Tranformation does not Yield same Coordiantes for sn")</f>
        <v>None</v>
      </c>
      <c r="J135" s="116"/>
      <c r="K135" s="116"/>
      <c r="L135" s="87"/>
    </row>
    <row r="136" spans="1:12" ht="12.75">
      <c r="A136" s="4"/>
      <c r="B136" s="5"/>
      <c r="C136" s="5"/>
      <c r="D136" s="282">
        <f>D124-D130</f>
        <v>0</v>
      </c>
      <c r="E136" s="5"/>
      <c r="F136" s="5"/>
      <c r="G136" s="5"/>
      <c r="H136" s="5"/>
      <c r="I136" s="5"/>
      <c r="J136" s="5"/>
      <c r="K136" s="5"/>
      <c r="L136" s="6"/>
    </row>
    <row r="137" spans="1:12" ht="12.75">
      <c r="A137" s="4"/>
      <c r="B137" s="5"/>
      <c r="C137" s="5"/>
      <c r="D137" s="5"/>
      <c r="E137" s="5"/>
      <c r="F137" s="5"/>
      <c r="G137" s="5"/>
      <c r="H137" s="5"/>
      <c r="I137" s="5"/>
      <c r="J137" s="5"/>
      <c r="K137" s="5"/>
      <c r="L137" s="6"/>
    </row>
    <row r="138" spans="1:12" ht="13.5" thickBot="1">
      <c r="A138" s="7"/>
      <c r="B138" s="8"/>
      <c r="C138" s="8"/>
      <c r="D138" s="8"/>
      <c r="E138" s="8"/>
      <c r="F138" s="8"/>
      <c r="G138" s="8"/>
      <c r="H138" s="8"/>
      <c r="I138" s="8"/>
      <c r="J138" s="8"/>
      <c r="K138" s="8"/>
      <c r="L138" s="9"/>
    </row>
    <row r="139" spans="1:12" ht="12.75">
      <c r="A139" s="5"/>
      <c r="B139" s="5"/>
      <c r="C139" s="5"/>
      <c r="D139" s="5"/>
      <c r="E139" s="5"/>
      <c r="F139" s="5"/>
      <c r="G139" s="5"/>
      <c r="H139" s="5"/>
      <c r="I139" s="5"/>
      <c r="J139" s="5"/>
      <c r="K139" s="5"/>
      <c r="L139" s="5"/>
    </row>
    <row r="140" ht="13.5" thickBot="1"/>
    <row r="141" spans="1:12" ht="12.75">
      <c r="A141" s="51"/>
      <c r="B141" s="2"/>
      <c r="C141" s="2"/>
      <c r="D141" s="2"/>
      <c r="E141" s="2"/>
      <c r="F141" s="2"/>
      <c r="G141" s="2"/>
      <c r="H141" s="2"/>
      <c r="I141" s="2"/>
      <c r="J141" s="2"/>
      <c r="K141" s="2"/>
      <c r="L141" s="3"/>
    </row>
    <row r="142" spans="1:12" ht="12.75">
      <c r="A142" s="10" t="s">
        <v>17</v>
      </c>
      <c r="B142" s="5"/>
      <c r="C142" s="5"/>
      <c r="D142" s="5"/>
      <c r="E142" s="5"/>
      <c r="F142" s="5"/>
      <c r="G142" s="5"/>
      <c r="H142" s="5"/>
      <c r="I142" s="5"/>
      <c r="J142" s="5"/>
      <c r="K142" s="5"/>
      <c r="L142" s="6"/>
    </row>
    <row r="143" spans="1:12" ht="12.75">
      <c r="A143" s="4"/>
      <c r="B143" s="5"/>
      <c r="C143" s="5"/>
      <c r="D143" s="5"/>
      <c r="E143" s="5"/>
      <c r="F143" s="5"/>
      <c r="G143" s="5"/>
      <c r="H143" s="5"/>
      <c r="I143" s="5"/>
      <c r="J143" s="5"/>
      <c r="K143" s="5"/>
      <c r="L143" s="6"/>
    </row>
    <row r="144" spans="1:12" ht="12.75">
      <c r="A144" s="4"/>
      <c r="B144" s="5" t="s">
        <v>1499</v>
      </c>
      <c r="C144" s="5"/>
      <c r="D144" s="15" t="s">
        <v>640</v>
      </c>
      <c r="E144" s="15"/>
      <c r="F144" s="15"/>
      <c r="G144" s="5"/>
      <c r="H144" s="5" t="s">
        <v>1615</v>
      </c>
      <c r="I144" s="5"/>
      <c r="J144" s="5" t="s">
        <v>1544</v>
      </c>
      <c r="K144" s="5"/>
      <c r="L144" s="6"/>
    </row>
    <row r="145" spans="1:12" ht="12.75">
      <c r="A145" s="4"/>
      <c r="B145" s="5"/>
      <c r="C145" s="5"/>
      <c r="D145" s="5"/>
      <c r="E145" s="5"/>
      <c r="F145" s="5"/>
      <c r="G145" s="5"/>
      <c r="H145" s="5"/>
      <c r="I145" s="5"/>
      <c r="J145" s="5"/>
      <c r="K145" s="5"/>
      <c r="L145" s="6"/>
    </row>
    <row r="146" spans="1:12" ht="12.75">
      <c r="A146" s="4"/>
      <c r="B146" s="104" t="s">
        <v>636</v>
      </c>
      <c r="C146" s="5" t="s">
        <v>167</v>
      </c>
      <c r="D146" s="152">
        <f>$D$66</f>
        <v>-0.5613975469481101</v>
      </c>
      <c r="E146" s="152">
        <f>$E$66</f>
        <v>0.7168125110114011</v>
      </c>
      <c r="F146" s="152">
        <f>$F$66</f>
        <v>-0.4135367194556907</v>
      </c>
      <c r="G146" s="5"/>
      <c r="H146" s="195">
        <f>Intersection_Calc!I267</f>
        <v>195436.13842839544</v>
      </c>
      <c r="I146" s="5" t="s">
        <v>167</v>
      </c>
      <c r="J146" s="96">
        <f>$J$66</f>
        <v>-2756905.7041250933</v>
      </c>
      <c r="K146" s="5" t="s">
        <v>167</v>
      </c>
      <c r="L146" s="6"/>
    </row>
    <row r="147" spans="1:12" ht="12.75">
      <c r="A147" s="4"/>
      <c r="B147" s="104" t="s">
        <v>638</v>
      </c>
      <c r="C147" s="5" t="s">
        <v>1545</v>
      </c>
      <c r="D147" s="152">
        <f>$D$67</f>
        <v>-0.36143043030347477</v>
      </c>
      <c r="E147" s="152">
        <f>$E$67</f>
        <v>-0.6619158832268075</v>
      </c>
      <c r="F147" s="152">
        <f>$F$67</f>
        <v>-0.6566851662575609</v>
      </c>
      <c r="G147" s="5" t="s">
        <v>641</v>
      </c>
      <c r="H147" s="195">
        <f>Intersection_Calc!I268</f>
        <v>-50680.59989202483</v>
      </c>
      <c r="I147" s="5" t="s">
        <v>1546</v>
      </c>
      <c r="J147" s="96">
        <f>$J$67</f>
        <v>-4377891.963385336</v>
      </c>
      <c r="K147" s="5" t="s">
        <v>167</v>
      </c>
      <c r="L147" s="6"/>
    </row>
    <row r="148" spans="1:12" ht="12.75">
      <c r="A148" s="4"/>
      <c r="B148" s="104" t="s">
        <v>643</v>
      </c>
      <c r="C148" s="5" t="s">
        <v>167</v>
      </c>
      <c r="D148" s="152">
        <f>$D$68</f>
        <v>-0.7444466658742517</v>
      </c>
      <c r="E148" s="152">
        <f>$E$68</f>
        <v>-0.21919668699504888</v>
      </c>
      <c r="F148" s="152">
        <f>$F$68</f>
        <v>0.6306758074312863</v>
      </c>
      <c r="G148" s="5"/>
      <c r="H148" s="195">
        <f>Intersection_Calc!I269</f>
        <v>-299520.30766353675</v>
      </c>
      <c r="I148" s="5" t="s">
        <v>167</v>
      </c>
      <c r="J148" s="96">
        <f>$J$68</f>
        <v>4204496.6000832</v>
      </c>
      <c r="K148" s="5" t="s">
        <v>167</v>
      </c>
      <c r="L148" s="6"/>
    </row>
    <row r="149" spans="1:12" ht="12.75">
      <c r="A149" s="4"/>
      <c r="B149" s="5"/>
      <c r="C149" s="5"/>
      <c r="D149" s="5"/>
      <c r="E149" s="5"/>
      <c r="F149" s="5"/>
      <c r="G149" s="5"/>
      <c r="H149" s="5"/>
      <c r="I149" s="5"/>
      <c r="J149" s="5"/>
      <c r="K149" s="5"/>
      <c r="L149" s="6"/>
    </row>
    <row r="150" spans="1:12" ht="12.75">
      <c r="A150" s="4"/>
      <c r="B150" s="5"/>
      <c r="C150" s="5"/>
      <c r="D150" s="5"/>
      <c r="E150" s="5"/>
      <c r="F150" s="5"/>
      <c r="G150" s="5"/>
      <c r="H150" s="5"/>
      <c r="I150" s="5"/>
      <c r="J150" s="5"/>
      <c r="K150" s="5"/>
      <c r="L150" s="6"/>
    </row>
    <row r="151" spans="1:12" ht="12.75">
      <c r="A151" s="4"/>
      <c r="B151" s="5"/>
      <c r="C151" s="5" t="s">
        <v>18</v>
      </c>
      <c r="D151" s="24">
        <f>IF(H146="","",(D146*H146+E146*H147+F146*H148)+J146)</f>
        <v>-2779088.915450434</v>
      </c>
      <c r="E151" s="5" t="s">
        <v>167</v>
      </c>
      <c r="F151" s="5"/>
      <c r="G151" s="5"/>
      <c r="H151" s="5"/>
      <c r="I151" s="5"/>
      <c r="J151" s="5"/>
      <c r="K151" s="5"/>
      <c r="L151" s="6"/>
    </row>
    <row r="152" spans="1:12" ht="12.75">
      <c r="A152" s="4"/>
      <c r="B152" s="5"/>
      <c r="C152" s="5" t="s">
        <v>280</v>
      </c>
      <c r="D152" s="24">
        <f>IF(H147="","",(D147*H146+E147*H147+F147*H148)+J147)</f>
        <v>-4218291.693918821</v>
      </c>
      <c r="E152" s="5" t="s">
        <v>167</v>
      </c>
      <c r="F152" s="5"/>
      <c r="G152" s="5"/>
      <c r="H152" s="5"/>
      <c r="I152" s="5"/>
      <c r="J152" s="5"/>
      <c r="K152" s="5"/>
      <c r="L152" s="6"/>
    </row>
    <row r="153" spans="1:12" ht="12.75">
      <c r="A153" s="4"/>
      <c r="B153" s="5"/>
      <c r="C153" s="5" t="s">
        <v>281</v>
      </c>
      <c r="D153" s="24">
        <f>IF(H146="","",(D148*H146+E148*H147+F148*H148)+J148)</f>
        <v>3881213.6261523277</v>
      </c>
      <c r="E153" s="5" t="s">
        <v>167</v>
      </c>
      <c r="F153" s="5"/>
      <c r="G153" s="5"/>
      <c r="H153" s="5"/>
      <c r="I153" s="5"/>
      <c r="J153" s="5"/>
      <c r="K153" s="5"/>
      <c r="L153" s="6"/>
    </row>
    <row r="154" spans="1:12" ht="12.75">
      <c r="A154" s="4"/>
      <c r="B154" s="5"/>
      <c r="C154" s="5"/>
      <c r="D154" s="5"/>
      <c r="E154" s="5"/>
      <c r="F154" s="5"/>
      <c r="G154" s="5"/>
      <c r="H154" s="5"/>
      <c r="I154" s="5"/>
      <c r="J154" s="5"/>
      <c r="K154" s="5"/>
      <c r="L154" s="6"/>
    </row>
    <row r="155" spans="1:12" ht="13.5" thickBot="1">
      <c r="A155" s="7"/>
      <c r="B155" s="8"/>
      <c r="C155" s="8"/>
      <c r="D155" s="8"/>
      <c r="E155" s="8"/>
      <c r="F155" s="8"/>
      <c r="G155" s="8"/>
      <c r="H155" s="8"/>
      <c r="I155" s="8"/>
      <c r="J155" s="8"/>
      <c r="K155" s="8"/>
      <c r="L155" s="9"/>
    </row>
    <row r="156" ht="13.5" thickBot="1"/>
    <row r="157" spans="1:12" ht="12.75">
      <c r="A157" s="51"/>
      <c r="B157" s="2"/>
      <c r="C157" s="2"/>
      <c r="D157" s="2"/>
      <c r="E157" s="2"/>
      <c r="F157" s="2"/>
      <c r="G157" s="2"/>
      <c r="H157" s="2"/>
      <c r="I157" s="2"/>
      <c r="J157" s="2"/>
      <c r="K157" s="2"/>
      <c r="L157" s="3"/>
    </row>
    <row r="158" spans="1:12" ht="12.75">
      <c r="A158" s="10" t="s">
        <v>1606</v>
      </c>
      <c r="B158" s="5"/>
      <c r="C158" s="5"/>
      <c r="D158" s="5"/>
      <c r="E158" s="5"/>
      <c r="F158" s="5"/>
      <c r="G158" s="5"/>
      <c r="H158" s="5"/>
      <c r="I158" s="5"/>
      <c r="J158" s="5"/>
      <c r="K158" s="5"/>
      <c r="L158" s="6"/>
    </row>
    <row r="159" spans="1:12" ht="12.75">
      <c r="A159" s="4"/>
      <c r="B159" s="5"/>
      <c r="C159" s="5"/>
      <c r="D159" s="5"/>
      <c r="E159" s="5"/>
      <c r="F159" s="5"/>
      <c r="G159" s="5"/>
      <c r="H159" s="5"/>
      <c r="I159" s="5"/>
      <c r="J159" s="5"/>
      <c r="K159" s="5"/>
      <c r="L159" s="6"/>
    </row>
    <row r="160" spans="1:12" ht="12.75">
      <c r="A160" s="4"/>
      <c r="B160" s="5" t="s">
        <v>1499</v>
      </c>
      <c r="C160" s="5"/>
      <c r="D160" s="15" t="s">
        <v>640</v>
      </c>
      <c r="E160" s="15"/>
      <c r="F160" s="15"/>
      <c r="G160" s="5"/>
      <c r="H160" s="5" t="s">
        <v>1615</v>
      </c>
      <c r="I160" s="5"/>
      <c r="J160" s="5" t="s">
        <v>1544</v>
      </c>
      <c r="K160" s="5"/>
      <c r="L160" s="6"/>
    </row>
    <row r="161" spans="1:12" ht="12.75">
      <c r="A161" s="4"/>
      <c r="B161" s="5"/>
      <c r="C161" s="5"/>
      <c r="D161" s="5"/>
      <c r="E161" s="5"/>
      <c r="F161" s="5"/>
      <c r="G161" s="5"/>
      <c r="H161" s="5"/>
      <c r="I161" s="5"/>
      <c r="J161" s="5"/>
      <c r="K161" s="5"/>
      <c r="L161" s="6"/>
    </row>
    <row r="162" spans="1:12" ht="12.75">
      <c r="A162" s="4"/>
      <c r="B162" s="104" t="s">
        <v>636</v>
      </c>
      <c r="C162" s="5" t="s">
        <v>167</v>
      </c>
      <c r="D162" s="152">
        <f>$D$66</f>
        <v>-0.5613975469481101</v>
      </c>
      <c r="E162" s="152">
        <f>$E$66</f>
        <v>0.7168125110114011</v>
      </c>
      <c r="F162" s="152">
        <f>$F$66</f>
        <v>-0.4135367194556907</v>
      </c>
      <c r="G162" s="5"/>
      <c r="H162" s="195">
        <f>Intersection_Calc!I311</f>
        <v>122267.56097237428</v>
      </c>
      <c r="I162" s="5" t="s">
        <v>167</v>
      </c>
      <c r="J162" s="96">
        <f>$J$66</f>
        <v>-2756905.7041250933</v>
      </c>
      <c r="K162" s="5" t="s">
        <v>167</v>
      </c>
      <c r="L162" s="6"/>
    </row>
    <row r="163" spans="1:12" ht="12.75">
      <c r="A163" s="4"/>
      <c r="B163" s="104" t="s">
        <v>638</v>
      </c>
      <c r="C163" s="5" t="s">
        <v>1545</v>
      </c>
      <c r="D163" s="152">
        <f>$D$67</f>
        <v>-0.36143043030347477</v>
      </c>
      <c r="E163" s="152">
        <f>$E$67</f>
        <v>-0.6619158832268075</v>
      </c>
      <c r="F163" s="152">
        <f>$F$67</f>
        <v>-0.6566851662575609</v>
      </c>
      <c r="G163" s="5" t="s">
        <v>641</v>
      </c>
      <c r="H163" s="195">
        <f>Intersection_Calc!I312</f>
        <v>-71726.11456276072</v>
      </c>
      <c r="I163" s="5" t="s">
        <v>1546</v>
      </c>
      <c r="J163" s="96">
        <f>$J$67</f>
        <v>-4377891.963385336</v>
      </c>
      <c r="K163" s="5" t="s">
        <v>167</v>
      </c>
      <c r="L163" s="6"/>
    </row>
    <row r="164" spans="1:12" ht="12.75">
      <c r="A164" s="4"/>
      <c r="B164" s="104" t="s">
        <v>643</v>
      </c>
      <c r="C164" s="5" t="s">
        <v>167</v>
      </c>
      <c r="D164" s="152">
        <f>$D$68</f>
        <v>-0.7444466658742517</v>
      </c>
      <c r="E164" s="152">
        <f>$E$68</f>
        <v>-0.21919668699504888</v>
      </c>
      <c r="F164" s="152">
        <f>$F$68</f>
        <v>0.6306758074312863</v>
      </c>
      <c r="G164" s="5"/>
      <c r="H164" s="195">
        <f>Intersection_Calc!I313</f>
        <v>-297897.349317947</v>
      </c>
      <c r="I164" s="5" t="s">
        <v>167</v>
      </c>
      <c r="J164" s="96">
        <f>$J$68</f>
        <v>4204496.6000832</v>
      </c>
      <c r="K164" s="5" t="s">
        <v>167</v>
      </c>
      <c r="L164" s="6"/>
    </row>
    <row r="165" spans="1:12" ht="12.75">
      <c r="A165" s="4"/>
      <c r="B165" s="5"/>
      <c r="C165" s="5"/>
      <c r="D165" s="5"/>
      <c r="E165" s="5"/>
      <c r="F165" s="5"/>
      <c r="G165" s="5"/>
      <c r="H165" s="5"/>
      <c r="I165" s="5"/>
      <c r="J165" s="5"/>
      <c r="K165" s="5"/>
      <c r="L165" s="6"/>
    </row>
    <row r="166" spans="1:12" ht="12.75">
      <c r="A166" s="4"/>
      <c r="B166" s="5"/>
      <c r="C166" s="5"/>
      <c r="D166" s="5"/>
      <c r="E166" s="5"/>
      <c r="F166" s="5"/>
      <c r="G166" s="5"/>
      <c r="H166" s="5"/>
      <c r="I166" s="5"/>
      <c r="J166" s="5"/>
      <c r="K166" s="5"/>
      <c r="L166" s="6"/>
    </row>
    <row r="167" spans="1:12" ht="12.75">
      <c r="A167" s="4"/>
      <c r="B167" s="5"/>
      <c r="C167" s="5" t="s">
        <v>1607</v>
      </c>
      <c r="D167" s="24">
        <f>IF(H162="","",(D162*H162+E162*H163+F162*H164)+J162)</f>
        <v>-2753769.0966396467</v>
      </c>
      <c r="E167" s="5" t="s">
        <v>167</v>
      </c>
      <c r="F167" s="5"/>
      <c r="G167" s="5"/>
      <c r="H167" s="5"/>
      <c r="I167" s="5"/>
      <c r="J167" s="5"/>
      <c r="K167" s="5"/>
      <c r="L167" s="6"/>
    </row>
    <row r="168" spans="1:12" ht="12.75">
      <c r="A168" s="4"/>
      <c r="B168" s="5"/>
      <c r="C168" s="5" t="s">
        <v>1608</v>
      </c>
      <c r="D168" s="24">
        <f>IF(H163="","",(D163*H162+E163*H163+F163*H164)+J163)</f>
        <v>-4178981.755723958</v>
      </c>
      <c r="E168" s="5" t="s">
        <v>167</v>
      </c>
      <c r="F168" s="5"/>
      <c r="G168" s="5"/>
      <c r="H168" s="5"/>
      <c r="I168" s="5"/>
      <c r="J168" s="5"/>
      <c r="K168" s="5"/>
      <c r="L168" s="6"/>
    </row>
    <row r="169" spans="1:12" ht="12.75">
      <c r="A169" s="4"/>
      <c r="B169" s="5"/>
      <c r="C169" s="5" t="s">
        <v>1609</v>
      </c>
      <c r="D169" s="24">
        <f>IF(H162="","",(D164*H162+E164*H163+F164*H164)+J164)</f>
        <v>3941320.3973431876</v>
      </c>
      <c r="E169" s="5" t="s">
        <v>167</v>
      </c>
      <c r="F169" s="5"/>
      <c r="G169" s="5"/>
      <c r="H169" s="5"/>
      <c r="I169" s="5"/>
      <c r="J169" s="5"/>
      <c r="K169" s="5"/>
      <c r="L169" s="6"/>
    </row>
    <row r="170" spans="1:12" ht="12.75">
      <c r="A170" s="4"/>
      <c r="B170" s="5"/>
      <c r="C170" s="5"/>
      <c r="D170" s="5"/>
      <c r="E170" s="5"/>
      <c r="F170" s="5"/>
      <c r="G170" s="5"/>
      <c r="H170" s="5"/>
      <c r="I170" s="5"/>
      <c r="J170" s="5"/>
      <c r="K170" s="5"/>
      <c r="L170" s="6"/>
    </row>
    <row r="171" spans="1:12" ht="13.5" thickBot="1">
      <c r="A171" s="7"/>
      <c r="B171" s="8"/>
      <c r="C171" s="8"/>
      <c r="D171" s="8"/>
      <c r="E171" s="8"/>
      <c r="F171" s="8"/>
      <c r="G171" s="8"/>
      <c r="H171" s="8"/>
      <c r="I171" s="8"/>
      <c r="J171" s="8"/>
      <c r="K171" s="8"/>
      <c r="L171" s="9"/>
    </row>
    <row r="172" ht="13.5" thickBot="1"/>
    <row r="173" spans="1:12" ht="12.75">
      <c r="A173" s="51"/>
      <c r="B173" s="2"/>
      <c r="C173" s="2"/>
      <c r="D173" s="2"/>
      <c r="E173" s="2"/>
      <c r="F173" s="2"/>
      <c r="G173" s="2"/>
      <c r="H173" s="2"/>
      <c r="I173" s="2"/>
      <c r="J173" s="2"/>
      <c r="K173" s="2"/>
      <c r="L173" s="3"/>
    </row>
    <row r="174" spans="1:12" ht="12.75">
      <c r="A174" s="10" t="s">
        <v>22</v>
      </c>
      <c r="B174" s="5"/>
      <c r="C174" s="5"/>
      <c r="D174" s="5"/>
      <c r="E174" s="5"/>
      <c r="F174" s="5"/>
      <c r="G174" s="5"/>
      <c r="H174" s="5"/>
      <c r="I174" s="5"/>
      <c r="J174" s="5"/>
      <c r="K174" s="5"/>
      <c r="L174" s="6"/>
    </row>
    <row r="175" spans="1:12" ht="12.75">
      <c r="A175" s="4"/>
      <c r="B175" s="5"/>
      <c r="C175" s="5"/>
      <c r="D175" s="5"/>
      <c r="E175" s="5"/>
      <c r="F175" s="5"/>
      <c r="G175" s="5"/>
      <c r="H175" s="5"/>
      <c r="I175" s="5"/>
      <c r="J175" s="5"/>
      <c r="K175" s="5"/>
      <c r="L175" s="6"/>
    </row>
    <row r="176" spans="1:12" ht="12.75">
      <c r="A176" s="4"/>
      <c r="B176" s="5" t="s">
        <v>1499</v>
      </c>
      <c r="C176" s="5"/>
      <c r="D176" s="15" t="s">
        <v>640</v>
      </c>
      <c r="E176" s="15"/>
      <c r="F176" s="15"/>
      <c r="G176" s="5"/>
      <c r="H176" s="5" t="s">
        <v>1615</v>
      </c>
      <c r="I176" s="5"/>
      <c r="J176" s="5" t="s">
        <v>1544</v>
      </c>
      <c r="K176" s="5"/>
      <c r="L176" s="6"/>
    </row>
    <row r="177" spans="1:12" ht="12.75">
      <c r="A177" s="4"/>
      <c r="B177" s="5"/>
      <c r="C177" s="5"/>
      <c r="D177" s="5"/>
      <c r="E177" s="5"/>
      <c r="F177" s="5"/>
      <c r="G177" s="5"/>
      <c r="H177" s="5"/>
      <c r="I177" s="5"/>
      <c r="J177" s="5"/>
      <c r="K177" s="5"/>
      <c r="L177" s="6"/>
    </row>
    <row r="178" spans="1:12" ht="12.75">
      <c r="A178" s="4"/>
      <c r="B178" s="104" t="s">
        <v>636</v>
      </c>
      <c r="C178" s="5" t="s">
        <v>167</v>
      </c>
      <c r="D178" s="152">
        <f>$D$66</f>
        <v>-0.5613975469481101</v>
      </c>
      <c r="E178" s="152">
        <f>$E$66</f>
        <v>0.7168125110114011</v>
      </c>
      <c r="F178" s="152">
        <f>$F$66</f>
        <v>-0.4135367194556907</v>
      </c>
      <c r="G178" s="5"/>
      <c r="H178" s="195">
        <f>Intersection_Calc!I355</f>
        <v>58542.53998684803</v>
      </c>
      <c r="I178" s="5" t="s">
        <v>167</v>
      </c>
      <c r="J178" s="96">
        <f>$J$66</f>
        <v>-2756905.7041250933</v>
      </c>
      <c r="K178" s="5" t="s">
        <v>167</v>
      </c>
      <c r="L178" s="6"/>
    </row>
    <row r="179" spans="1:12" ht="12.75">
      <c r="A179" s="4"/>
      <c r="B179" s="104" t="s">
        <v>638</v>
      </c>
      <c r="C179" s="5" t="s">
        <v>1545</v>
      </c>
      <c r="D179" s="152">
        <f>$D$67</f>
        <v>-0.36143043030347477</v>
      </c>
      <c r="E179" s="152">
        <f>$E$67</f>
        <v>-0.6619158832268075</v>
      </c>
      <c r="F179" s="152">
        <f>$F$67</f>
        <v>-0.6566851662575609</v>
      </c>
      <c r="G179" s="5" t="s">
        <v>641</v>
      </c>
      <c r="H179" s="195">
        <f>Intersection_Calc!I356</f>
        <v>-90325.36370672444</v>
      </c>
      <c r="I179" s="5" t="s">
        <v>1546</v>
      </c>
      <c r="J179" s="96">
        <f>$J$67</f>
        <v>-4377891.963385336</v>
      </c>
      <c r="K179" s="5" t="s">
        <v>167</v>
      </c>
      <c r="L179" s="6"/>
    </row>
    <row r="180" spans="1:12" ht="12.75">
      <c r="A180" s="4"/>
      <c r="B180" s="104" t="s">
        <v>643</v>
      </c>
      <c r="C180" s="5" t="s">
        <v>167</v>
      </c>
      <c r="D180" s="152">
        <f>$D$68</f>
        <v>-0.7444466658742517</v>
      </c>
      <c r="E180" s="152">
        <f>$E$68</f>
        <v>-0.21919668699504888</v>
      </c>
      <c r="F180" s="152">
        <f>$F$68</f>
        <v>0.6306758074312863</v>
      </c>
      <c r="G180" s="5"/>
      <c r="H180" s="195">
        <f>Intersection_Calc!I357</f>
        <v>-297229.42874173186</v>
      </c>
      <c r="I180" s="5" t="s">
        <v>167</v>
      </c>
      <c r="J180" s="96">
        <f>$J$68</f>
        <v>4204496.6000832</v>
      </c>
      <c r="K180" s="5" t="s">
        <v>167</v>
      </c>
      <c r="L180" s="6"/>
    </row>
    <row r="181" spans="1:12" ht="12.75">
      <c r="A181" s="4"/>
      <c r="B181" s="5"/>
      <c r="C181" s="5"/>
      <c r="D181" s="5"/>
      <c r="E181" s="5"/>
      <c r="F181" s="5"/>
      <c r="G181" s="5"/>
      <c r="H181" s="5"/>
      <c r="I181" s="5"/>
      <c r="J181" s="5"/>
      <c r="K181" s="5"/>
      <c r="L181" s="6"/>
    </row>
    <row r="182" spans="1:12" ht="12.75">
      <c r="A182" s="4"/>
      <c r="B182" s="5"/>
      <c r="C182" s="5"/>
      <c r="D182" s="5"/>
      <c r="E182" s="5"/>
      <c r="F182" s="5"/>
      <c r="G182" s="5"/>
      <c r="H182" s="5"/>
      <c r="I182" s="5"/>
      <c r="J182" s="5"/>
      <c r="K182" s="5"/>
      <c r="L182" s="6"/>
    </row>
    <row r="183" spans="1:12" ht="12.75">
      <c r="A183" s="4"/>
      <c r="B183" s="5"/>
      <c r="C183" s="5" t="s">
        <v>23</v>
      </c>
      <c r="D183" s="24">
        <f>IF(H178="","",(D178*H178+E178*H179+F178*H180)+J178)</f>
        <v>-2731602.4103449117</v>
      </c>
      <c r="E183" s="5" t="s">
        <v>167</v>
      </c>
      <c r="F183" s="5"/>
      <c r="G183" s="5"/>
      <c r="H183" s="5"/>
      <c r="I183" s="5"/>
      <c r="J183" s="5"/>
      <c r="K183" s="5"/>
      <c r="L183" s="6"/>
    </row>
    <row r="184" spans="1:12" ht="12.75">
      <c r="A184" s="4"/>
      <c r="B184" s="5"/>
      <c r="C184" s="5" t="s">
        <v>24</v>
      </c>
      <c r="D184" s="24">
        <f>IF(H179="","",(D179*H178+E179*H179+F179*H180)+J179)</f>
        <v>-4144077.0690782177</v>
      </c>
      <c r="E184" s="5" t="s">
        <v>167</v>
      </c>
      <c r="F184" s="5"/>
      <c r="G184" s="5"/>
      <c r="H184" s="5"/>
      <c r="I184" s="5"/>
      <c r="J184" s="5"/>
      <c r="K184" s="5"/>
      <c r="L184" s="6"/>
    </row>
    <row r="185" spans="1:12" ht="12.75">
      <c r="A185" s="4"/>
      <c r="B185" s="5"/>
      <c r="C185" s="5" t="s">
        <v>187</v>
      </c>
      <c r="D185" s="24">
        <f>IF(H178="","",(D180*H178+E180*H179+F180*H180)+J180)</f>
        <v>3993258.4118902865</v>
      </c>
      <c r="E185" s="5" t="s">
        <v>167</v>
      </c>
      <c r="F185" s="5"/>
      <c r="G185" s="5"/>
      <c r="H185" s="5"/>
      <c r="I185" s="5"/>
      <c r="J185" s="5"/>
      <c r="K185" s="5"/>
      <c r="L185" s="6"/>
    </row>
    <row r="186" spans="1:12" ht="12.75">
      <c r="A186" s="4"/>
      <c r="B186" s="5"/>
      <c r="C186" s="5"/>
      <c r="D186" s="5"/>
      <c r="E186" s="5"/>
      <c r="F186" s="5"/>
      <c r="G186" s="5"/>
      <c r="H186" s="5"/>
      <c r="I186" s="5"/>
      <c r="J186" s="5"/>
      <c r="K186" s="5"/>
      <c r="L186" s="6"/>
    </row>
    <row r="187" spans="1:12" ht="13.5" thickBot="1">
      <c r="A187" s="7"/>
      <c r="B187" s="8"/>
      <c r="C187" s="8"/>
      <c r="D187" s="8"/>
      <c r="E187" s="8"/>
      <c r="F187" s="8"/>
      <c r="G187" s="8"/>
      <c r="H187" s="8"/>
      <c r="I187" s="8"/>
      <c r="J187" s="8"/>
      <c r="K187" s="8"/>
      <c r="L187" s="9"/>
    </row>
    <row r="188" ht="13.5" thickBot="1"/>
    <row r="189" spans="1:12" ht="12.75">
      <c r="A189" s="51"/>
      <c r="B189" s="2"/>
      <c r="C189" s="2"/>
      <c r="D189" s="2"/>
      <c r="E189" s="2"/>
      <c r="F189" s="2"/>
      <c r="G189" s="2"/>
      <c r="H189" s="2"/>
      <c r="I189" s="2"/>
      <c r="J189" s="2"/>
      <c r="K189" s="2"/>
      <c r="L189" s="3"/>
    </row>
    <row r="190" spans="1:12" ht="12.75">
      <c r="A190" s="10" t="s">
        <v>188</v>
      </c>
      <c r="B190" s="5"/>
      <c r="C190" s="5"/>
      <c r="D190" s="5"/>
      <c r="E190" s="5"/>
      <c r="F190" s="5"/>
      <c r="G190" s="5"/>
      <c r="H190" s="5"/>
      <c r="I190" s="5"/>
      <c r="J190" s="5"/>
      <c r="K190" s="5"/>
      <c r="L190" s="6"/>
    </row>
    <row r="191" spans="1:12" ht="12.75">
      <c r="A191" s="4"/>
      <c r="B191" s="5"/>
      <c r="C191" s="5"/>
      <c r="D191" s="5"/>
      <c r="E191" s="5"/>
      <c r="F191" s="5"/>
      <c r="G191" s="5"/>
      <c r="H191" s="5"/>
      <c r="I191" s="5"/>
      <c r="J191" s="5"/>
      <c r="K191" s="5"/>
      <c r="L191" s="6"/>
    </row>
    <row r="192" spans="1:12" ht="12.75">
      <c r="A192" s="4"/>
      <c r="B192" s="5" t="s">
        <v>1499</v>
      </c>
      <c r="C192" s="5"/>
      <c r="D192" s="15" t="s">
        <v>640</v>
      </c>
      <c r="E192" s="15"/>
      <c r="F192" s="15"/>
      <c r="G192" s="5"/>
      <c r="H192" s="5" t="s">
        <v>1615</v>
      </c>
      <c r="I192" s="5"/>
      <c r="J192" s="5" t="s">
        <v>1544</v>
      </c>
      <c r="K192" s="5"/>
      <c r="L192" s="6"/>
    </row>
    <row r="193" spans="1:12" ht="12.75">
      <c r="A193" s="4"/>
      <c r="B193" s="5"/>
      <c r="C193" s="5"/>
      <c r="D193" s="5"/>
      <c r="E193" s="5"/>
      <c r="F193" s="5"/>
      <c r="G193" s="5"/>
      <c r="H193" s="5"/>
      <c r="I193" s="5"/>
      <c r="J193" s="5"/>
      <c r="K193" s="5"/>
      <c r="L193" s="6"/>
    </row>
    <row r="194" spans="1:12" ht="12.75">
      <c r="A194" s="4"/>
      <c r="B194" s="104" t="s">
        <v>636</v>
      </c>
      <c r="C194" s="5" t="s">
        <v>167</v>
      </c>
      <c r="D194" s="152">
        <f>$D$66</f>
        <v>-0.5613975469481101</v>
      </c>
      <c r="E194" s="152">
        <f>$E$66</f>
        <v>0.7168125110114011</v>
      </c>
      <c r="F194" s="152">
        <f>$F$66</f>
        <v>-0.4135367194556907</v>
      </c>
      <c r="G194" s="5"/>
      <c r="H194" s="195">
        <f>Intersection_Calc!I399</f>
        <v>161349.09732504474</v>
      </c>
      <c r="I194" s="5" t="s">
        <v>167</v>
      </c>
      <c r="J194" s="96">
        <f>$J$66</f>
        <v>-2756905.7041250933</v>
      </c>
      <c r="K194" s="5" t="s">
        <v>167</v>
      </c>
      <c r="L194" s="6"/>
    </row>
    <row r="195" spans="1:12" ht="12.75">
      <c r="A195" s="4"/>
      <c r="B195" s="104" t="s">
        <v>638</v>
      </c>
      <c r="C195" s="5" t="s">
        <v>1545</v>
      </c>
      <c r="D195" s="152">
        <f>$D$67</f>
        <v>-0.36143043030347477</v>
      </c>
      <c r="E195" s="152">
        <f>$E$67</f>
        <v>-0.6619158832268075</v>
      </c>
      <c r="F195" s="152">
        <f>$F$67</f>
        <v>-0.6566851662575609</v>
      </c>
      <c r="G195" s="5" t="s">
        <v>641</v>
      </c>
      <c r="H195" s="195">
        <f>Intersection_Calc!I400</f>
        <v>25409.542151289737</v>
      </c>
      <c r="I195" s="5" t="s">
        <v>1546</v>
      </c>
      <c r="J195" s="96">
        <f>$J$67</f>
        <v>-4377891.963385336</v>
      </c>
      <c r="K195" s="5" t="s">
        <v>167</v>
      </c>
      <c r="L195" s="6"/>
    </row>
    <row r="196" spans="1:12" ht="12.75">
      <c r="A196" s="4"/>
      <c r="B196" s="104" t="s">
        <v>643</v>
      </c>
      <c r="C196" s="5" t="s">
        <v>167</v>
      </c>
      <c r="D196" s="152">
        <f>$D$68</f>
        <v>-0.7444466658742517</v>
      </c>
      <c r="E196" s="152">
        <f>$E$68</f>
        <v>-0.21919668699504888</v>
      </c>
      <c r="F196" s="152">
        <f>$F$68</f>
        <v>0.6306758074312863</v>
      </c>
      <c r="G196" s="5"/>
      <c r="H196" s="195">
        <f>Intersection_Calc!I401</f>
        <v>-298414.3617450858</v>
      </c>
      <c r="I196" s="5" t="s">
        <v>167</v>
      </c>
      <c r="J196" s="96">
        <f>$J$68</f>
        <v>4204496.6000832</v>
      </c>
      <c r="K196" s="5" t="s">
        <v>167</v>
      </c>
      <c r="L196" s="6"/>
    </row>
    <row r="197" spans="1:12" ht="12.75">
      <c r="A197" s="4"/>
      <c r="B197" s="5"/>
      <c r="C197" s="5"/>
      <c r="D197" s="5"/>
      <c r="E197" s="5"/>
      <c r="F197" s="5"/>
      <c r="G197" s="5"/>
      <c r="H197" s="5"/>
      <c r="I197" s="5"/>
      <c r="J197" s="5"/>
      <c r="K197" s="5"/>
      <c r="L197" s="6"/>
    </row>
    <row r="198" spans="1:12" ht="12.75">
      <c r="A198" s="4"/>
      <c r="B198" s="5"/>
      <c r="C198" s="5"/>
      <c r="D198" s="5"/>
      <c r="E198" s="5"/>
      <c r="F198" s="5"/>
      <c r="G198" s="5"/>
      <c r="H198" s="5"/>
      <c r="I198" s="5"/>
      <c r="J198" s="5"/>
      <c r="K198" s="5"/>
      <c r="L198" s="6"/>
    </row>
    <row r="199" spans="1:12" ht="12.75">
      <c r="A199" s="4"/>
      <c r="B199" s="5"/>
      <c r="C199" s="5" t="s">
        <v>189</v>
      </c>
      <c r="D199" s="24">
        <f>IF(H194="","",(D194*H194+E194*H195+F194*H196)+J194)</f>
        <v>-2705867.5176580227</v>
      </c>
      <c r="E199" s="5" t="s">
        <v>167</v>
      </c>
      <c r="F199" s="5"/>
      <c r="G199" s="5"/>
      <c r="H199" s="5"/>
      <c r="I199" s="5"/>
      <c r="J199" s="5"/>
      <c r="K199" s="5"/>
      <c r="L199" s="6"/>
    </row>
    <row r="200" spans="1:12" ht="12.75">
      <c r="A200" s="4"/>
      <c r="B200" s="5"/>
      <c r="C200" s="5" t="s">
        <v>275</v>
      </c>
      <c r="D200" s="24">
        <f>IF(H195="","",(D195*H194+E195*H195+F195*H196)+J195)</f>
        <v>-4257063.131839848</v>
      </c>
      <c r="E200" s="5" t="s">
        <v>167</v>
      </c>
      <c r="F200" s="5"/>
      <c r="G200" s="5"/>
      <c r="H200" s="5"/>
      <c r="I200" s="5"/>
      <c r="J200" s="5"/>
      <c r="K200" s="5"/>
      <c r="L200" s="6"/>
    </row>
    <row r="201" spans="1:12" ht="12.75">
      <c r="A201" s="4"/>
      <c r="B201" s="5"/>
      <c r="C201" s="5" t="s">
        <v>276</v>
      </c>
      <c r="D201" s="24">
        <f>IF(H194="","",(D196*H194+E196*H195+F196*H196)+J196)</f>
        <v>3890608.396537453</v>
      </c>
      <c r="E201" s="5" t="s">
        <v>167</v>
      </c>
      <c r="F201" s="5"/>
      <c r="G201" s="5"/>
      <c r="H201" s="5"/>
      <c r="I201" s="5"/>
      <c r="J201" s="5"/>
      <c r="K201" s="5"/>
      <c r="L201" s="6"/>
    </row>
    <row r="202" spans="1:12" ht="12.75">
      <c r="A202" s="4"/>
      <c r="B202" s="5"/>
      <c r="C202" s="5"/>
      <c r="D202" s="5"/>
      <c r="E202" s="5"/>
      <c r="F202" s="5"/>
      <c r="G202" s="5"/>
      <c r="H202" s="5"/>
      <c r="I202" s="5"/>
      <c r="J202" s="5"/>
      <c r="K202" s="5"/>
      <c r="L202" s="6"/>
    </row>
    <row r="203" spans="1:12" ht="13.5" thickBot="1">
      <c r="A203" s="7"/>
      <c r="B203" s="8"/>
      <c r="C203" s="8"/>
      <c r="D203" s="8"/>
      <c r="E203" s="8"/>
      <c r="F203" s="8"/>
      <c r="G203" s="8"/>
      <c r="H203" s="8"/>
      <c r="I203" s="8"/>
      <c r="J203" s="8"/>
      <c r="K203" s="8"/>
      <c r="L203" s="9"/>
    </row>
    <row r="204" ht="13.5" thickBot="1"/>
    <row r="205" spans="1:12" ht="12.75">
      <c r="A205" s="51"/>
      <c r="B205" s="2"/>
      <c r="C205" s="2"/>
      <c r="D205" s="2"/>
      <c r="E205" s="2"/>
      <c r="F205" s="2"/>
      <c r="G205" s="2"/>
      <c r="H205" s="2"/>
      <c r="I205" s="2"/>
      <c r="J205" s="2"/>
      <c r="K205" s="2"/>
      <c r="L205" s="3"/>
    </row>
    <row r="206" spans="1:12" ht="12.75">
      <c r="A206" s="10" t="s">
        <v>25</v>
      </c>
      <c r="B206" s="5"/>
      <c r="C206" s="5"/>
      <c r="D206" s="5"/>
      <c r="E206" s="5"/>
      <c r="F206" s="5"/>
      <c r="G206" s="5"/>
      <c r="H206" s="5"/>
      <c r="I206" s="5"/>
      <c r="J206" s="5"/>
      <c r="K206" s="5"/>
      <c r="L206" s="6"/>
    </row>
    <row r="207" spans="1:12" ht="12.75">
      <c r="A207" s="4"/>
      <c r="B207" s="5"/>
      <c r="C207" s="5"/>
      <c r="D207" s="5"/>
      <c r="E207" s="5"/>
      <c r="F207" s="5"/>
      <c r="G207" s="5"/>
      <c r="H207" s="5"/>
      <c r="I207" s="5"/>
      <c r="J207" s="5"/>
      <c r="K207" s="5"/>
      <c r="L207" s="6"/>
    </row>
    <row r="208" spans="1:12" ht="12.75">
      <c r="A208" s="4"/>
      <c r="B208" s="5" t="s">
        <v>1499</v>
      </c>
      <c r="C208" s="5"/>
      <c r="D208" s="15" t="s">
        <v>640</v>
      </c>
      <c r="E208" s="15"/>
      <c r="F208" s="15"/>
      <c r="G208" s="5"/>
      <c r="H208" s="5" t="s">
        <v>1615</v>
      </c>
      <c r="I208" s="5"/>
      <c r="J208" s="5" t="s">
        <v>1544</v>
      </c>
      <c r="K208" s="5"/>
      <c r="L208" s="6"/>
    </row>
    <row r="209" spans="1:12" ht="12.75">
      <c r="A209" s="4"/>
      <c r="B209" s="5"/>
      <c r="C209" s="5"/>
      <c r="D209" s="5"/>
      <c r="E209" s="5"/>
      <c r="F209" s="5"/>
      <c r="G209" s="5"/>
      <c r="H209" s="5"/>
      <c r="I209" s="5"/>
      <c r="J209" s="5"/>
      <c r="K209" s="5"/>
      <c r="L209" s="6"/>
    </row>
    <row r="210" spans="1:12" ht="12.75">
      <c r="A210" s="4"/>
      <c r="B210" s="104" t="s">
        <v>636</v>
      </c>
      <c r="C210" s="5" t="s">
        <v>167</v>
      </c>
      <c r="D210" s="152">
        <f>$D$66</f>
        <v>-0.5613975469481101</v>
      </c>
      <c r="E210" s="152">
        <f>$E$66</f>
        <v>0.7168125110114011</v>
      </c>
      <c r="F210" s="152">
        <f>$F$66</f>
        <v>-0.4135367194556907</v>
      </c>
      <c r="G210" s="5"/>
      <c r="H210" s="195">
        <f>Intersection_Calc!I443</f>
        <v>92674.10063604728</v>
      </c>
      <c r="I210" s="5" t="s">
        <v>167</v>
      </c>
      <c r="J210" s="96">
        <f>$J$66</f>
        <v>-2756905.7041250933</v>
      </c>
      <c r="K210" s="5" t="s">
        <v>167</v>
      </c>
      <c r="L210" s="6"/>
    </row>
    <row r="211" spans="1:12" ht="12.75">
      <c r="A211" s="4"/>
      <c r="B211" s="104" t="s">
        <v>638</v>
      </c>
      <c r="C211" s="5" t="s">
        <v>1545</v>
      </c>
      <c r="D211" s="152">
        <f>$D$67</f>
        <v>-0.36143043030347477</v>
      </c>
      <c r="E211" s="152">
        <f>$E$67</f>
        <v>-0.6619158832268075</v>
      </c>
      <c r="F211" s="152">
        <f>$F$67</f>
        <v>-0.6566851662575609</v>
      </c>
      <c r="G211" s="5" t="s">
        <v>641</v>
      </c>
      <c r="H211" s="195">
        <f>Intersection_Calc!I444</f>
        <v>-1.1641532182693302E-10</v>
      </c>
      <c r="I211" s="5" t="s">
        <v>1546</v>
      </c>
      <c r="J211" s="96">
        <f>$J$67</f>
        <v>-4377891.963385336</v>
      </c>
      <c r="K211" s="5" t="s">
        <v>167</v>
      </c>
      <c r="L211" s="6"/>
    </row>
    <row r="212" spans="1:12" ht="12.75">
      <c r="A212" s="4"/>
      <c r="B212" s="104" t="s">
        <v>643</v>
      </c>
      <c r="C212" s="5" t="s">
        <v>167</v>
      </c>
      <c r="D212" s="152">
        <f>$D$68</f>
        <v>-0.7444466658742517</v>
      </c>
      <c r="E212" s="152">
        <f>$E$68</f>
        <v>-0.21919668699504888</v>
      </c>
      <c r="F212" s="152">
        <f>$F$68</f>
        <v>0.6306758074312863</v>
      </c>
      <c r="G212" s="5"/>
      <c r="H212" s="195">
        <f>Intersection_Calc!I445</f>
        <v>-296994.1361666555</v>
      </c>
      <c r="I212" s="5" t="s">
        <v>167</v>
      </c>
      <c r="J212" s="96">
        <f>$J$68</f>
        <v>4204496.6000832</v>
      </c>
      <c r="K212" s="5" t="s">
        <v>167</v>
      </c>
      <c r="L212" s="6"/>
    </row>
    <row r="213" spans="1:12" ht="12.75">
      <c r="A213" s="4"/>
      <c r="B213" s="5"/>
      <c r="C213" s="5"/>
      <c r="D213" s="5"/>
      <c r="E213" s="5"/>
      <c r="F213" s="5"/>
      <c r="G213" s="5"/>
      <c r="H213" s="5"/>
      <c r="I213" s="5"/>
      <c r="J213" s="5"/>
      <c r="K213" s="5"/>
      <c r="L213" s="6"/>
    </row>
    <row r="214" spans="1:12" ht="12.75">
      <c r="A214" s="4"/>
      <c r="B214" s="5"/>
      <c r="C214" s="5"/>
      <c r="D214" s="5"/>
      <c r="E214" s="5"/>
      <c r="F214" s="5"/>
      <c r="G214" s="5"/>
      <c r="H214" s="5"/>
      <c r="I214" s="5"/>
      <c r="J214" s="5"/>
      <c r="K214" s="5"/>
      <c r="L214" s="6"/>
    </row>
    <row r="215" spans="1:12" ht="12.75">
      <c r="A215" s="4"/>
      <c r="B215" s="5"/>
      <c r="C215" s="5" t="s">
        <v>26</v>
      </c>
      <c r="D215" s="24">
        <f>IF(H210="","",(D210*H210+E210*H211+F210*H212)+J210)</f>
        <v>-2686114.736119857</v>
      </c>
      <c r="E215" s="5" t="s">
        <v>167</v>
      </c>
      <c r="F215" s="5"/>
      <c r="G215" s="5"/>
      <c r="H215" s="5"/>
      <c r="I215" s="5"/>
      <c r="J215" s="5"/>
      <c r="K215" s="5"/>
      <c r="L215" s="6"/>
    </row>
    <row r="216" spans="1:12" ht="12.75">
      <c r="A216" s="4"/>
      <c r="B216" s="5"/>
      <c r="C216" s="5" t="s">
        <v>190</v>
      </c>
      <c r="D216" s="24">
        <f>IF(H211="","",(D211*H210+E211*H211+F211*H212)+J211)</f>
        <v>-4216355.55977009</v>
      </c>
      <c r="E216" s="5" t="s">
        <v>167</v>
      </c>
      <c r="F216" s="5"/>
      <c r="G216" s="5"/>
      <c r="H216" s="5"/>
      <c r="I216" s="5"/>
      <c r="J216" s="5"/>
      <c r="K216" s="5"/>
      <c r="L216" s="6"/>
    </row>
    <row r="217" spans="1:12" ht="12.75">
      <c r="A217" s="4"/>
      <c r="B217" s="5"/>
      <c r="C217" s="5" t="s">
        <v>191</v>
      </c>
      <c r="D217" s="24">
        <f>IF(H210="","",(D212*H210+E212*H211+F212*H212)+J212)</f>
        <v>3948198.658222537</v>
      </c>
      <c r="E217" s="5" t="s">
        <v>167</v>
      </c>
      <c r="F217" s="5"/>
      <c r="G217" s="5"/>
      <c r="H217" s="5"/>
      <c r="I217" s="5"/>
      <c r="J217" s="5"/>
      <c r="K217" s="5"/>
      <c r="L217" s="6"/>
    </row>
    <row r="218" spans="1:12" ht="12.75">
      <c r="A218" s="4"/>
      <c r="B218" s="5"/>
      <c r="C218" s="5"/>
      <c r="D218" s="5"/>
      <c r="E218" s="5"/>
      <c r="F218" s="5"/>
      <c r="G218" s="5"/>
      <c r="H218" s="5"/>
      <c r="I218" s="5"/>
      <c r="J218" s="5"/>
      <c r="K218" s="5"/>
      <c r="L218" s="6"/>
    </row>
    <row r="219" spans="1:12" ht="13.5" thickBot="1">
      <c r="A219" s="7"/>
      <c r="B219" s="8"/>
      <c r="C219" s="8"/>
      <c r="D219" s="8"/>
      <c r="E219" s="8"/>
      <c r="F219" s="8"/>
      <c r="G219" s="8"/>
      <c r="H219" s="8"/>
      <c r="I219" s="8"/>
      <c r="J219" s="8"/>
      <c r="K219" s="8"/>
      <c r="L219" s="9"/>
    </row>
    <row r="220" ht="13.5" thickBot="1"/>
    <row r="221" spans="1:12" ht="12.75">
      <c r="A221" s="51"/>
      <c r="B221" s="2"/>
      <c r="C221" s="2"/>
      <c r="D221" s="2"/>
      <c r="E221" s="2"/>
      <c r="F221" s="2"/>
      <c r="G221" s="2"/>
      <c r="H221" s="2"/>
      <c r="I221" s="2"/>
      <c r="J221" s="2"/>
      <c r="K221" s="2"/>
      <c r="L221" s="3"/>
    </row>
    <row r="222" spans="1:12" ht="12.75">
      <c r="A222" s="10" t="s">
        <v>1457</v>
      </c>
      <c r="B222" s="5"/>
      <c r="C222" s="5"/>
      <c r="D222" s="5"/>
      <c r="E222" s="5"/>
      <c r="F222" s="5"/>
      <c r="G222" s="5"/>
      <c r="H222" s="5"/>
      <c r="I222" s="5"/>
      <c r="J222" s="5"/>
      <c r="K222" s="5"/>
      <c r="L222" s="6"/>
    </row>
    <row r="223" spans="1:12" ht="12.75">
      <c r="A223" s="4"/>
      <c r="B223" s="5"/>
      <c r="C223" s="5"/>
      <c r="D223" s="5"/>
      <c r="E223" s="5"/>
      <c r="F223" s="5"/>
      <c r="G223" s="5"/>
      <c r="H223" s="5"/>
      <c r="I223" s="5"/>
      <c r="J223" s="5"/>
      <c r="K223" s="5"/>
      <c r="L223" s="6"/>
    </row>
    <row r="224" spans="1:12" ht="12.75">
      <c r="A224" s="4"/>
      <c r="B224" s="5" t="s">
        <v>1499</v>
      </c>
      <c r="C224" s="5"/>
      <c r="D224" s="15" t="s">
        <v>640</v>
      </c>
      <c r="E224" s="15"/>
      <c r="F224" s="15"/>
      <c r="G224" s="5"/>
      <c r="H224" s="5" t="s">
        <v>1615</v>
      </c>
      <c r="I224" s="5"/>
      <c r="J224" s="5" t="s">
        <v>1544</v>
      </c>
      <c r="K224" s="5"/>
      <c r="L224" s="6"/>
    </row>
    <row r="225" spans="1:12" ht="12.75">
      <c r="A225" s="4"/>
      <c r="B225" s="5"/>
      <c r="C225" s="5"/>
      <c r="D225" s="5"/>
      <c r="E225" s="5"/>
      <c r="F225" s="5"/>
      <c r="G225" s="5"/>
      <c r="H225" s="5"/>
      <c r="I225" s="5"/>
      <c r="J225" s="5"/>
      <c r="K225" s="5"/>
      <c r="L225" s="6"/>
    </row>
    <row r="226" spans="1:12" ht="12.75">
      <c r="A226" s="4"/>
      <c r="B226" s="104" t="s">
        <v>636</v>
      </c>
      <c r="C226" s="5" t="s">
        <v>167</v>
      </c>
      <c r="D226" s="152">
        <f>$D$66</f>
        <v>-0.5613975469481101</v>
      </c>
      <c r="E226" s="152">
        <f>$E$66</f>
        <v>0.7168125110114011</v>
      </c>
      <c r="F226" s="152">
        <f>$F$66</f>
        <v>-0.4135367194556907</v>
      </c>
      <c r="G226" s="5"/>
      <c r="H226" s="195">
        <f>Intersection_Calc!I487</f>
        <v>32520.55067766576</v>
      </c>
      <c r="I226" s="5" t="s">
        <v>167</v>
      </c>
      <c r="J226" s="96">
        <f>$J$66</f>
        <v>-2756905.7041250933</v>
      </c>
      <c r="K226" s="5" t="s">
        <v>167</v>
      </c>
      <c r="L226" s="6"/>
    </row>
    <row r="227" spans="1:12" ht="12.75">
      <c r="A227" s="4"/>
      <c r="B227" s="104" t="s">
        <v>638</v>
      </c>
      <c r="C227" s="5" t="s">
        <v>1545</v>
      </c>
      <c r="D227" s="152">
        <f>$D$67</f>
        <v>-0.36143043030347477</v>
      </c>
      <c r="E227" s="152">
        <f>$E$67</f>
        <v>-0.6619158832268075</v>
      </c>
      <c r="F227" s="152">
        <f>$F$67</f>
        <v>-0.6566851662575609</v>
      </c>
      <c r="G227" s="5" t="s">
        <v>641</v>
      </c>
      <c r="H227" s="195">
        <f>Intersection_Calc!I488</f>
        <v>-22337.049478469362</v>
      </c>
      <c r="I227" s="5" t="s">
        <v>1546</v>
      </c>
      <c r="J227" s="96">
        <f>$J$67</f>
        <v>-4377891.963385336</v>
      </c>
      <c r="K227" s="5" t="s">
        <v>167</v>
      </c>
      <c r="L227" s="6"/>
    </row>
    <row r="228" spans="1:12" ht="12.75">
      <c r="A228" s="4"/>
      <c r="B228" s="104" t="s">
        <v>643</v>
      </c>
      <c r="C228" s="5" t="s">
        <v>167</v>
      </c>
      <c r="D228" s="152">
        <f>$D$68</f>
        <v>-0.7444466658742517</v>
      </c>
      <c r="E228" s="152">
        <f>$E$68</f>
        <v>-0.21919668699504888</v>
      </c>
      <c r="F228" s="152">
        <f>$F$68</f>
        <v>0.6306758074312863</v>
      </c>
      <c r="G228" s="5"/>
      <c r="H228" s="195">
        <f>Intersection_Calc!I489</f>
        <v>-296442.1713986489</v>
      </c>
      <c r="I228" s="5" t="s">
        <v>167</v>
      </c>
      <c r="J228" s="96">
        <f>$J$68</f>
        <v>4204496.6000832</v>
      </c>
      <c r="K228" s="5" t="s">
        <v>167</v>
      </c>
      <c r="L228" s="6"/>
    </row>
    <row r="229" spans="1:12" ht="12.75">
      <c r="A229" s="4"/>
      <c r="B229" s="5"/>
      <c r="C229" s="5"/>
      <c r="D229" s="5"/>
      <c r="E229" s="5"/>
      <c r="F229" s="5"/>
      <c r="G229" s="5"/>
      <c r="H229" s="5"/>
      <c r="I229" s="5"/>
      <c r="J229" s="5"/>
      <c r="K229" s="5"/>
      <c r="L229" s="6"/>
    </row>
    <row r="230" spans="1:12" ht="12.75">
      <c r="A230" s="4"/>
      <c r="B230" s="5"/>
      <c r="C230" s="5"/>
      <c r="D230" s="5"/>
      <c r="E230" s="5"/>
      <c r="F230" s="5"/>
      <c r="G230" s="5"/>
      <c r="H230" s="5"/>
      <c r="I230" s="5"/>
      <c r="J230" s="5"/>
      <c r="K230" s="5"/>
      <c r="L230" s="6"/>
    </row>
    <row r="231" spans="1:12" ht="12.75">
      <c r="A231" s="4"/>
      <c r="B231" s="5"/>
      <c r="C231" s="5" t="s">
        <v>1458</v>
      </c>
      <c r="D231" s="24">
        <f>IF(H226="","",(D226*H226+E226*H227+F226*H228)+J226)</f>
        <v>-2668584.4149576654</v>
      </c>
      <c r="E231" s="5" t="s">
        <v>167</v>
      </c>
      <c r="F231" s="5"/>
      <c r="G231" s="5"/>
      <c r="H231" s="5"/>
      <c r="I231" s="5"/>
      <c r="J231" s="5"/>
      <c r="K231" s="5"/>
      <c r="L231" s="6"/>
    </row>
    <row r="232" spans="1:12" ht="12.75">
      <c r="A232" s="4"/>
      <c r="B232" s="5"/>
      <c r="C232" s="5" t="s">
        <v>1459</v>
      </c>
      <c r="D232" s="24">
        <f>IF(H227="","",(D227*H226+E227*H227+F227*H228)+J227)</f>
        <v>-4180191.4555655746</v>
      </c>
      <c r="E232" s="5" t="s">
        <v>167</v>
      </c>
      <c r="F232" s="5"/>
      <c r="G232" s="5"/>
      <c r="H232" s="5"/>
      <c r="I232" s="5"/>
      <c r="J232" s="5"/>
      <c r="K232" s="5"/>
      <c r="L232" s="6"/>
    </row>
    <row r="233" spans="1:12" ht="12.75">
      <c r="A233" s="4"/>
      <c r="B233" s="5"/>
      <c r="C233" s="5" t="s">
        <v>1460</v>
      </c>
      <c r="D233" s="24">
        <f>IF(H226="","",(D228*H226+E228*H227+F228*H228)+J228)</f>
        <v>3998224.0859982157</v>
      </c>
      <c r="E233" s="5" t="s">
        <v>167</v>
      </c>
      <c r="F233" s="5"/>
      <c r="G233" s="5"/>
      <c r="H233" s="5"/>
      <c r="I233" s="5"/>
      <c r="J233" s="5"/>
      <c r="K233" s="5"/>
      <c r="L233" s="6"/>
    </row>
    <row r="234" spans="1:12" ht="12.75">
      <c r="A234" s="4"/>
      <c r="B234" s="5"/>
      <c r="C234" s="5"/>
      <c r="D234" s="5"/>
      <c r="E234" s="5"/>
      <c r="F234" s="5"/>
      <c r="G234" s="5"/>
      <c r="H234" s="5"/>
      <c r="I234" s="5"/>
      <c r="J234" s="5"/>
      <c r="K234" s="5"/>
      <c r="L234" s="6"/>
    </row>
    <row r="235" spans="1:12" ht="13.5" thickBot="1">
      <c r="A235" s="7"/>
      <c r="B235" s="8"/>
      <c r="C235" s="8"/>
      <c r="D235" s="8"/>
      <c r="E235" s="8"/>
      <c r="F235" s="8"/>
      <c r="G235" s="8"/>
      <c r="H235" s="8"/>
      <c r="I235" s="8"/>
      <c r="J235" s="8"/>
      <c r="K235" s="8"/>
      <c r="L235" s="9"/>
    </row>
    <row r="236" ht="13.5" thickBot="1"/>
    <row r="237" spans="1:12" ht="12.75">
      <c r="A237" s="51"/>
      <c r="B237" s="2"/>
      <c r="C237" s="2"/>
      <c r="D237" s="2"/>
      <c r="E237" s="2"/>
      <c r="F237" s="2"/>
      <c r="G237" s="2"/>
      <c r="H237" s="2"/>
      <c r="I237" s="2"/>
      <c r="J237" s="2"/>
      <c r="K237" s="2"/>
      <c r="L237" s="3"/>
    </row>
    <row r="238" spans="1:12" ht="12.75">
      <c r="A238" s="10" t="s">
        <v>1461</v>
      </c>
      <c r="B238" s="5"/>
      <c r="C238" s="5"/>
      <c r="D238" s="5"/>
      <c r="E238" s="5"/>
      <c r="F238" s="5"/>
      <c r="G238" s="5"/>
      <c r="H238" s="5"/>
      <c r="I238" s="5"/>
      <c r="J238" s="5"/>
      <c r="K238" s="5"/>
      <c r="L238" s="6"/>
    </row>
    <row r="239" spans="1:12" ht="12.75">
      <c r="A239" s="4"/>
      <c r="B239" s="5"/>
      <c r="C239" s="5"/>
      <c r="D239" s="5"/>
      <c r="E239" s="5"/>
      <c r="F239" s="5"/>
      <c r="G239" s="5"/>
      <c r="H239" s="5"/>
      <c r="I239" s="5"/>
      <c r="J239" s="5"/>
      <c r="K239" s="5"/>
      <c r="L239" s="6"/>
    </row>
    <row r="240" spans="1:12" ht="12.75">
      <c r="A240" s="4"/>
      <c r="B240" s="5" t="s">
        <v>1499</v>
      </c>
      <c r="C240" s="5"/>
      <c r="D240" s="15" t="s">
        <v>640</v>
      </c>
      <c r="E240" s="15"/>
      <c r="F240" s="15"/>
      <c r="G240" s="5"/>
      <c r="H240" s="5" t="s">
        <v>1615</v>
      </c>
      <c r="I240" s="5"/>
      <c r="J240" s="5" t="s">
        <v>1544</v>
      </c>
      <c r="K240" s="5"/>
      <c r="L240" s="6"/>
    </row>
    <row r="241" spans="1:12" ht="12.75">
      <c r="A241" s="4"/>
      <c r="B241" s="5"/>
      <c r="C241" s="5"/>
      <c r="D241" s="5"/>
      <c r="E241" s="5"/>
      <c r="F241" s="5"/>
      <c r="G241" s="5"/>
      <c r="H241" s="5"/>
      <c r="I241" s="5"/>
      <c r="J241" s="5"/>
      <c r="K241" s="5"/>
      <c r="L241" s="6"/>
    </row>
    <row r="242" spans="1:12" ht="12.75">
      <c r="A242" s="4"/>
      <c r="B242" s="104" t="s">
        <v>636</v>
      </c>
      <c r="C242" s="5" t="s">
        <v>167</v>
      </c>
      <c r="D242" s="152">
        <f>$D$66</f>
        <v>-0.5613975469481101</v>
      </c>
      <c r="E242" s="152">
        <f>$E$66</f>
        <v>0.7168125110114011</v>
      </c>
      <c r="F242" s="152">
        <f>$F$66</f>
        <v>-0.4135367194556907</v>
      </c>
      <c r="G242" s="5"/>
      <c r="H242" s="195">
        <f>Intersection_Calc!I531</f>
        <v>129849.70676661366</v>
      </c>
      <c r="I242" s="5" t="s">
        <v>167</v>
      </c>
      <c r="J242" s="96">
        <f>$J$66</f>
        <v>-2756905.7041250933</v>
      </c>
      <c r="K242" s="5" t="s">
        <v>167</v>
      </c>
      <c r="L242" s="6"/>
    </row>
    <row r="243" spans="1:12" ht="12.75">
      <c r="A243" s="4"/>
      <c r="B243" s="104" t="s">
        <v>638</v>
      </c>
      <c r="C243" s="5" t="s">
        <v>1545</v>
      </c>
      <c r="D243" s="152">
        <f>$D$67</f>
        <v>-0.36143043030347477</v>
      </c>
      <c r="E243" s="152">
        <f>$E$67</f>
        <v>-0.6619158832268075</v>
      </c>
      <c r="F243" s="152">
        <f>$F$67</f>
        <v>-0.6566851662575609</v>
      </c>
      <c r="G243" s="5" t="s">
        <v>641</v>
      </c>
      <c r="H243" s="195">
        <f>Intersection_Calc!I532</f>
        <v>97025.79209199492</v>
      </c>
      <c r="I243" s="5" t="s">
        <v>1546</v>
      </c>
      <c r="J243" s="96">
        <f>$J$67</f>
        <v>-4377891.963385336</v>
      </c>
      <c r="K243" s="5" t="s">
        <v>167</v>
      </c>
      <c r="L243" s="6"/>
    </row>
    <row r="244" spans="1:12" ht="12.75">
      <c r="A244" s="4"/>
      <c r="B244" s="104" t="s">
        <v>643</v>
      </c>
      <c r="C244" s="5" t="s">
        <v>167</v>
      </c>
      <c r="D244" s="152">
        <f>$D$68</f>
        <v>-0.7444466658742517</v>
      </c>
      <c r="E244" s="152">
        <f>$E$68</f>
        <v>-0.21919668699504888</v>
      </c>
      <c r="F244" s="152">
        <f>$F$68</f>
        <v>0.6306758074312863</v>
      </c>
      <c r="G244" s="5"/>
      <c r="H244" s="195">
        <f>Intersection_Calc!I533</f>
        <v>-298382.6242118684</v>
      </c>
      <c r="I244" s="5" t="s">
        <v>167</v>
      </c>
      <c r="J244" s="96">
        <f>$J$68</f>
        <v>4204496.6000832</v>
      </c>
      <c r="K244" s="5" t="s">
        <v>167</v>
      </c>
      <c r="L244" s="6"/>
    </row>
    <row r="245" spans="1:12" ht="12.75">
      <c r="A245" s="4"/>
      <c r="B245" s="5"/>
      <c r="C245" s="5"/>
      <c r="D245" s="5"/>
      <c r="E245" s="5"/>
      <c r="F245" s="5"/>
      <c r="G245" s="5"/>
      <c r="H245" s="5"/>
      <c r="I245" s="5"/>
      <c r="J245" s="5"/>
      <c r="K245" s="5"/>
      <c r="L245" s="6"/>
    </row>
    <row r="246" spans="1:12" ht="12.75">
      <c r="A246" s="4"/>
      <c r="B246" s="5"/>
      <c r="C246" s="5"/>
      <c r="D246" s="5"/>
      <c r="E246" s="5"/>
      <c r="F246" s="5"/>
      <c r="G246" s="5"/>
      <c r="H246" s="5"/>
      <c r="I246" s="5"/>
      <c r="J246" s="5"/>
      <c r="K246" s="5"/>
      <c r="L246" s="6"/>
    </row>
    <row r="247" spans="1:12" ht="12.75">
      <c r="A247" s="4"/>
      <c r="B247" s="5"/>
      <c r="C247" s="5" t="s">
        <v>297</v>
      </c>
      <c r="D247" s="24">
        <f>IF(H242="","",(D242*H242+E242*H243+F242*H244)+J242)</f>
        <v>-2636861.537754312</v>
      </c>
      <c r="E247" s="5" t="s">
        <v>167</v>
      </c>
      <c r="F247" s="5"/>
      <c r="G247" s="5"/>
      <c r="H247" s="5"/>
      <c r="I247" s="5"/>
      <c r="J247" s="5"/>
      <c r="K247" s="5"/>
      <c r="L247" s="6"/>
    </row>
    <row r="248" spans="1:12" ht="12.75">
      <c r="A248" s="4"/>
      <c r="B248" s="5"/>
      <c r="C248" s="5" t="s">
        <v>298</v>
      </c>
      <c r="D248" s="24">
        <f>IF(H243="","",(D243*H242+E243*H243+F243*H244)+J243)</f>
        <v>-4293103.068456189</v>
      </c>
      <c r="E248" s="5" t="s">
        <v>167</v>
      </c>
      <c r="F248" s="5"/>
      <c r="G248" s="5"/>
      <c r="H248" s="5"/>
      <c r="I248" s="5"/>
      <c r="J248" s="5"/>
      <c r="K248" s="5"/>
      <c r="L248" s="6"/>
    </row>
    <row r="249" spans="1:12" ht="12.75">
      <c r="A249" s="4"/>
      <c r="B249" s="5"/>
      <c r="C249" s="5" t="s">
        <v>299</v>
      </c>
      <c r="D249" s="24">
        <f>IF(H242="","",(D244*H242+E244*H243+F244*H244)+J244)</f>
        <v>3898379.9841881236</v>
      </c>
      <c r="E249" s="5" t="s">
        <v>167</v>
      </c>
      <c r="F249" s="5"/>
      <c r="G249" s="5"/>
      <c r="H249" s="5"/>
      <c r="I249" s="5"/>
      <c r="J249" s="5"/>
      <c r="K249" s="5"/>
      <c r="L249" s="6"/>
    </row>
    <row r="250" spans="1:12" ht="12.75">
      <c r="A250" s="4"/>
      <c r="B250" s="5"/>
      <c r="C250" s="5"/>
      <c r="D250" s="5"/>
      <c r="E250" s="5"/>
      <c r="F250" s="5"/>
      <c r="G250" s="5"/>
      <c r="H250" s="5"/>
      <c r="I250" s="5"/>
      <c r="J250" s="5"/>
      <c r="K250" s="5"/>
      <c r="L250" s="6"/>
    </row>
    <row r="251" spans="1:12" ht="13.5" thickBot="1">
      <c r="A251" s="7"/>
      <c r="B251" s="8"/>
      <c r="C251" s="8"/>
      <c r="D251" s="8"/>
      <c r="E251" s="8"/>
      <c r="F251" s="8"/>
      <c r="G251" s="8"/>
      <c r="H251" s="8"/>
      <c r="I251" s="8"/>
      <c r="J251" s="8"/>
      <c r="K251" s="8"/>
      <c r="L251" s="9"/>
    </row>
    <row r="252" ht="13.5" thickBot="1"/>
    <row r="253" spans="1:12" ht="12.75">
      <c r="A253" s="51"/>
      <c r="B253" s="2"/>
      <c r="C253" s="2"/>
      <c r="D253" s="2"/>
      <c r="E253" s="2"/>
      <c r="F253" s="2"/>
      <c r="G253" s="2"/>
      <c r="H253" s="2"/>
      <c r="I253" s="2"/>
      <c r="J253" s="2"/>
      <c r="K253" s="2"/>
      <c r="L253" s="3"/>
    </row>
    <row r="254" spans="1:12" ht="12.75">
      <c r="A254" s="10" t="s">
        <v>300</v>
      </c>
      <c r="B254" s="5"/>
      <c r="C254" s="5"/>
      <c r="D254" s="5"/>
      <c r="E254" s="5"/>
      <c r="F254" s="5"/>
      <c r="G254" s="5"/>
      <c r="H254" s="5"/>
      <c r="I254" s="5"/>
      <c r="J254" s="5"/>
      <c r="K254" s="5"/>
      <c r="L254" s="6"/>
    </row>
    <row r="255" spans="1:12" ht="12.75">
      <c r="A255" s="4"/>
      <c r="B255" s="5"/>
      <c r="C255" s="5"/>
      <c r="D255" s="5"/>
      <c r="E255" s="5"/>
      <c r="F255" s="5"/>
      <c r="G255" s="5"/>
      <c r="H255" s="5"/>
      <c r="I255" s="5"/>
      <c r="J255" s="5"/>
      <c r="K255" s="5"/>
      <c r="L255" s="6"/>
    </row>
    <row r="256" spans="1:12" ht="12.75">
      <c r="A256" s="4"/>
      <c r="B256" s="5" t="s">
        <v>1499</v>
      </c>
      <c r="C256" s="5"/>
      <c r="D256" s="15" t="s">
        <v>640</v>
      </c>
      <c r="E256" s="15"/>
      <c r="F256" s="15"/>
      <c r="G256" s="5"/>
      <c r="H256" s="5" t="s">
        <v>1615</v>
      </c>
      <c r="I256" s="5"/>
      <c r="J256" s="5" t="s">
        <v>1544</v>
      </c>
      <c r="K256" s="5"/>
      <c r="L256" s="6"/>
    </row>
    <row r="257" spans="1:12" ht="12.75">
      <c r="A257" s="4"/>
      <c r="B257" s="5"/>
      <c r="C257" s="5"/>
      <c r="D257" s="5"/>
      <c r="E257" s="5"/>
      <c r="F257" s="5"/>
      <c r="G257" s="5"/>
      <c r="H257" s="5"/>
      <c r="I257" s="5"/>
      <c r="J257" s="5"/>
      <c r="K257" s="5"/>
      <c r="L257" s="6"/>
    </row>
    <row r="258" spans="1:12" ht="12.75">
      <c r="A258" s="4"/>
      <c r="B258" s="104" t="s">
        <v>636</v>
      </c>
      <c r="C258" s="5" t="s">
        <v>167</v>
      </c>
      <c r="D258" s="152">
        <f>$D$66</f>
        <v>-0.5613975469481101</v>
      </c>
      <c r="E258" s="152">
        <f>$E$66</f>
        <v>0.7168125110114011</v>
      </c>
      <c r="F258" s="152">
        <f>$F$66</f>
        <v>-0.4135367194556907</v>
      </c>
      <c r="G258" s="5"/>
      <c r="H258" s="195">
        <f>Intersection_Calc!I575</f>
        <v>65003.77596890413</v>
      </c>
      <c r="I258" s="5" t="s">
        <v>167</v>
      </c>
      <c r="J258" s="96">
        <f>$J$66</f>
        <v>-2756905.7041250933</v>
      </c>
      <c r="K258" s="5" t="s">
        <v>167</v>
      </c>
      <c r="L258" s="6"/>
    </row>
    <row r="259" spans="1:12" ht="12.75">
      <c r="A259" s="4"/>
      <c r="B259" s="104" t="s">
        <v>638</v>
      </c>
      <c r="C259" s="5" t="s">
        <v>1545</v>
      </c>
      <c r="D259" s="152">
        <f>$D$67</f>
        <v>-0.36143043030347477</v>
      </c>
      <c r="E259" s="152">
        <f>$E$67</f>
        <v>-0.6619158832268075</v>
      </c>
      <c r="F259" s="152">
        <f>$F$67</f>
        <v>-0.6566851662575609</v>
      </c>
      <c r="G259" s="5" t="s">
        <v>641</v>
      </c>
      <c r="H259" s="195">
        <f>Intersection_Calc!I576</f>
        <v>67723.22114969179</v>
      </c>
      <c r="I259" s="5" t="s">
        <v>1546</v>
      </c>
      <c r="J259" s="96">
        <f>$J$67</f>
        <v>-4377891.963385336</v>
      </c>
      <c r="K259" s="5" t="s">
        <v>167</v>
      </c>
      <c r="L259" s="6"/>
    </row>
    <row r="260" spans="1:12" ht="12.75">
      <c r="A260" s="4"/>
      <c r="B260" s="104" t="s">
        <v>643</v>
      </c>
      <c r="C260" s="5" t="s">
        <v>167</v>
      </c>
      <c r="D260" s="152">
        <f>$D$68</f>
        <v>-0.7444466658742517</v>
      </c>
      <c r="E260" s="152">
        <f>$E$68</f>
        <v>-0.21919668699504888</v>
      </c>
      <c r="F260" s="152">
        <f>$F$68</f>
        <v>0.6306758074312863</v>
      </c>
      <c r="G260" s="5"/>
      <c r="H260" s="195">
        <f>Intersection_Calc!I577</f>
        <v>-297011.6753289455</v>
      </c>
      <c r="I260" s="5" t="s">
        <v>167</v>
      </c>
      <c r="J260" s="96">
        <f>$J$68</f>
        <v>4204496.6000832</v>
      </c>
      <c r="K260" s="5" t="s">
        <v>167</v>
      </c>
      <c r="L260" s="6"/>
    </row>
    <row r="261" spans="1:12" ht="12.75">
      <c r="A261" s="4"/>
      <c r="B261" s="5"/>
      <c r="C261" s="5"/>
      <c r="D261" s="5"/>
      <c r="E261" s="5"/>
      <c r="F261" s="5"/>
      <c r="G261" s="5"/>
      <c r="H261" s="5"/>
      <c r="I261" s="5"/>
      <c r="J261" s="5"/>
      <c r="K261" s="5"/>
      <c r="L261" s="6"/>
    </row>
    <row r="262" spans="1:12" ht="12.75">
      <c r="A262" s="4"/>
      <c r="B262" s="5"/>
      <c r="C262" s="5"/>
      <c r="D262" s="5"/>
      <c r="E262" s="5"/>
      <c r="F262" s="5"/>
      <c r="G262" s="5"/>
      <c r="H262" s="5"/>
      <c r="I262" s="5"/>
      <c r="J262" s="5"/>
      <c r="K262" s="5"/>
      <c r="L262" s="6"/>
    </row>
    <row r="263" spans="1:12" ht="12.75">
      <c r="A263" s="4"/>
      <c r="B263" s="5"/>
      <c r="C263" s="5" t="s">
        <v>301</v>
      </c>
      <c r="D263" s="24">
        <f>IF(H258="","",(D258*H258+E258*H259+F258*H260)+J258)</f>
        <v>-2622028.578434739</v>
      </c>
      <c r="E263" s="5" t="s">
        <v>167</v>
      </c>
      <c r="F263" s="5"/>
      <c r="G263" s="5"/>
      <c r="H263" s="5"/>
      <c r="I263" s="5"/>
      <c r="J263" s="5"/>
      <c r="K263" s="5"/>
      <c r="L263" s="6"/>
    </row>
    <row r="264" spans="1:12" ht="12.75">
      <c r="A264" s="4"/>
      <c r="B264" s="5"/>
      <c r="C264" s="5" t="s">
        <v>295</v>
      </c>
      <c r="D264" s="24">
        <f>IF(H259="","",(D259*H258+E259*H259+F259*H260)+J259)</f>
        <v>-4251170.220453565</v>
      </c>
      <c r="E264" s="5" t="s">
        <v>167</v>
      </c>
      <c r="F264" s="5"/>
      <c r="G264" s="5"/>
      <c r="H264" s="5"/>
      <c r="I264" s="5"/>
      <c r="J264" s="5"/>
      <c r="K264" s="5"/>
      <c r="L264" s="6"/>
    </row>
    <row r="265" spans="1:12" ht="12.75">
      <c r="A265" s="4"/>
      <c r="B265" s="5"/>
      <c r="C265" s="5" t="s">
        <v>296</v>
      </c>
      <c r="D265" s="24">
        <f>IF(H258="","",(D260*H258+E260*H259+F260*H260)+J260)</f>
        <v>3953941.9719306654</v>
      </c>
      <c r="E265" s="5" t="s">
        <v>167</v>
      </c>
      <c r="F265" s="5"/>
      <c r="G265" s="5"/>
      <c r="H265" s="5"/>
      <c r="I265" s="5"/>
      <c r="J265" s="5"/>
      <c r="K265" s="5"/>
      <c r="L265" s="6"/>
    </row>
    <row r="266" spans="1:12" ht="12.75">
      <c r="A266" s="4"/>
      <c r="B266" s="5"/>
      <c r="C266" s="5"/>
      <c r="D266" s="5"/>
      <c r="E266" s="5"/>
      <c r="F266" s="5"/>
      <c r="G266" s="5"/>
      <c r="H266" s="5"/>
      <c r="I266" s="5"/>
      <c r="J266" s="5"/>
      <c r="K266" s="5"/>
      <c r="L266" s="6"/>
    </row>
    <row r="267" spans="1:12" ht="13.5" thickBot="1">
      <c r="A267" s="7"/>
      <c r="B267" s="8"/>
      <c r="C267" s="8"/>
      <c r="D267" s="8"/>
      <c r="E267" s="8"/>
      <c r="F267" s="8"/>
      <c r="G267" s="8"/>
      <c r="H267" s="8"/>
      <c r="I267" s="8"/>
      <c r="J267" s="8"/>
      <c r="K267" s="8"/>
      <c r="L267" s="9"/>
    </row>
    <row r="268" ht="13.5" thickBot="1"/>
    <row r="269" spans="1:12" ht="12.75">
      <c r="A269" s="51"/>
      <c r="B269" s="2"/>
      <c r="C269" s="2"/>
      <c r="D269" s="2"/>
      <c r="E269" s="2"/>
      <c r="F269" s="2"/>
      <c r="G269" s="2"/>
      <c r="H269" s="2"/>
      <c r="I269" s="2"/>
      <c r="J269" s="2"/>
      <c r="K269" s="2"/>
      <c r="L269" s="3"/>
    </row>
    <row r="270" spans="1:12" ht="12.75">
      <c r="A270" s="10" t="s">
        <v>196</v>
      </c>
      <c r="B270" s="5"/>
      <c r="C270" s="5"/>
      <c r="D270" s="5"/>
      <c r="E270" s="5"/>
      <c r="F270" s="5"/>
      <c r="G270" s="5"/>
      <c r="H270" s="5"/>
      <c r="I270" s="5"/>
      <c r="J270" s="5"/>
      <c r="K270" s="5"/>
      <c r="L270" s="6"/>
    </row>
    <row r="271" spans="1:12" ht="12.75">
      <c r="A271" s="4"/>
      <c r="B271" s="5"/>
      <c r="C271" s="5"/>
      <c r="D271" s="5"/>
      <c r="E271" s="5"/>
      <c r="F271" s="5"/>
      <c r="G271" s="5"/>
      <c r="H271" s="5"/>
      <c r="I271" s="5"/>
      <c r="J271" s="5"/>
      <c r="K271" s="5"/>
      <c r="L271" s="6"/>
    </row>
    <row r="272" spans="1:12" ht="12.75">
      <c r="A272" s="4"/>
      <c r="B272" s="5" t="s">
        <v>1499</v>
      </c>
      <c r="C272" s="5"/>
      <c r="D272" s="15" t="s">
        <v>640</v>
      </c>
      <c r="E272" s="15"/>
      <c r="F272" s="15"/>
      <c r="G272" s="5"/>
      <c r="H272" s="5" t="s">
        <v>1615</v>
      </c>
      <c r="I272" s="5"/>
      <c r="J272" s="5" t="s">
        <v>1544</v>
      </c>
      <c r="K272" s="5"/>
      <c r="L272" s="6"/>
    </row>
    <row r="273" spans="1:12" ht="12.75">
      <c r="A273" s="4"/>
      <c r="B273" s="5"/>
      <c r="C273" s="5"/>
      <c r="D273" s="5"/>
      <c r="E273" s="5"/>
      <c r="F273" s="5"/>
      <c r="G273" s="5"/>
      <c r="H273" s="5"/>
      <c r="I273" s="5"/>
      <c r="J273" s="5"/>
      <c r="K273" s="5"/>
      <c r="L273" s="6"/>
    </row>
    <row r="274" spans="1:12" ht="12.75">
      <c r="A274" s="4"/>
      <c r="B274" s="104" t="s">
        <v>636</v>
      </c>
      <c r="C274" s="5" t="s">
        <v>167</v>
      </c>
      <c r="D274" s="152">
        <f>$D$66</f>
        <v>-0.5613975469481101</v>
      </c>
      <c r="E274" s="152">
        <f>$E$66</f>
        <v>0.7168125110114011</v>
      </c>
      <c r="F274" s="152">
        <f>$F$66</f>
        <v>-0.4135367194556907</v>
      </c>
      <c r="G274" s="5"/>
      <c r="H274" s="195">
        <f>Intersection_Calc!I619</f>
        <v>7948.053514605718</v>
      </c>
      <c r="I274" s="5" t="s">
        <v>167</v>
      </c>
      <c r="J274" s="96">
        <f>$J$66</f>
        <v>-2756905.7041250933</v>
      </c>
      <c r="K274" s="5" t="s">
        <v>167</v>
      </c>
      <c r="L274" s="6"/>
    </row>
    <row r="275" spans="1:12" ht="12.75">
      <c r="A275" s="4"/>
      <c r="B275" s="104" t="s">
        <v>638</v>
      </c>
      <c r="C275" s="5" t="s">
        <v>1545</v>
      </c>
      <c r="D275" s="152">
        <f>$D$67</f>
        <v>-0.36143043030347477</v>
      </c>
      <c r="E275" s="152">
        <f>$E$67</f>
        <v>-0.6619158832268075</v>
      </c>
      <c r="F275" s="152">
        <f>$F$67</f>
        <v>-0.6566851662575609</v>
      </c>
      <c r="G275" s="5" t="s">
        <v>641</v>
      </c>
      <c r="H275" s="195">
        <f>Intersection_Calc!I620</f>
        <v>42026.26380447172</v>
      </c>
      <c r="I275" s="5" t="s">
        <v>1546</v>
      </c>
      <c r="J275" s="96">
        <f>$J$67</f>
        <v>-4377891.963385336</v>
      </c>
      <c r="K275" s="5" t="s">
        <v>167</v>
      </c>
      <c r="L275" s="6"/>
    </row>
    <row r="276" spans="1:12" ht="12.75">
      <c r="A276" s="4"/>
      <c r="B276" s="104" t="s">
        <v>643</v>
      </c>
      <c r="C276" s="5" t="s">
        <v>167</v>
      </c>
      <c r="D276" s="152">
        <f>$D$68</f>
        <v>-0.7444466658742517</v>
      </c>
      <c r="E276" s="152">
        <f>$E$68</f>
        <v>-0.21919668699504888</v>
      </c>
      <c r="F276" s="152">
        <f>$F$68</f>
        <v>0.6306758074312863</v>
      </c>
      <c r="G276" s="5"/>
      <c r="H276" s="195">
        <f>Intersection_Calc!I621</f>
        <v>-296463.5873992585</v>
      </c>
      <c r="I276" s="5" t="s">
        <v>167</v>
      </c>
      <c r="J276" s="96">
        <f>$J$68</f>
        <v>4204496.6000832</v>
      </c>
      <c r="K276" s="5" t="s">
        <v>167</v>
      </c>
      <c r="L276" s="6"/>
    </row>
    <row r="277" spans="1:12" ht="12.75">
      <c r="A277" s="4"/>
      <c r="B277" s="5"/>
      <c r="C277" s="5"/>
      <c r="D277" s="5"/>
      <c r="E277" s="5"/>
      <c r="F277" s="5"/>
      <c r="G277" s="5"/>
      <c r="H277" s="5"/>
      <c r="I277" s="5"/>
      <c r="J277" s="5"/>
      <c r="K277" s="5"/>
      <c r="L277" s="6"/>
    </row>
    <row r="278" spans="1:12" ht="12.75">
      <c r="A278" s="4"/>
      <c r="B278" s="5"/>
      <c r="C278" s="5"/>
      <c r="D278" s="5"/>
      <c r="E278" s="5"/>
      <c r="F278" s="5"/>
      <c r="G278" s="5"/>
      <c r="H278" s="5"/>
      <c r="I278" s="5"/>
      <c r="J278" s="5"/>
      <c r="K278" s="5"/>
      <c r="L278" s="6"/>
    </row>
    <row r="279" spans="1:12" ht="12.75">
      <c r="A279" s="4"/>
      <c r="B279" s="5"/>
      <c r="C279" s="5" t="s">
        <v>197</v>
      </c>
      <c r="D279" s="24">
        <f>IF(H274="","",(D274*H274+E274*H275+F274*H276)+J274)</f>
        <v>-2608644.1908139396</v>
      </c>
      <c r="E279" s="5" t="s">
        <v>167</v>
      </c>
      <c r="F279" s="5"/>
      <c r="G279" s="5"/>
      <c r="H279" s="5"/>
      <c r="I279" s="5"/>
      <c r="J279" s="5"/>
      <c r="K279" s="5"/>
      <c r="L279" s="6"/>
    </row>
    <row r="280" spans="1:12" ht="12.75">
      <c r="A280" s="4"/>
      <c r="B280" s="5"/>
      <c r="C280" s="5" t="s">
        <v>198</v>
      </c>
      <c r="D280" s="24">
        <f>IF(H275="","",(D275*H274+E275*H275+F275*H276)+J275)</f>
        <v>-4213899.24313146</v>
      </c>
      <c r="E280" s="5" t="s">
        <v>167</v>
      </c>
      <c r="F280" s="5"/>
      <c r="G280" s="5"/>
      <c r="H280" s="5"/>
      <c r="I280" s="5"/>
      <c r="J280" s="5"/>
      <c r="K280" s="5"/>
      <c r="L280" s="6"/>
    </row>
    <row r="281" spans="1:12" ht="12.75">
      <c r="A281" s="4"/>
      <c r="B281" s="5"/>
      <c r="C281" s="5" t="s">
        <v>199</v>
      </c>
      <c r="D281" s="24">
        <f>IF(H274="","",(D276*H274+E276*H275+F276*H276)+J276)</f>
        <v>4002395.2679943386</v>
      </c>
      <c r="E281" s="5" t="s">
        <v>167</v>
      </c>
      <c r="F281" s="5"/>
      <c r="G281" s="5"/>
      <c r="H281" s="5"/>
      <c r="I281" s="5"/>
      <c r="J281" s="5"/>
      <c r="K281" s="5"/>
      <c r="L281" s="6"/>
    </row>
    <row r="282" spans="1:12" ht="12.75">
      <c r="A282" s="4"/>
      <c r="B282" s="5"/>
      <c r="C282" s="5"/>
      <c r="D282" s="5"/>
      <c r="E282" s="5"/>
      <c r="F282" s="5"/>
      <c r="G282" s="5"/>
      <c r="H282" s="5"/>
      <c r="I282" s="5"/>
      <c r="J282" s="5"/>
      <c r="K282" s="5"/>
      <c r="L282" s="6"/>
    </row>
    <row r="283" spans="1:12" ht="13.5" thickBot="1">
      <c r="A283" s="7"/>
      <c r="B283" s="8"/>
      <c r="C283" s="8"/>
      <c r="D283" s="8"/>
      <c r="E283" s="8"/>
      <c r="F283" s="8"/>
      <c r="G283" s="8"/>
      <c r="H283" s="8"/>
      <c r="I283" s="8"/>
      <c r="J283" s="8"/>
      <c r="K283" s="8"/>
      <c r="L283" s="9"/>
    </row>
    <row r="287" spans="2:5" ht="15.75">
      <c r="B287" s="225" t="s">
        <v>655</v>
      </c>
      <c r="C287" s="226"/>
      <c r="D287" s="226"/>
      <c r="E287" s="226"/>
    </row>
    <row r="288" ht="13.5" thickBot="1"/>
    <row r="289" spans="3:5" ht="15.75">
      <c r="C289" s="219" t="s">
        <v>656</v>
      </c>
      <c r="D289" s="219" t="s">
        <v>657</v>
      </c>
      <c r="E289" s="223" t="s">
        <v>656</v>
      </c>
    </row>
    <row r="290" spans="3:5" ht="16.5" thickBot="1">
      <c r="C290" s="220" t="s">
        <v>658</v>
      </c>
      <c r="D290" s="228"/>
      <c r="E290" s="284" t="s">
        <v>659</v>
      </c>
    </row>
    <row r="291" spans="3:5" ht="15.75">
      <c r="C291" s="229">
        <v>1</v>
      </c>
      <c r="D291" s="286" t="str">
        <f>IF(I103="None","None","Error")</f>
        <v>None</v>
      </c>
      <c r="E291" s="237">
        <f>IF(D291="None",0,1)</f>
        <v>0</v>
      </c>
    </row>
    <row r="292" spans="3:5" ht="15.75">
      <c r="C292" s="221">
        <v>2</v>
      </c>
      <c r="D292" s="286" t="str">
        <f>IF(I135="None","None","Error")</f>
        <v>None</v>
      </c>
      <c r="E292" s="285">
        <f>IF(D292="None",0,1)</f>
        <v>0</v>
      </c>
    </row>
    <row r="293" spans="3:5" ht="15.75">
      <c r="C293" s="221">
        <v>3</v>
      </c>
      <c r="D293" s="287"/>
      <c r="E293" s="238"/>
    </row>
    <row r="294" spans="3:5" ht="15.75">
      <c r="C294" s="221">
        <v>4</v>
      </c>
      <c r="D294" s="287"/>
      <c r="E294" s="238"/>
    </row>
    <row r="295" spans="3:5" ht="16.5" thickBot="1">
      <c r="C295" s="230">
        <v>5</v>
      </c>
      <c r="D295" s="288"/>
      <c r="E295" s="239"/>
    </row>
    <row r="296" ht="13.5" thickBot="1"/>
    <row r="297" spans="3:5" ht="16.5" thickBot="1">
      <c r="C297" s="234" t="s">
        <v>660</v>
      </c>
      <c r="D297" s="235"/>
      <c r="E297" s="236">
        <f>SUM(E291:E295)</f>
        <v>0</v>
      </c>
    </row>
  </sheetData>
  <sheetProtection password="CFF3" sheet="1" objects="1" scenarios="1"/>
  <printOptions/>
  <pageMargins left="0.75" right="0.47" top="0.5" bottom="1" header="0.5" footer="0.5"/>
  <pageSetup orientation="portrait" paperSize="9" scale="58"/>
  <headerFooter alignWithMargins="0">
    <oddFooter>&amp;C&amp;A&amp;RPage &amp;P</oddFooter>
  </headerFooter>
  <drawing r:id="rId1"/>
</worksheet>
</file>

<file path=xl/worksheets/sheet11.xml><?xml version="1.0" encoding="utf-8"?>
<worksheet xmlns="http://schemas.openxmlformats.org/spreadsheetml/2006/main" xmlns:r="http://schemas.openxmlformats.org/officeDocument/2006/relationships">
  <sheetPr codeName="Sheet9"/>
  <dimension ref="A1:N344"/>
  <sheetViews>
    <sheetView workbookViewId="0" topLeftCell="A1">
      <selection activeCell="A1" sqref="A1"/>
    </sheetView>
  </sheetViews>
  <sheetFormatPr defaultColWidth="9.00390625" defaultRowHeight="12.75"/>
  <cols>
    <col min="1" max="1" width="3.875" style="0" customWidth="1"/>
    <col min="2" max="2" width="11.375" style="0" customWidth="1"/>
    <col min="3" max="3" width="13.00390625" style="0" customWidth="1"/>
    <col min="4" max="4" width="14.00390625" style="0" customWidth="1"/>
    <col min="5" max="5" width="14.625" style="0" customWidth="1"/>
    <col min="6" max="6" width="14.25390625" style="0" customWidth="1"/>
    <col min="7" max="7" width="16.375" style="0" customWidth="1"/>
    <col min="8" max="8" width="11.375" style="0" customWidth="1"/>
    <col min="9" max="9" width="14.25390625" style="0" customWidth="1"/>
    <col min="10" max="10" width="15.00390625" style="0" customWidth="1"/>
    <col min="11" max="11" width="13.125" style="0" customWidth="1"/>
    <col min="12" max="12" width="15.25390625" style="0" customWidth="1"/>
    <col min="13" max="13" width="11.375" style="0" customWidth="1"/>
    <col min="14" max="14" width="12.625" style="0" customWidth="1"/>
    <col min="15" max="16384" width="11.375" style="0" customWidth="1"/>
  </cols>
  <sheetData>
    <row r="1" spans="1:12" ht="23.25">
      <c r="A1" s="458" t="s">
        <v>343</v>
      </c>
      <c r="B1" s="298"/>
      <c r="C1" s="298"/>
      <c r="D1" s="298"/>
      <c r="E1" s="298"/>
      <c r="F1" s="298"/>
      <c r="G1" s="298"/>
      <c r="H1" s="298"/>
      <c r="I1" s="298"/>
      <c r="J1" s="298"/>
      <c r="K1" s="298"/>
      <c r="L1" s="298"/>
    </row>
    <row r="2" spans="1:10" ht="15" customHeight="1">
      <c r="A2" s="472"/>
      <c r="B2" s="202"/>
      <c r="C2" s="202"/>
      <c r="D2" s="202"/>
      <c r="E2" s="202"/>
      <c r="F2" s="202"/>
      <c r="G2" s="202"/>
      <c r="H2" s="202"/>
      <c r="I2" s="202"/>
      <c r="J2" s="202"/>
    </row>
    <row r="3" spans="1:13" ht="18.75" customHeight="1">
      <c r="A3" s="491" t="s">
        <v>950</v>
      </c>
      <c r="B3" s="298"/>
      <c r="C3" s="298"/>
      <c r="D3" s="298"/>
      <c r="E3" s="298"/>
      <c r="F3" s="298"/>
      <c r="G3" s="298"/>
      <c r="H3" s="298"/>
      <c r="I3" s="298"/>
      <c r="J3" s="298"/>
      <c r="K3" s="298"/>
      <c r="L3" s="298"/>
      <c r="M3" s="298"/>
    </row>
    <row r="4" spans="1:13" ht="19.5" customHeight="1">
      <c r="A4" s="492" t="s">
        <v>947</v>
      </c>
      <c r="B4" s="298"/>
      <c r="C4" s="298"/>
      <c r="D4" s="298"/>
      <c r="E4" s="298"/>
      <c r="F4" s="298"/>
      <c r="G4" s="298"/>
      <c r="H4" s="298"/>
      <c r="I4" s="298"/>
      <c r="J4" s="298"/>
      <c r="K4" s="298"/>
      <c r="L4" s="298"/>
      <c r="M4" s="298"/>
    </row>
    <row r="5" spans="1:13" ht="15" customHeight="1">
      <c r="A5" s="458"/>
      <c r="B5" s="298"/>
      <c r="C5" s="298"/>
      <c r="D5" s="298"/>
      <c r="E5" s="298"/>
      <c r="F5" s="298"/>
      <c r="G5" s="298"/>
      <c r="H5" s="298"/>
      <c r="I5" s="298"/>
      <c r="J5" s="298"/>
      <c r="K5" s="298"/>
      <c r="L5" s="298"/>
      <c r="M5" s="298"/>
    </row>
    <row r="6" spans="1:10" ht="15" customHeight="1">
      <c r="A6" s="472"/>
      <c r="B6" s="202"/>
      <c r="C6" s="202"/>
      <c r="D6" s="202"/>
      <c r="E6" s="202"/>
      <c r="F6" s="202"/>
      <c r="G6" s="202"/>
      <c r="H6" s="202"/>
      <c r="I6" s="202"/>
      <c r="J6" s="202"/>
    </row>
    <row r="7" ht="18">
      <c r="A7" s="12" t="s">
        <v>1097</v>
      </c>
    </row>
    <row r="9" ht="15.75">
      <c r="A9" s="11" t="s">
        <v>1730</v>
      </c>
    </row>
    <row r="10" ht="15.75">
      <c r="A10" s="11" t="s">
        <v>1735</v>
      </c>
    </row>
    <row r="12" ht="13.5" thickBot="1"/>
    <row r="13" spans="1:12" ht="12.75">
      <c r="A13" s="1"/>
      <c r="B13" s="2"/>
      <c r="C13" s="2"/>
      <c r="D13" s="2"/>
      <c r="E13" s="2"/>
      <c r="F13" s="2"/>
      <c r="G13" s="3"/>
      <c r="H13" s="1"/>
      <c r="I13" s="2"/>
      <c r="J13" s="2"/>
      <c r="K13" s="2"/>
      <c r="L13" s="3"/>
    </row>
    <row r="14" spans="1:12" ht="18">
      <c r="A14" s="43" t="s">
        <v>1697</v>
      </c>
      <c r="B14" s="5"/>
      <c r="C14" s="5"/>
      <c r="D14" s="5"/>
      <c r="E14" s="5"/>
      <c r="F14" s="5"/>
      <c r="G14" s="6"/>
      <c r="H14" s="13" t="s">
        <v>143</v>
      </c>
      <c r="I14" s="5"/>
      <c r="J14" s="5"/>
      <c r="K14" s="5"/>
      <c r="L14" s="6"/>
    </row>
    <row r="15" spans="1:12" ht="18">
      <c r="A15" s="43" t="s">
        <v>1736</v>
      </c>
      <c r="B15" s="5"/>
      <c r="C15" s="5"/>
      <c r="D15" s="5"/>
      <c r="E15" s="5"/>
      <c r="F15" s="5"/>
      <c r="G15" s="6"/>
      <c r="H15" s="13"/>
      <c r="I15" s="5"/>
      <c r="J15" s="5"/>
      <c r="K15" s="5"/>
      <c r="L15" s="6"/>
    </row>
    <row r="16" spans="1:12" ht="12.75">
      <c r="A16" s="4"/>
      <c r="B16" s="5"/>
      <c r="C16" s="5"/>
      <c r="D16" s="5"/>
      <c r="E16" s="5"/>
      <c r="F16" s="5"/>
      <c r="G16" s="6"/>
      <c r="H16" s="4"/>
      <c r="I16" s="5"/>
      <c r="J16" s="5"/>
      <c r="K16" s="5"/>
      <c r="L16" s="6"/>
    </row>
    <row r="17" spans="1:12" ht="12.75">
      <c r="A17" s="4"/>
      <c r="B17" s="5" t="s">
        <v>1761</v>
      </c>
      <c r="C17" s="5"/>
      <c r="D17" s="5"/>
      <c r="E17" s="5"/>
      <c r="F17" s="5"/>
      <c r="G17" s="6"/>
      <c r="H17" s="4" t="s">
        <v>262</v>
      </c>
      <c r="I17" s="5"/>
      <c r="J17" s="5"/>
      <c r="K17" s="5"/>
      <c r="L17" s="6"/>
    </row>
    <row r="18" spans="1:12" ht="12.75">
      <c r="A18" s="4"/>
      <c r="B18" s="5" t="s">
        <v>1645</v>
      </c>
      <c r="C18" s="5"/>
      <c r="D18" s="5"/>
      <c r="E18" s="5"/>
      <c r="F18" s="5"/>
      <c r="G18" s="6"/>
      <c r="H18" s="4" t="s">
        <v>1347</v>
      </c>
      <c r="I18" s="5"/>
      <c r="J18" s="5"/>
      <c r="K18" s="5"/>
      <c r="L18" s="6"/>
    </row>
    <row r="19" spans="1:12" ht="12.75">
      <c r="A19" s="4"/>
      <c r="B19" s="5" t="s">
        <v>1472</v>
      </c>
      <c r="C19" s="5"/>
      <c r="D19" s="5"/>
      <c r="E19" s="5"/>
      <c r="F19" s="5"/>
      <c r="G19" s="6"/>
      <c r="H19" s="4" t="s">
        <v>218</v>
      </c>
      <c r="I19" s="5"/>
      <c r="J19" s="5"/>
      <c r="K19" s="5"/>
      <c r="L19" s="6"/>
    </row>
    <row r="20" spans="1:12" ht="12.75">
      <c r="A20" s="4"/>
      <c r="B20" s="5" t="s">
        <v>1762</v>
      </c>
      <c r="C20" s="5"/>
      <c r="D20" s="5"/>
      <c r="E20" s="5"/>
      <c r="F20" s="5"/>
      <c r="G20" s="6"/>
      <c r="H20" s="4"/>
      <c r="I20" s="5"/>
      <c r="J20" s="110"/>
      <c r="K20" s="5"/>
      <c r="L20" s="6"/>
    </row>
    <row r="21" spans="1:12" ht="12.75">
      <c r="A21" s="4"/>
      <c r="B21" s="5"/>
      <c r="C21" s="5"/>
      <c r="D21" s="5"/>
      <c r="E21" s="5"/>
      <c r="F21" s="5"/>
      <c r="G21" s="6"/>
      <c r="H21" s="4"/>
      <c r="I21" s="5"/>
      <c r="J21" s="5"/>
      <c r="K21" s="5"/>
      <c r="L21" s="6"/>
    </row>
    <row r="22" spans="1:12" ht="12.75">
      <c r="A22" s="4"/>
      <c r="B22" s="5"/>
      <c r="C22" s="5"/>
      <c r="D22" s="5"/>
      <c r="E22" s="5"/>
      <c r="F22" s="5"/>
      <c r="G22" s="6"/>
      <c r="H22" s="4"/>
      <c r="I22" s="5"/>
      <c r="J22" s="5"/>
      <c r="K22" s="5"/>
      <c r="L22" s="6"/>
    </row>
    <row r="23" spans="1:12" ht="12.75">
      <c r="A23" s="4"/>
      <c r="B23" s="5"/>
      <c r="C23" s="46" t="s">
        <v>219</v>
      </c>
      <c r="D23" s="5"/>
      <c r="E23" s="5"/>
      <c r="F23" s="5"/>
      <c r="G23" s="6"/>
      <c r="H23" s="4"/>
      <c r="I23" s="46" t="s">
        <v>1052</v>
      </c>
      <c r="J23" s="22"/>
      <c r="K23" s="5"/>
      <c r="L23" s="6"/>
    </row>
    <row r="24" spans="1:12" ht="12.75">
      <c r="A24" s="4"/>
      <c r="B24" s="5"/>
      <c r="C24" s="5"/>
      <c r="D24" s="5"/>
      <c r="E24" s="5"/>
      <c r="F24" s="5"/>
      <c r="G24" s="6"/>
      <c r="H24" s="193"/>
      <c r="I24" s="5"/>
      <c r="J24" s="5"/>
      <c r="K24" s="112"/>
      <c r="L24" s="6"/>
    </row>
    <row r="25" spans="1:12" ht="12.75">
      <c r="A25" s="4"/>
      <c r="B25" s="5"/>
      <c r="C25" s="5"/>
      <c r="D25" s="5"/>
      <c r="E25" s="111"/>
      <c r="F25" s="5"/>
      <c r="G25" s="6"/>
      <c r="H25" s="4"/>
      <c r="I25" s="5"/>
      <c r="J25" s="5"/>
      <c r="K25" s="5"/>
      <c r="L25" s="6"/>
    </row>
    <row r="26" spans="1:12" ht="12.75">
      <c r="A26" s="4"/>
      <c r="B26" s="5"/>
      <c r="C26" s="5"/>
      <c r="D26" s="110"/>
      <c r="E26" s="5"/>
      <c r="F26" s="5"/>
      <c r="G26" s="6"/>
      <c r="H26" s="4"/>
      <c r="I26" s="5"/>
      <c r="J26" s="112"/>
      <c r="K26" s="5"/>
      <c r="L26" s="6"/>
    </row>
    <row r="27" spans="1:12" ht="12.75">
      <c r="A27" s="4"/>
      <c r="B27" s="5"/>
      <c r="C27" s="5"/>
      <c r="D27" s="5"/>
      <c r="E27" s="5"/>
      <c r="F27" s="5"/>
      <c r="G27" s="6"/>
      <c r="H27" s="4"/>
      <c r="I27" s="5"/>
      <c r="J27" s="5"/>
      <c r="K27" s="22"/>
      <c r="L27" s="6"/>
    </row>
    <row r="28" spans="1:12" ht="12.75">
      <c r="A28" s="4"/>
      <c r="B28" s="5"/>
      <c r="C28" s="5"/>
      <c r="D28" s="5"/>
      <c r="E28" s="109"/>
      <c r="F28" s="5"/>
      <c r="G28" s="6"/>
      <c r="H28" s="4"/>
      <c r="I28" s="5"/>
      <c r="J28" s="5"/>
      <c r="K28" s="5"/>
      <c r="L28" s="6"/>
    </row>
    <row r="29" spans="1:12" ht="12.75">
      <c r="A29" s="4"/>
      <c r="B29" s="5"/>
      <c r="C29" s="5"/>
      <c r="D29" s="5"/>
      <c r="E29" s="42"/>
      <c r="F29" s="5"/>
      <c r="G29" s="6"/>
      <c r="H29" s="4"/>
      <c r="I29" s="5"/>
      <c r="J29" s="5"/>
      <c r="K29" s="5"/>
      <c r="L29" s="6"/>
    </row>
    <row r="30" spans="1:12" ht="12.75">
      <c r="A30" s="4"/>
      <c r="B30" s="5"/>
      <c r="C30" s="5"/>
      <c r="D30" s="5" t="s">
        <v>220</v>
      </c>
      <c r="E30" s="5"/>
      <c r="F30" s="5"/>
      <c r="G30" s="6"/>
      <c r="H30" s="4"/>
      <c r="I30" s="5"/>
      <c r="J30" s="5"/>
      <c r="K30" s="5"/>
      <c r="L30" s="6"/>
    </row>
    <row r="31" spans="1:12" ht="12.75">
      <c r="A31" s="4"/>
      <c r="B31" s="5" t="s">
        <v>565</v>
      </c>
      <c r="C31" s="5"/>
      <c r="D31" s="61" t="s">
        <v>221</v>
      </c>
      <c r="E31" s="5"/>
      <c r="F31" s="5" t="s">
        <v>567</v>
      </c>
      <c r="G31" s="6"/>
      <c r="H31" s="4"/>
      <c r="I31" s="5"/>
      <c r="J31" s="110" t="s">
        <v>10</v>
      </c>
      <c r="K31" s="5"/>
      <c r="L31" s="6"/>
    </row>
    <row r="32" spans="1:12" ht="12.75">
      <c r="A32" s="4"/>
      <c r="B32" s="5"/>
      <c r="C32" s="5"/>
      <c r="D32" s="5"/>
      <c r="E32" s="5"/>
      <c r="F32" s="5"/>
      <c r="G32" s="6"/>
      <c r="H32" s="4" t="s">
        <v>1155</v>
      </c>
      <c r="I32" s="5"/>
      <c r="J32" s="5"/>
      <c r="K32" s="5"/>
      <c r="L32" s="6" t="s">
        <v>1156</v>
      </c>
    </row>
    <row r="33" spans="1:12" ht="12.75">
      <c r="A33" s="4"/>
      <c r="B33" s="5"/>
      <c r="C33" s="5"/>
      <c r="D33" s="5"/>
      <c r="E33" s="5"/>
      <c r="F33" s="5"/>
      <c r="G33" s="6"/>
      <c r="H33" s="4"/>
      <c r="I33" s="5"/>
      <c r="J33" s="110" t="s">
        <v>1772</v>
      </c>
      <c r="K33" s="5"/>
      <c r="L33" s="6"/>
    </row>
    <row r="34" spans="1:12" ht="12.75">
      <c r="A34" s="4"/>
      <c r="B34" s="5"/>
      <c r="C34" s="5"/>
      <c r="D34" s="5"/>
      <c r="E34" s="5"/>
      <c r="F34" s="5"/>
      <c r="G34" s="6"/>
      <c r="H34" s="4"/>
      <c r="I34" s="5"/>
      <c r="J34" s="5"/>
      <c r="K34" s="5"/>
      <c r="L34" s="6"/>
    </row>
    <row r="35" spans="1:12" ht="12.75">
      <c r="A35" s="4"/>
      <c r="B35" s="5"/>
      <c r="C35" s="5"/>
      <c r="D35" s="5"/>
      <c r="E35" s="108"/>
      <c r="F35" s="5"/>
      <c r="G35" s="6"/>
      <c r="H35" s="4"/>
      <c r="I35" s="5"/>
      <c r="J35" s="5"/>
      <c r="K35" s="5"/>
      <c r="L35" s="6"/>
    </row>
    <row r="36" spans="1:12" ht="12.75">
      <c r="A36" s="4"/>
      <c r="B36" s="5"/>
      <c r="C36" s="5" t="s">
        <v>491</v>
      </c>
      <c r="D36" s="5"/>
      <c r="E36" s="5"/>
      <c r="F36" s="5"/>
      <c r="G36" s="6"/>
      <c r="H36" s="4"/>
      <c r="I36" s="5" t="s">
        <v>263</v>
      </c>
      <c r="J36" s="5"/>
      <c r="K36" s="5"/>
      <c r="L36" s="6"/>
    </row>
    <row r="37" spans="1:12" ht="12.75">
      <c r="A37" s="4"/>
      <c r="B37" s="5"/>
      <c r="C37" s="5" t="s">
        <v>669</v>
      </c>
      <c r="D37" s="5"/>
      <c r="E37" s="5"/>
      <c r="F37" s="5"/>
      <c r="G37" s="6"/>
      <c r="H37" s="4"/>
      <c r="I37" s="5"/>
      <c r="J37" s="5"/>
      <c r="K37" s="5"/>
      <c r="L37" s="6"/>
    </row>
    <row r="38" spans="1:12" ht="12.75">
      <c r="A38" s="4"/>
      <c r="B38" s="5"/>
      <c r="C38" s="5"/>
      <c r="D38" s="5"/>
      <c r="E38" s="5"/>
      <c r="F38" s="5"/>
      <c r="G38" s="6"/>
      <c r="H38" s="4"/>
      <c r="I38" s="5"/>
      <c r="J38" s="5"/>
      <c r="K38" s="5"/>
      <c r="L38" s="6"/>
    </row>
    <row r="39" spans="1:12" ht="12.75">
      <c r="A39" s="4"/>
      <c r="B39" s="5"/>
      <c r="C39" s="5"/>
      <c r="D39" s="5"/>
      <c r="E39" s="5"/>
      <c r="F39" s="5"/>
      <c r="G39" s="6"/>
      <c r="H39" s="4"/>
      <c r="I39" s="5"/>
      <c r="J39" s="5"/>
      <c r="K39" s="5"/>
      <c r="L39" s="6"/>
    </row>
    <row r="40" spans="1:12" ht="12.75">
      <c r="A40" s="4"/>
      <c r="B40" s="5"/>
      <c r="C40" s="5"/>
      <c r="D40" s="5"/>
      <c r="E40" s="5"/>
      <c r="F40" s="5"/>
      <c r="G40" s="6"/>
      <c r="H40" s="4"/>
      <c r="I40" s="5"/>
      <c r="J40" s="5"/>
      <c r="K40" s="5"/>
      <c r="L40" s="6"/>
    </row>
    <row r="41" spans="1:12" ht="12.75">
      <c r="A41" s="4"/>
      <c r="B41" s="5"/>
      <c r="C41" s="46" t="s">
        <v>11</v>
      </c>
      <c r="D41" s="5"/>
      <c r="E41" s="5"/>
      <c r="F41" s="5"/>
      <c r="G41" s="6"/>
      <c r="H41" s="4"/>
      <c r="I41" s="46" t="s">
        <v>3</v>
      </c>
      <c r="J41" s="5"/>
      <c r="K41" s="5"/>
      <c r="L41" s="6"/>
    </row>
    <row r="42" spans="1:12" ht="13.5" thickBot="1">
      <c r="A42" s="7"/>
      <c r="B42" s="8"/>
      <c r="C42" s="8"/>
      <c r="D42" s="8"/>
      <c r="E42" s="8"/>
      <c r="F42" s="8"/>
      <c r="G42" s="9"/>
      <c r="H42" s="7"/>
      <c r="I42" s="8"/>
      <c r="J42" s="8"/>
      <c r="K42" s="8"/>
      <c r="L42" s="9"/>
    </row>
    <row r="43" spans="1:12" ht="13.5" thickBot="1">
      <c r="A43" s="5"/>
      <c r="B43" s="5"/>
      <c r="C43" s="5"/>
      <c r="D43" s="5"/>
      <c r="E43" s="5"/>
      <c r="F43" s="5"/>
      <c r="G43" s="5"/>
      <c r="H43" s="5"/>
      <c r="I43" s="5"/>
      <c r="J43" s="5"/>
      <c r="K43" s="5"/>
      <c r="L43" s="5"/>
    </row>
    <row r="44" spans="1:12" ht="12.75">
      <c r="A44" s="1"/>
      <c r="B44" s="2"/>
      <c r="C44" s="2"/>
      <c r="D44" s="2"/>
      <c r="E44" s="2"/>
      <c r="F44" s="2"/>
      <c r="G44" s="2"/>
      <c r="H44" s="2"/>
      <c r="I44" s="2"/>
      <c r="J44" s="2"/>
      <c r="K44" s="2"/>
      <c r="L44" s="3"/>
    </row>
    <row r="45" spans="1:12" ht="18">
      <c r="A45" s="13" t="s">
        <v>569</v>
      </c>
      <c r="B45" s="172"/>
      <c r="C45" s="172"/>
      <c r="D45" s="5"/>
      <c r="E45" s="5"/>
      <c r="F45" s="5"/>
      <c r="G45" s="5"/>
      <c r="H45" s="5"/>
      <c r="I45" s="5"/>
      <c r="J45" s="5"/>
      <c r="K45" s="5"/>
      <c r="L45" s="6"/>
    </row>
    <row r="46" spans="1:12" ht="18">
      <c r="A46" s="13"/>
      <c r="B46" s="172"/>
      <c r="C46" s="172"/>
      <c r="D46" s="5"/>
      <c r="E46" s="5"/>
      <c r="F46" s="5"/>
      <c r="G46" s="5"/>
      <c r="H46" s="5"/>
      <c r="I46" s="5"/>
      <c r="J46" s="5"/>
      <c r="L46" s="6"/>
    </row>
    <row r="47" spans="1:12" ht="18">
      <c r="A47" s="13"/>
      <c r="B47" s="46" t="s">
        <v>375</v>
      </c>
      <c r="C47" s="172"/>
      <c r="D47" s="5"/>
      <c r="E47" s="5"/>
      <c r="F47" s="5"/>
      <c r="G47" s="5"/>
      <c r="H47" s="5"/>
      <c r="I47" s="5"/>
      <c r="J47" s="5"/>
      <c r="K47" s="5"/>
      <c r="L47" s="6"/>
    </row>
    <row r="48" spans="1:12" ht="18">
      <c r="A48" s="13"/>
      <c r="B48" s="5" t="s">
        <v>217</v>
      </c>
      <c r="C48" s="172"/>
      <c r="D48" s="5"/>
      <c r="E48" s="5"/>
      <c r="F48" s="5"/>
      <c r="G48" s="5"/>
      <c r="H48" s="5"/>
      <c r="I48" s="5"/>
      <c r="J48" s="5"/>
      <c r="K48" s="5"/>
      <c r="L48" s="6"/>
    </row>
    <row r="49" spans="1:12" ht="12.75">
      <c r="A49" s="4"/>
      <c r="B49" s="5"/>
      <c r="C49" s="5"/>
      <c r="D49" s="5"/>
      <c r="E49" s="5"/>
      <c r="F49" s="5"/>
      <c r="G49" s="5"/>
      <c r="H49" s="5"/>
      <c r="I49" s="5"/>
      <c r="J49" s="5"/>
      <c r="K49" s="5"/>
      <c r="L49" s="6"/>
    </row>
    <row r="50" spans="1:12" ht="12.75">
      <c r="A50" s="10"/>
      <c r="B50" s="5"/>
      <c r="C50" s="5" t="s">
        <v>1489</v>
      </c>
      <c r="D50" s="5"/>
      <c r="E50" s="5"/>
      <c r="F50" s="5"/>
      <c r="G50" s="5"/>
      <c r="H50" s="5" t="s">
        <v>1188</v>
      </c>
      <c r="J50" s="188">
        <f>Intersection_Calc!I89</f>
        <v>6370332.740665482</v>
      </c>
      <c r="K50" s="5" t="s">
        <v>167</v>
      </c>
      <c r="L50" s="6"/>
    </row>
    <row r="51" spans="1:12" ht="12.75">
      <c r="A51" s="4"/>
      <c r="B51" s="5"/>
      <c r="C51" s="5"/>
      <c r="D51" s="5"/>
      <c r="E51" s="5"/>
      <c r="F51" s="5"/>
      <c r="G51" s="5"/>
      <c r="H51" s="5"/>
      <c r="I51" s="5"/>
      <c r="J51" s="5"/>
      <c r="K51" s="5"/>
      <c r="L51" s="6"/>
    </row>
    <row r="52" spans="1:12" ht="12.75">
      <c r="A52" s="4"/>
      <c r="B52" s="5"/>
      <c r="C52" s="5" t="s">
        <v>1079</v>
      </c>
      <c r="D52" s="5"/>
      <c r="E52" s="5"/>
      <c r="F52" s="5"/>
      <c r="G52" s="5"/>
      <c r="H52" s="5"/>
      <c r="I52" s="5"/>
      <c r="J52" s="5"/>
      <c r="K52" s="5"/>
      <c r="L52" s="6"/>
    </row>
    <row r="53" spans="1:12" ht="12.75">
      <c r="A53" s="4"/>
      <c r="B53" s="26" t="s">
        <v>1080</v>
      </c>
      <c r="C53" s="5" t="s">
        <v>315</v>
      </c>
      <c r="D53" s="5"/>
      <c r="E53" s="5"/>
      <c r="F53" s="5"/>
      <c r="G53" s="5"/>
      <c r="H53" s="5"/>
      <c r="I53" s="5"/>
      <c r="J53" s="5"/>
      <c r="K53" s="5"/>
      <c r="L53" s="6"/>
    </row>
    <row r="54" spans="1:12" ht="12.75">
      <c r="A54" s="4"/>
      <c r="B54" s="26"/>
      <c r="C54" s="5"/>
      <c r="D54" s="5"/>
      <c r="E54" s="5"/>
      <c r="F54" s="5"/>
      <c r="G54" s="5"/>
      <c r="L54" s="6"/>
    </row>
    <row r="55" spans="1:12" s="204" customFormat="1" ht="12.75">
      <c r="A55" s="203"/>
      <c r="B55" s="148"/>
      <c r="C55" s="148"/>
      <c r="D55" s="148"/>
      <c r="E55" s="148"/>
      <c r="F55" s="148"/>
      <c r="G55" s="148"/>
      <c r="H55" s="148"/>
      <c r="J55" s="205"/>
      <c r="K55" s="148"/>
      <c r="L55" s="206"/>
    </row>
    <row r="56" spans="1:12" s="204" customFormat="1" ht="12.75">
      <c r="A56" s="203"/>
      <c r="B56" s="148" t="s">
        <v>316</v>
      </c>
      <c r="C56" s="148"/>
      <c r="D56" s="148"/>
      <c r="E56" s="148"/>
      <c r="F56" s="148"/>
      <c r="G56" s="148"/>
      <c r="H56" s="148"/>
      <c r="J56" s="205"/>
      <c r="K56" s="148"/>
      <c r="L56" s="206"/>
    </row>
    <row r="57" spans="1:12" s="204" customFormat="1" ht="12.75">
      <c r="A57" s="203"/>
      <c r="B57" s="148"/>
      <c r="C57" s="148"/>
      <c r="D57" s="148"/>
      <c r="E57" s="148"/>
      <c r="F57" s="148"/>
      <c r="G57" s="148"/>
      <c r="H57" s="148"/>
      <c r="J57" s="205"/>
      <c r="K57" s="148"/>
      <c r="L57" s="206"/>
    </row>
    <row r="58" spans="1:12" s="204" customFormat="1" ht="12.75">
      <c r="A58" s="203"/>
      <c r="B58" s="148" t="s">
        <v>383</v>
      </c>
      <c r="C58" s="148"/>
      <c r="D58" s="148"/>
      <c r="E58" s="148"/>
      <c r="F58" s="148"/>
      <c r="G58" s="148"/>
      <c r="H58" s="148"/>
      <c r="J58" s="205"/>
      <c r="K58" s="148"/>
      <c r="L58" s="206"/>
    </row>
    <row r="59" spans="1:12" s="204" customFormat="1" ht="12.75">
      <c r="A59" s="203"/>
      <c r="B59" s="148"/>
      <c r="C59" s="148"/>
      <c r="D59" s="148"/>
      <c r="E59" s="148"/>
      <c r="F59" s="148"/>
      <c r="G59" s="148"/>
      <c r="H59" s="148"/>
      <c r="J59" s="205"/>
      <c r="K59" s="148"/>
      <c r="L59" s="206"/>
    </row>
    <row r="60" spans="1:12" s="204" customFormat="1" ht="12.75">
      <c r="A60" s="203"/>
      <c r="B60" s="148" t="s">
        <v>1827</v>
      </c>
      <c r="C60" s="148"/>
      <c r="D60" s="148"/>
      <c r="E60" s="148"/>
      <c r="F60" s="148"/>
      <c r="G60" s="148"/>
      <c r="H60" s="148"/>
      <c r="J60" s="205"/>
      <c r="K60" s="148"/>
      <c r="L60" s="206"/>
    </row>
    <row r="61" spans="1:12" s="204" customFormat="1" ht="12.75">
      <c r="A61" s="203"/>
      <c r="B61" s="148"/>
      <c r="C61" s="148"/>
      <c r="D61" s="148"/>
      <c r="E61" s="148"/>
      <c r="F61" s="148"/>
      <c r="G61" s="148"/>
      <c r="H61" s="148"/>
      <c r="J61" s="205"/>
      <c r="K61" s="148"/>
      <c r="L61" s="206"/>
    </row>
    <row r="62" spans="1:12" s="204" customFormat="1" ht="12.75">
      <c r="A62" s="203"/>
      <c r="B62" s="148" t="s">
        <v>27</v>
      </c>
      <c r="C62" s="148"/>
      <c r="D62" s="148"/>
      <c r="E62" s="148"/>
      <c r="F62" s="148"/>
      <c r="G62" s="148"/>
      <c r="H62" s="148"/>
      <c r="J62" s="205"/>
      <c r="K62" s="148"/>
      <c r="L62" s="206"/>
    </row>
    <row r="63" spans="1:12" s="204" customFormat="1" ht="12.75">
      <c r="A63" s="203"/>
      <c r="B63" s="148" t="s">
        <v>1506</v>
      </c>
      <c r="C63" s="148"/>
      <c r="D63" s="148"/>
      <c r="E63" s="148"/>
      <c r="F63" s="148"/>
      <c r="G63" s="148"/>
      <c r="H63" s="148"/>
      <c r="J63" s="205"/>
      <c r="K63" s="148"/>
      <c r="L63" s="206"/>
    </row>
    <row r="64" spans="1:12" s="204" customFormat="1" ht="12.75">
      <c r="A64" s="203"/>
      <c r="B64" s="148" t="s">
        <v>570</v>
      </c>
      <c r="C64" s="148"/>
      <c r="D64" s="148"/>
      <c r="E64" s="148"/>
      <c r="F64" s="148"/>
      <c r="G64" s="148"/>
      <c r="H64" s="148"/>
      <c r="J64" s="205"/>
      <c r="K64" s="148"/>
      <c r="L64" s="206"/>
    </row>
    <row r="65" spans="1:12" s="204" customFormat="1" ht="12.75">
      <c r="A65" s="203"/>
      <c r="B65" s="148"/>
      <c r="C65" s="148"/>
      <c r="D65" s="148"/>
      <c r="E65" s="148"/>
      <c r="F65" s="148"/>
      <c r="G65" s="148"/>
      <c r="H65" s="148"/>
      <c r="J65" s="205"/>
      <c r="K65" s="148"/>
      <c r="L65" s="206"/>
    </row>
    <row r="66" spans="1:12" s="204" customFormat="1" ht="12.75">
      <c r="A66" s="203"/>
      <c r="B66" s="148"/>
      <c r="C66" s="148"/>
      <c r="D66" s="148"/>
      <c r="E66" s="148"/>
      <c r="F66" s="148"/>
      <c r="G66" s="148"/>
      <c r="H66" s="148"/>
      <c r="J66" s="205"/>
      <c r="K66" s="148"/>
      <c r="L66" s="206"/>
    </row>
    <row r="67" spans="1:12" s="204" customFormat="1" ht="12.75">
      <c r="A67" s="203"/>
      <c r="B67" s="148"/>
      <c r="C67" s="148"/>
      <c r="D67" s="148" t="s">
        <v>1127</v>
      </c>
      <c r="E67" s="148"/>
      <c r="F67" s="148"/>
      <c r="G67" s="148"/>
      <c r="H67" s="211" t="s">
        <v>571</v>
      </c>
      <c r="J67" s="205" t="s">
        <v>1127</v>
      </c>
      <c r="K67" s="148"/>
      <c r="L67" s="206"/>
    </row>
    <row r="68" spans="1:12" s="204" customFormat="1" ht="12.75">
      <c r="A68" s="203"/>
      <c r="B68" s="148"/>
      <c r="C68" s="148"/>
      <c r="D68" s="148"/>
      <c r="E68" s="148"/>
      <c r="F68" s="148"/>
      <c r="G68" s="148"/>
      <c r="H68" s="148"/>
      <c r="J68" s="205"/>
      <c r="K68" s="148"/>
      <c r="L68" s="206"/>
    </row>
    <row r="69" spans="1:12" s="204" customFormat="1" ht="12.75">
      <c r="A69" s="203"/>
      <c r="B69" s="148"/>
      <c r="C69" s="148"/>
      <c r="D69" s="148"/>
      <c r="E69" s="208" t="s">
        <v>572</v>
      </c>
      <c r="F69" s="148"/>
      <c r="G69" s="148"/>
      <c r="H69" s="211" t="s">
        <v>573</v>
      </c>
      <c r="J69" s="205"/>
      <c r="K69" s="148"/>
      <c r="L69" s="206"/>
    </row>
    <row r="70" spans="1:12" s="204" customFormat="1" ht="12.75">
      <c r="A70" s="203"/>
      <c r="B70" s="148"/>
      <c r="C70" s="148"/>
      <c r="D70" s="148"/>
      <c r="E70"/>
      <c r="F70"/>
      <c r="G70" s="148"/>
      <c r="H70" s="148"/>
      <c r="J70" s="205"/>
      <c r="K70" s="148"/>
      <c r="L70" s="212" t="s">
        <v>574</v>
      </c>
    </row>
    <row r="71" spans="1:12" s="204" customFormat="1" ht="12.75">
      <c r="A71" s="203"/>
      <c r="B71" s="148"/>
      <c r="C71" s="148"/>
      <c r="D71" s="148"/>
      <c r="E71" s="148"/>
      <c r="F71" s="148"/>
      <c r="G71" s="148"/>
      <c r="H71" s="148"/>
      <c r="J71" s="205"/>
      <c r="K71" s="148"/>
      <c r="L71" s="213"/>
    </row>
    <row r="72" spans="1:12" s="204" customFormat="1" ht="12.75">
      <c r="A72" s="203"/>
      <c r="B72" s="148"/>
      <c r="C72" s="148"/>
      <c r="D72" s="148"/>
      <c r="E72" s="148"/>
      <c r="F72" s="148"/>
      <c r="G72" s="148"/>
      <c r="H72" s="148"/>
      <c r="J72" s="205"/>
      <c r="K72" s="148"/>
      <c r="L72" s="212" t="s">
        <v>251</v>
      </c>
    </row>
    <row r="73" spans="1:12" s="204" customFormat="1" ht="12.75">
      <c r="A73" s="203"/>
      <c r="B73" s="148"/>
      <c r="C73" s="148"/>
      <c r="D73" s="148"/>
      <c r="E73" s="148"/>
      <c r="F73" s="148"/>
      <c r="G73" s="148"/>
      <c r="H73" s="148"/>
      <c r="J73" s="205"/>
      <c r="K73" s="148"/>
      <c r="L73" s="206"/>
    </row>
    <row r="74" spans="1:12" s="204" customFormat="1" ht="12.75">
      <c r="A74" s="203"/>
      <c r="B74" s="148"/>
      <c r="C74" s="148"/>
      <c r="D74" s="148"/>
      <c r="E74" s="148"/>
      <c r="F74" s="148"/>
      <c r="G74" s="148"/>
      <c r="H74" s="148"/>
      <c r="J74" s="205"/>
      <c r="K74" s="148"/>
      <c r="L74" s="206"/>
    </row>
    <row r="75" spans="1:12" s="204" customFormat="1" ht="12.75">
      <c r="A75" s="203"/>
      <c r="B75" s="148"/>
      <c r="C75" s="148"/>
      <c r="D75"/>
      <c r="E75" s="148"/>
      <c r="F75" s="148"/>
      <c r="G75" s="148"/>
      <c r="H75" s="148"/>
      <c r="J75" s="205"/>
      <c r="K75" s="148"/>
      <c r="L75" s="206"/>
    </row>
    <row r="76" spans="1:12" s="204" customFormat="1" ht="12.75">
      <c r="A76" s="203"/>
      <c r="B76" s="148"/>
      <c r="C76" s="148"/>
      <c r="D76" s="148"/>
      <c r="E76" s="148"/>
      <c r="F76" s="148"/>
      <c r="G76" s="209" t="s">
        <v>252</v>
      </c>
      <c r="H76" s="148"/>
      <c r="J76" s="205"/>
      <c r="K76" s="148"/>
      <c r="L76" s="210" t="s">
        <v>253</v>
      </c>
    </row>
    <row r="77" spans="1:12" s="204" customFormat="1" ht="12.75">
      <c r="A77" s="203"/>
      <c r="B77" s="148"/>
      <c r="C77" s="148"/>
      <c r="D77" s="148"/>
      <c r="E77" s="148"/>
      <c r="F77" s="148"/>
      <c r="G77" s="148"/>
      <c r="H77" s="148"/>
      <c r="J77" s="205"/>
      <c r="K77" s="148"/>
      <c r="L77" s="206"/>
    </row>
    <row r="78" spans="1:12" s="204" customFormat="1" ht="12.75">
      <c r="A78" s="203"/>
      <c r="B78" s="148"/>
      <c r="C78" s="148"/>
      <c r="D78" s="148"/>
      <c r="E78" s="148"/>
      <c r="F78" s="148"/>
      <c r="G78" s="148"/>
      <c r="H78" s="148"/>
      <c r="J78" s="205"/>
      <c r="K78" s="148"/>
      <c r="L78" s="206"/>
    </row>
    <row r="79" spans="1:12" s="204" customFormat="1" ht="12.75">
      <c r="A79" s="203"/>
      <c r="B79" s="148"/>
      <c r="C79" s="148"/>
      <c r="D79" s="148"/>
      <c r="E79" s="148"/>
      <c r="F79" s="148"/>
      <c r="G79" s="148"/>
      <c r="H79" s="148"/>
      <c r="J79" s="205"/>
      <c r="K79" s="148"/>
      <c r="L79" s="206"/>
    </row>
    <row r="80" spans="1:12" s="204" customFormat="1" ht="12.75">
      <c r="A80" s="203"/>
      <c r="B80" s="148"/>
      <c r="C80" s="148"/>
      <c r="D80" s="148"/>
      <c r="E80"/>
      <c r="F80" s="148"/>
      <c r="G80" s="148"/>
      <c r="H80" s="148"/>
      <c r="J80" s="205"/>
      <c r="K80" s="148"/>
      <c r="L80" s="206"/>
    </row>
    <row r="81" spans="1:12" s="204" customFormat="1" ht="12.75">
      <c r="A81" s="203"/>
      <c r="B81" s="148"/>
      <c r="C81" s="148" t="s">
        <v>254</v>
      </c>
      <c r="D81" s="148"/>
      <c r="E81" s="148"/>
      <c r="F81" s="148"/>
      <c r="G81" s="148"/>
      <c r="H81" s="148"/>
      <c r="I81" s="207" t="s">
        <v>255</v>
      </c>
      <c r="J81" s="205"/>
      <c r="K81" s="148"/>
      <c r="L81" s="206"/>
    </row>
    <row r="82" spans="1:12" s="204" customFormat="1" ht="12.75">
      <c r="A82" s="203"/>
      <c r="B82" s="148"/>
      <c r="C82" s="148" t="s">
        <v>256</v>
      </c>
      <c r="D82" s="148"/>
      <c r="E82"/>
      <c r="F82"/>
      <c r="G82" s="148"/>
      <c r="H82" s="148"/>
      <c r="I82" s="207" t="s">
        <v>257</v>
      </c>
      <c r="J82" s="205"/>
      <c r="K82" s="148"/>
      <c r="L82" s="206"/>
    </row>
    <row r="83" spans="1:12" s="204" customFormat="1" ht="12.75">
      <c r="A83" s="203"/>
      <c r="B83" s="148"/>
      <c r="C83" s="148"/>
      <c r="D83" s="148"/>
      <c r="E83" s="215" t="s">
        <v>258</v>
      </c>
      <c r="F83" s="148"/>
      <c r="G83" s="148"/>
      <c r="H83" s="148"/>
      <c r="J83" s="205"/>
      <c r="K83" s="148"/>
      <c r="L83" s="206"/>
    </row>
    <row r="84" spans="1:12" s="204" customFormat="1" ht="12.75">
      <c r="A84" s="203"/>
      <c r="B84" s="148"/>
      <c r="C84" s="148"/>
      <c r="D84" s="148"/>
      <c r="E84" s="148"/>
      <c r="F84" s="148"/>
      <c r="G84" s="148"/>
      <c r="H84" s="148"/>
      <c r="J84" s="205"/>
      <c r="K84" s="148"/>
      <c r="L84" s="206"/>
    </row>
    <row r="85" spans="1:12" s="204" customFormat="1" ht="12.75">
      <c r="A85" s="203"/>
      <c r="B85" s="148"/>
      <c r="C85" s="148"/>
      <c r="D85" s="148"/>
      <c r="E85" s="148"/>
      <c r="F85" s="148"/>
      <c r="G85" s="148"/>
      <c r="H85" s="148"/>
      <c r="J85" s="205"/>
      <c r="K85" s="148"/>
      <c r="L85" s="206"/>
    </row>
    <row r="86" spans="1:12" s="204" customFormat="1" ht="12.75">
      <c r="A86" s="203"/>
      <c r="B86" s="148"/>
      <c r="C86" s="148"/>
      <c r="D86" s="148"/>
      <c r="E86" s="148"/>
      <c r="F86" s="148"/>
      <c r="G86" s="148"/>
      <c r="H86" s="148"/>
      <c r="J86" s="214" t="s">
        <v>259</v>
      </c>
      <c r="K86" s="148"/>
      <c r="L86" s="206"/>
    </row>
    <row r="87" spans="1:12" s="204" customFormat="1" ht="12.75">
      <c r="A87" s="203"/>
      <c r="B87" s="148"/>
      <c r="C87" s="148"/>
      <c r="D87" s="148"/>
      <c r="E87" s="148"/>
      <c r="F87" s="148"/>
      <c r="G87" s="148"/>
      <c r="H87" s="148"/>
      <c r="J87" s="205"/>
      <c r="K87" s="148"/>
      <c r="L87" s="206"/>
    </row>
    <row r="88" spans="1:12" s="204" customFormat="1" ht="12.75">
      <c r="A88" s="203"/>
      <c r="B88" s="148"/>
      <c r="C88" s="148"/>
      <c r="D88" s="148"/>
      <c r="E88" s="148"/>
      <c r="F88" s="148"/>
      <c r="G88" s="148"/>
      <c r="H88" s="148"/>
      <c r="J88" s="205"/>
      <c r="K88" s="148"/>
      <c r="L88" s="206"/>
    </row>
    <row r="89" spans="1:12" s="204" customFormat="1" ht="12.75">
      <c r="A89" s="203"/>
      <c r="B89" s="190" t="s">
        <v>1415</v>
      </c>
      <c r="C89" s="148"/>
      <c r="D89" s="148"/>
      <c r="E89" s="148"/>
      <c r="F89" s="148"/>
      <c r="G89" s="148"/>
      <c r="H89" s="148"/>
      <c r="J89" s="205"/>
      <c r="K89" s="148"/>
      <c r="L89" s="206"/>
    </row>
    <row r="90" spans="1:12" s="204" customFormat="1" ht="12.75">
      <c r="A90" s="203"/>
      <c r="B90" s="190" t="s">
        <v>103</v>
      </c>
      <c r="C90" s="148"/>
      <c r="D90" s="148"/>
      <c r="E90" s="148"/>
      <c r="F90" s="148"/>
      <c r="G90" s="148"/>
      <c r="H90" s="148"/>
      <c r="J90" s="205"/>
      <c r="K90" s="148"/>
      <c r="L90" s="206"/>
    </row>
    <row r="91" spans="1:12" s="204" customFormat="1" ht="12.75">
      <c r="A91" s="203"/>
      <c r="B91" s="190" t="s">
        <v>212</v>
      </c>
      <c r="C91" s="148"/>
      <c r="D91" s="148"/>
      <c r="E91" s="148"/>
      <c r="F91" s="148"/>
      <c r="G91" s="148"/>
      <c r="H91" s="148"/>
      <c r="J91" s="205"/>
      <c r="K91" s="148"/>
      <c r="L91" s="206"/>
    </row>
    <row r="92" spans="1:12" s="204" customFormat="1" ht="12.75">
      <c r="A92" s="203"/>
      <c r="B92" s="148"/>
      <c r="C92" s="148"/>
      <c r="D92" s="148"/>
      <c r="E92" s="148"/>
      <c r="F92" s="148"/>
      <c r="G92" s="148"/>
      <c r="H92" s="148"/>
      <c r="J92" s="205"/>
      <c r="K92" s="148"/>
      <c r="L92" s="206"/>
    </row>
    <row r="93" spans="1:12" s="204" customFormat="1" ht="12.75">
      <c r="A93" s="203"/>
      <c r="B93" s="190" t="s">
        <v>594</v>
      </c>
      <c r="C93"/>
      <c r="D93" s="148" t="s">
        <v>700</v>
      </c>
      <c r="E93" s="148">
        <v>-45.6765</v>
      </c>
      <c r="F93" s="148" t="s">
        <v>1233</v>
      </c>
      <c r="G93" s="148"/>
      <c r="H93" s="190" t="s">
        <v>596</v>
      </c>
      <c r="J93" s="205"/>
      <c r="K93" s="148"/>
      <c r="L93" s="206"/>
    </row>
    <row r="94" spans="1:12" s="204" customFormat="1" ht="12.75">
      <c r="A94" s="203"/>
      <c r="B94" s="148"/>
      <c r="C94" s="148"/>
      <c r="D94" s="148" t="s">
        <v>597</v>
      </c>
      <c r="E94" s="148">
        <v>167.9384</v>
      </c>
      <c r="F94" s="148" t="s">
        <v>1233</v>
      </c>
      <c r="G94" s="148"/>
      <c r="H94" s="190" t="s">
        <v>595</v>
      </c>
      <c r="I94" s="207">
        <f>E93</f>
        <v>-45.6765</v>
      </c>
      <c r="J94" s="190" t="s">
        <v>1233</v>
      </c>
      <c r="K94" s="148"/>
      <c r="L94" s="206"/>
    </row>
    <row r="95" spans="1:12" s="204" customFormat="1" ht="12.75">
      <c r="A95" s="203"/>
      <c r="B95" s="148"/>
      <c r="C95" s="148"/>
      <c r="D95" s="148" t="s">
        <v>598</v>
      </c>
      <c r="E95" s="148">
        <f>-180+E94</f>
        <v>-12.061599999999999</v>
      </c>
      <c r="F95" s="148" t="s">
        <v>1233</v>
      </c>
      <c r="G95" s="148"/>
      <c r="H95" s="190" t="s">
        <v>1059</v>
      </c>
      <c r="I95" s="207">
        <f>IF(SIGN(E95)=-1,-E94,E94)</f>
        <v>-167.9384</v>
      </c>
      <c r="J95" s="190" t="s">
        <v>1233</v>
      </c>
      <c r="K95" s="148"/>
      <c r="L95" s="206"/>
    </row>
    <row r="96" spans="1:12" s="204" customFormat="1" ht="12.75">
      <c r="A96" s="203"/>
      <c r="B96" s="148"/>
      <c r="C96" s="148"/>
      <c r="D96" s="148"/>
      <c r="E96" s="148"/>
      <c r="F96" s="148"/>
      <c r="G96" s="148"/>
      <c r="H96" s="148"/>
      <c r="J96" s="205"/>
      <c r="K96" s="148"/>
      <c r="L96" s="206"/>
    </row>
    <row r="97" spans="1:12" s="204" customFormat="1" ht="12.75">
      <c r="A97" s="203"/>
      <c r="B97" s="148"/>
      <c r="C97" s="148"/>
      <c r="D97" s="148"/>
      <c r="E97" s="148"/>
      <c r="F97" s="148"/>
      <c r="G97" s="148"/>
      <c r="H97" s="148"/>
      <c r="J97" s="205"/>
      <c r="K97" s="148"/>
      <c r="L97" s="206"/>
    </row>
    <row r="98" spans="1:12" ht="13.5" thickBot="1">
      <c r="A98" s="7"/>
      <c r="B98" s="8"/>
      <c r="C98" s="8"/>
      <c r="D98" s="8"/>
      <c r="E98" s="8"/>
      <c r="F98" s="8"/>
      <c r="G98" s="8"/>
      <c r="H98" s="8"/>
      <c r="I98" s="8"/>
      <c r="J98" s="8"/>
      <c r="K98" s="8"/>
      <c r="L98" s="9"/>
    </row>
    <row r="99" spans="1:12" ht="13.5" thickBot="1">
      <c r="A99" s="5"/>
      <c r="B99" s="5"/>
      <c r="C99" s="5"/>
      <c r="D99" s="5"/>
      <c r="E99" s="5"/>
      <c r="F99" s="5"/>
      <c r="G99" s="5"/>
      <c r="H99" s="5"/>
      <c r="I99" s="5"/>
      <c r="J99" s="5"/>
      <c r="K99" s="5"/>
      <c r="L99" s="5"/>
    </row>
    <row r="100" spans="1:12" ht="12.75">
      <c r="A100" s="1"/>
      <c r="B100" s="2"/>
      <c r="C100" s="2"/>
      <c r="D100" s="2"/>
      <c r="E100" s="2"/>
      <c r="F100" s="2"/>
      <c r="G100" s="2"/>
      <c r="H100" s="2"/>
      <c r="I100" s="2"/>
      <c r="J100" s="2"/>
      <c r="K100" s="2"/>
      <c r="L100" s="3"/>
    </row>
    <row r="101" spans="1:12" ht="18">
      <c r="A101" s="4"/>
      <c r="B101" s="260" t="s">
        <v>701</v>
      </c>
      <c r="C101" s="5"/>
      <c r="D101" s="5"/>
      <c r="E101" s="5"/>
      <c r="F101" s="5"/>
      <c r="G101" s="5"/>
      <c r="H101" s="5"/>
      <c r="I101" s="5"/>
      <c r="J101" s="5"/>
      <c r="K101" s="5"/>
      <c r="L101" s="6"/>
    </row>
    <row r="102" spans="1:12" ht="12.75">
      <c r="A102" s="4"/>
      <c r="B102" s="5" t="s">
        <v>33</v>
      </c>
      <c r="C102" s="5"/>
      <c r="D102" s="5"/>
      <c r="E102" s="5"/>
      <c r="F102" s="5"/>
      <c r="G102" s="5"/>
      <c r="H102" s="5"/>
      <c r="I102" s="5"/>
      <c r="J102" s="5"/>
      <c r="K102" s="5"/>
      <c r="L102" s="6"/>
    </row>
    <row r="103" spans="1:12" ht="12.75">
      <c r="A103" s="4"/>
      <c r="B103" s="5" t="s">
        <v>1395</v>
      </c>
      <c r="C103" s="5"/>
      <c r="D103" s="5"/>
      <c r="E103" s="5"/>
      <c r="F103" s="5"/>
      <c r="G103" s="5"/>
      <c r="H103" s="5"/>
      <c r="I103" s="5"/>
      <c r="J103" s="5"/>
      <c r="K103" s="5"/>
      <c r="L103" s="6"/>
    </row>
    <row r="104" spans="1:12" ht="12.75">
      <c r="A104" s="4"/>
      <c r="B104" s="5"/>
      <c r="C104" s="5"/>
      <c r="D104" s="5"/>
      <c r="E104" s="5"/>
      <c r="F104" s="5"/>
      <c r="G104" s="5"/>
      <c r="H104" s="5"/>
      <c r="I104" s="5"/>
      <c r="J104" s="5"/>
      <c r="K104" s="5"/>
      <c r="L104" s="6"/>
    </row>
    <row r="105" spans="1:12" ht="12.75">
      <c r="A105" s="4"/>
      <c r="B105" s="5"/>
      <c r="C105" s="5"/>
      <c r="D105" s="5"/>
      <c r="E105" s="5"/>
      <c r="F105" s="5"/>
      <c r="G105" s="5"/>
      <c r="H105" s="5"/>
      <c r="I105" s="5"/>
      <c r="J105" s="5"/>
      <c r="K105" s="5"/>
      <c r="L105" s="6"/>
    </row>
    <row r="106" spans="1:12" ht="12.75">
      <c r="A106" s="4"/>
      <c r="B106" s="22" t="s">
        <v>1548</v>
      </c>
      <c r="C106" s="5"/>
      <c r="D106" s="5"/>
      <c r="E106" s="5"/>
      <c r="F106" s="5"/>
      <c r="G106" s="5"/>
      <c r="H106" s="5"/>
      <c r="I106" s="5"/>
      <c r="J106" s="5"/>
      <c r="K106" s="5"/>
      <c r="L106" s="6"/>
    </row>
    <row r="107" spans="1:12" ht="12.75">
      <c r="A107" s="4"/>
      <c r="B107" s="5"/>
      <c r="C107" s="5"/>
      <c r="D107" s="5"/>
      <c r="E107" s="5"/>
      <c r="F107" s="5"/>
      <c r="G107" s="5"/>
      <c r="H107" s="5"/>
      <c r="I107" s="5"/>
      <c r="J107" s="5"/>
      <c r="K107" s="5"/>
      <c r="L107" s="6"/>
    </row>
    <row r="108" spans="1:12" ht="12.75">
      <c r="A108" s="4"/>
      <c r="B108" s="5"/>
      <c r="C108" s="5" t="s">
        <v>1396</v>
      </c>
      <c r="D108" s="5"/>
      <c r="E108" s="5"/>
      <c r="F108" s="5"/>
      <c r="G108" s="5"/>
      <c r="H108" s="5"/>
      <c r="I108" s="5"/>
      <c r="J108" s="5"/>
      <c r="K108" s="5"/>
      <c r="L108" s="6"/>
    </row>
    <row r="109" spans="1:12" ht="12.75">
      <c r="A109" s="4"/>
      <c r="B109" s="5"/>
      <c r="C109" s="5"/>
      <c r="D109" s="5"/>
      <c r="E109" s="5"/>
      <c r="F109" s="5"/>
      <c r="G109" s="5"/>
      <c r="H109" s="5"/>
      <c r="I109" s="5"/>
      <c r="J109" s="5"/>
      <c r="K109" s="5"/>
      <c r="L109" s="6"/>
    </row>
    <row r="110" spans="1:12" ht="12.75">
      <c r="A110" s="4"/>
      <c r="B110" s="5"/>
      <c r="C110" s="5"/>
      <c r="D110" s="5"/>
      <c r="E110" s="5"/>
      <c r="F110" s="5"/>
      <c r="G110" s="22" t="s">
        <v>515</v>
      </c>
      <c r="H110" s="5"/>
      <c r="I110" s="5"/>
      <c r="J110" s="5"/>
      <c r="K110" s="5"/>
      <c r="L110" s="6"/>
    </row>
    <row r="111" spans="1:12" ht="12.75">
      <c r="A111" s="4"/>
      <c r="B111" s="5"/>
      <c r="C111" s="5"/>
      <c r="D111" s="5" t="str">
        <f>SPH_REC!B213</f>
        <v>Xpc =</v>
      </c>
      <c r="E111" s="266">
        <f>SPH_REC!C213</f>
        <v>-2686114.7361198566</v>
      </c>
      <c r="F111" s="5" t="s">
        <v>167</v>
      </c>
      <c r="G111" s="5" t="s">
        <v>595</v>
      </c>
      <c r="H111" s="68">
        <f>IF(E111="","",ASIN(E113/$J$50))</f>
        <v>0.668461103513828</v>
      </c>
      <c r="I111" s="5" t="s">
        <v>599</v>
      </c>
      <c r="J111" s="68">
        <f>IF(H111="","",DEGREES(H111))</f>
        <v>38.29999999999999</v>
      </c>
      <c r="K111" s="5" t="s">
        <v>1233</v>
      </c>
      <c r="L111" s="6"/>
    </row>
    <row r="112" spans="1:12" ht="12.75">
      <c r="A112" s="4"/>
      <c r="B112" s="5"/>
      <c r="C112" s="5"/>
      <c r="D112" s="5" t="str">
        <f>SPH_REC!B214</f>
        <v>Ypc =</v>
      </c>
      <c r="E112" s="266">
        <f>SPH_REC!C214</f>
        <v>-4216355.559770088</v>
      </c>
      <c r="F112" s="5" t="s">
        <v>167</v>
      </c>
      <c r="G112" s="5" t="s">
        <v>510</v>
      </c>
      <c r="H112" s="68">
        <f>IF(E111="","",ACOS(E111/($J$50*COS(H111))))</f>
        <v>2.138028333693054</v>
      </c>
      <c r="I112" s="5" t="s">
        <v>599</v>
      </c>
      <c r="J112" s="68">
        <f>IF(H112="","",DEGREES(H112))</f>
        <v>122.50000000000001</v>
      </c>
      <c r="K112" s="5" t="s">
        <v>1233</v>
      </c>
      <c r="L112" s="6"/>
    </row>
    <row r="113" spans="1:12" ht="12.75">
      <c r="A113" s="4"/>
      <c r="B113" s="5"/>
      <c r="C113" s="5"/>
      <c r="D113" s="5" t="str">
        <f>SPH_REC!B215</f>
        <v>Zpc =</v>
      </c>
      <c r="E113" s="266">
        <f>SPH_REC!C215</f>
        <v>3948198.6582225338</v>
      </c>
      <c r="F113" s="5" t="s">
        <v>167</v>
      </c>
      <c r="G113" s="5" t="s">
        <v>423</v>
      </c>
      <c r="H113" s="68">
        <f>IF(E111="","",ASIN(E112/($J$50*COS(H111))))</f>
        <v>-1.0035643198967388</v>
      </c>
      <c r="I113" s="5" t="s">
        <v>599</v>
      </c>
      <c r="J113" s="68">
        <f>IF(H113="","",DEGREES(H113))</f>
        <v>-57.49999999999996</v>
      </c>
      <c r="K113" s="5" t="s">
        <v>1233</v>
      </c>
      <c r="L113" s="6"/>
    </row>
    <row r="114" spans="1:12" ht="12.75">
      <c r="A114" s="4"/>
      <c r="B114" s="5"/>
      <c r="C114" s="5"/>
      <c r="D114" s="5"/>
      <c r="E114" s="5"/>
      <c r="F114" s="177"/>
      <c r="G114" s="52"/>
      <c r="H114" s="52"/>
      <c r="I114" s="52"/>
      <c r="J114" s="52"/>
      <c r="K114" s="52"/>
      <c r="L114" s="6"/>
    </row>
    <row r="115" spans="1:12" ht="15.75">
      <c r="A115" s="4"/>
      <c r="B115" s="5"/>
      <c r="C115" s="16" t="s">
        <v>424</v>
      </c>
      <c r="D115" s="5"/>
      <c r="E115" s="5"/>
      <c r="F115" s="5"/>
      <c r="G115" s="5"/>
      <c r="H115" s="5"/>
      <c r="I115" s="5"/>
      <c r="J115" s="52"/>
      <c r="K115" s="52"/>
      <c r="L115" s="6"/>
    </row>
    <row r="116" spans="1:12" ht="12.75">
      <c r="A116" s="4"/>
      <c r="B116" s="5"/>
      <c r="C116" s="5"/>
      <c r="D116" s="5"/>
      <c r="E116" s="5"/>
      <c r="F116" s="5"/>
      <c r="G116" s="22" t="s">
        <v>1549</v>
      </c>
      <c r="H116" s="5"/>
      <c r="I116" s="5"/>
      <c r="J116" s="52"/>
      <c r="K116" s="52"/>
      <c r="L116" s="6"/>
    </row>
    <row r="117" spans="1:12" ht="12.75">
      <c r="A117" s="4"/>
      <c r="B117" s="5"/>
      <c r="C117" s="5"/>
      <c r="D117" s="26" t="s">
        <v>195</v>
      </c>
      <c r="E117" s="68">
        <f>IF(H111="","",H111)</f>
        <v>0.668461103513828</v>
      </c>
      <c r="F117" s="5" t="s">
        <v>599</v>
      </c>
      <c r="G117" s="5"/>
      <c r="H117" s="217">
        <f>IF(H111="","No Earth Intersection",DEGREES(E117))</f>
        <v>38.29999999999999</v>
      </c>
      <c r="I117" s="216"/>
      <c r="J117" s="22" t="s">
        <v>1233</v>
      </c>
      <c r="K117" s="52"/>
      <c r="L117" s="6"/>
    </row>
    <row r="118" spans="1:12" ht="12.75">
      <c r="A118" s="4"/>
      <c r="B118" s="5"/>
      <c r="C118" s="5"/>
      <c r="D118" s="26" t="s">
        <v>96</v>
      </c>
      <c r="E118" s="68">
        <f>IF(H111="","",IF(SIGN(H113)=-1,-H112,H112))</f>
        <v>-2.138028333693054</v>
      </c>
      <c r="F118" s="5" t="s">
        <v>599</v>
      </c>
      <c r="G118" s="5"/>
      <c r="H118" s="217">
        <f>IF(H111="","No Earth Intersection",DEGREES(E118))</f>
        <v>-122.50000000000001</v>
      </c>
      <c r="I118" s="216"/>
      <c r="J118" s="22" t="s">
        <v>1233</v>
      </c>
      <c r="K118" s="52"/>
      <c r="L118" s="6"/>
    </row>
    <row r="119" spans="1:12" ht="12.75">
      <c r="A119" s="4"/>
      <c r="B119" s="5"/>
      <c r="C119" s="5"/>
      <c r="D119" s="5"/>
      <c r="E119" s="5"/>
      <c r="F119" s="5"/>
      <c r="G119" s="5"/>
      <c r="H119" s="5"/>
      <c r="I119" s="5"/>
      <c r="J119" s="5"/>
      <c r="K119" s="5"/>
      <c r="L119" s="6"/>
    </row>
    <row r="120" spans="1:12" ht="12.75">
      <c r="A120" s="4"/>
      <c r="B120" s="5"/>
      <c r="C120" s="5"/>
      <c r="D120" s="5"/>
      <c r="E120" s="5"/>
      <c r="F120" s="5"/>
      <c r="G120" s="5"/>
      <c r="H120" s="5"/>
      <c r="I120" s="5"/>
      <c r="J120" s="5"/>
      <c r="K120" s="5"/>
      <c r="L120" s="6"/>
    </row>
    <row r="121" spans="1:12" ht="12.75">
      <c r="A121" s="4"/>
      <c r="B121" s="5"/>
      <c r="C121" s="22" t="s">
        <v>43</v>
      </c>
      <c r="D121" s="5"/>
      <c r="E121" s="5"/>
      <c r="F121" s="5"/>
      <c r="G121" s="22"/>
      <c r="H121" s="217">
        <f>SPH_REC!E66</f>
        <v>38.3</v>
      </c>
      <c r="I121" s="216"/>
      <c r="J121" s="22" t="s">
        <v>1233</v>
      </c>
      <c r="K121" s="5"/>
      <c r="L121" s="6"/>
    </row>
    <row r="122" spans="1:12" ht="12.75">
      <c r="A122" s="4"/>
      <c r="B122" s="5"/>
      <c r="C122" s="5"/>
      <c r="D122" s="5"/>
      <c r="E122" s="5"/>
      <c r="F122" s="5"/>
      <c r="G122" s="5"/>
      <c r="H122" s="217">
        <f>SPH_REC!E67</f>
        <v>-122.5</v>
      </c>
      <c r="I122" s="216"/>
      <c r="J122" s="22" t="s">
        <v>1233</v>
      </c>
      <c r="K122" s="5"/>
      <c r="L122" s="6"/>
    </row>
    <row r="123" spans="1:12" ht="12.75">
      <c r="A123" s="4"/>
      <c r="B123" s="5"/>
      <c r="C123" s="5"/>
      <c r="D123" s="5"/>
      <c r="E123" s="5"/>
      <c r="F123" s="5"/>
      <c r="G123" s="5"/>
      <c r="H123" s="5"/>
      <c r="I123" s="5"/>
      <c r="J123" s="5"/>
      <c r="K123" s="5"/>
      <c r="L123" s="6"/>
    </row>
    <row r="124" spans="1:12" ht="12.75">
      <c r="A124" s="4"/>
      <c r="B124" s="5"/>
      <c r="C124" s="5"/>
      <c r="D124" s="5"/>
      <c r="E124" s="5"/>
      <c r="F124" s="5"/>
      <c r="G124" s="5"/>
      <c r="H124" s="5"/>
      <c r="I124" s="5"/>
      <c r="J124" s="5"/>
      <c r="K124" s="5"/>
      <c r="L124" s="6"/>
    </row>
    <row r="125" spans="1:12" ht="13.5" thickBot="1">
      <c r="A125" s="4"/>
      <c r="B125" s="5"/>
      <c r="C125" s="22" t="s">
        <v>795</v>
      </c>
      <c r="D125" s="5"/>
      <c r="E125" s="289">
        <f>H117-H121</f>
        <v>0</v>
      </c>
      <c r="F125" s="216"/>
      <c r="G125" s="22" t="s">
        <v>1233</v>
      </c>
      <c r="H125" s="5"/>
      <c r="I125" s="88" t="s">
        <v>1196</v>
      </c>
      <c r="J125" s="115"/>
      <c r="K125" s="115"/>
      <c r="L125" s="192"/>
    </row>
    <row r="126" spans="1:12" ht="13.5" thickBot="1">
      <c r="A126" s="4"/>
      <c r="B126" s="5"/>
      <c r="C126" s="5"/>
      <c r="D126" s="5"/>
      <c r="E126" s="289">
        <f>H118-H122</f>
        <v>0</v>
      </c>
      <c r="F126" s="216"/>
      <c r="G126" s="22" t="s">
        <v>1233</v>
      </c>
      <c r="H126" s="5"/>
      <c r="I126" s="283" t="str">
        <f>IF((TRUNC((SUM(E125:E126)*1000000)))/1000000=0,"None","Rec to Spher Conversion does not Yield same Coordiantes")</f>
        <v>None</v>
      </c>
      <c r="J126" s="116"/>
      <c r="K126" s="116"/>
      <c r="L126" s="87"/>
    </row>
    <row r="127" spans="1:12" ht="12.75">
      <c r="A127" s="4"/>
      <c r="B127" s="5"/>
      <c r="C127" s="5"/>
      <c r="D127" s="5"/>
      <c r="E127" s="5"/>
      <c r="F127" s="5"/>
      <c r="G127" s="5"/>
      <c r="H127" s="5"/>
      <c r="I127" s="5"/>
      <c r="J127" s="5"/>
      <c r="K127" s="5"/>
      <c r="L127" s="6"/>
    </row>
    <row r="128" spans="1:12" ht="12.75">
      <c r="A128" s="4"/>
      <c r="B128" s="5"/>
      <c r="C128" s="5"/>
      <c r="D128" s="5"/>
      <c r="E128" s="5"/>
      <c r="F128" s="5"/>
      <c r="G128" s="5"/>
      <c r="H128" s="5"/>
      <c r="I128" s="5"/>
      <c r="J128" s="5"/>
      <c r="K128" s="5"/>
      <c r="L128" s="6"/>
    </row>
    <row r="129" spans="1:12" ht="12.75">
      <c r="A129" s="4"/>
      <c r="B129" s="5"/>
      <c r="C129" s="5"/>
      <c r="D129" s="5"/>
      <c r="E129" s="5"/>
      <c r="F129" s="5"/>
      <c r="G129" s="5"/>
      <c r="H129" s="5"/>
      <c r="I129" s="5"/>
      <c r="J129" s="5"/>
      <c r="K129" s="5"/>
      <c r="L129" s="6"/>
    </row>
    <row r="130" spans="1:12" ht="12.75">
      <c r="A130" s="4"/>
      <c r="B130" s="22" t="s">
        <v>1550</v>
      </c>
      <c r="C130" s="5"/>
      <c r="D130" s="5"/>
      <c r="E130" s="5"/>
      <c r="F130" s="5"/>
      <c r="G130" s="5"/>
      <c r="H130" s="5"/>
      <c r="I130" s="5"/>
      <c r="J130" s="5"/>
      <c r="K130" s="5"/>
      <c r="L130" s="6"/>
    </row>
    <row r="131" spans="1:12" ht="12.75">
      <c r="A131" s="4"/>
      <c r="B131" s="5"/>
      <c r="C131" s="5"/>
      <c r="D131" s="5"/>
      <c r="E131" s="5"/>
      <c r="F131" s="5"/>
      <c r="G131" s="5"/>
      <c r="H131" s="5"/>
      <c r="I131" s="5"/>
      <c r="J131" s="5"/>
      <c r="K131" s="5"/>
      <c r="L131" s="6"/>
    </row>
    <row r="132" spans="1:12" ht="12.75">
      <c r="A132" s="4"/>
      <c r="B132" s="5"/>
      <c r="C132" s="5" t="s">
        <v>1318</v>
      </c>
      <c r="D132" s="5"/>
      <c r="E132" s="5"/>
      <c r="F132" s="5"/>
      <c r="G132" s="5"/>
      <c r="H132" s="5"/>
      <c r="I132" s="5"/>
      <c r="J132" s="5"/>
      <c r="K132" s="5"/>
      <c r="L132" s="6"/>
    </row>
    <row r="133" spans="1:12" ht="12.75">
      <c r="A133" s="4"/>
      <c r="B133" s="5"/>
      <c r="C133" s="5"/>
      <c r="D133" s="5"/>
      <c r="E133" s="5"/>
      <c r="F133" s="5"/>
      <c r="G133" s="5"/>
      <c r="H133" s="5"/>
      <c r="I133" s="5"/>
      <c r="J133" s="5"/>
      <c r="K133" s="5"/>
      <c r="L133" s="6"/>
    </row>
    <row r="134" spans="1:12" ht="12.75">
      <c r="A134" s="4"/>
      <c r="B134" s="5"/>
      <c r="C134" s="5"/>
      <c r="D134" s="5"/>
      <c r="E134" s="5"/>
      <c r="F134" s="5"/>
      <c r="G134" s="22" t="s">
        <v>515</v>
      </c>
      <c r="H134" s="5"/>
      <c r="I134" s="5"/>
      <c r="J134" s="5"/>
      <c r="K134" s="5"/>
      <c r="L134" s="6"/>
    </row>
    <row r="135" spans="1:12" ht="12.75">
      <c r="A135" s="4"/>
      <c r="B135" s="5"/>
      <c r="C135" s="5"/>
      <c r="D135" s="5" t="str">
        <f>SPH_REC!B206</f>
        <v>Xsn =</v>
      </c>
      <c r="E135" s="266">
        <f>SPH_REC!C206</f>
        <v>-2634366.503415983</v>
      </c>
      <c r="F135" s="5" t="s">
        <v>167</v>
      </c>
      <c r="G135" s="5" t="s">
        <v>595</v>
      </c>
      <c r="H135" s="68">
        <f>IF(E135="","",ASIN(E137/$J$50))</f>
        <v>0.6824237375297828</v>
      </c>
      <c r="I135" s="5" t="s">
        <v>599</v>
      </c>
      <c r="J135" s="68">
        <f>IF(H135="","",DEGREES(H135))</f>
        <v>39.099999999999994</v>
      </c>
      <c r="K135" s="5" t="s">
        <v>1233</v>
      </c>
      <c r="L135" s="6"/>
    </row>
    <row r="136" spans="1:12" ht="12.75">
      <c r="A136" s="4"/>
      <c r="B136" s="5"/>
      <c r="C136" s="5"/>
      <c r="D136" s="5" t="str">
        <f>SPH_REC!B207</f>
        <v>Ysn =</v>
      </c>
      <c r="E136" s="266">
        <f>SPH_REC!C207</f>
        <v>-4183303.014919896</v>
      </c>
      <c r="F136" s="5" t="s">
        <v>167</v>
      </c>
      <c r="G136" s="5" t="s">
        <v>510</v>
      </c>
      <c r="H136" s="68">
        <f>IF(E135="","",ACOS(E135/($J$50*COS(H135))))</f>
        <v>2.1327923459370703</v>
      </c>
      <c r="I136" s="5" t="s">
        <v>599</v>
      </c>
      <c r="J136" s="68">
        <f>IF(H136="","",DEGREES(H136))</f>
        <v>122.19999999999997</v>
      </c>
      <c r="K136" s="5" t="s">
        <v>1233</v>
      </c>
      <c r="L136" s="6"/>
    </row>
    <row r="137" spans="1:12" ht="12.75">
      <c r="A137" s="4"/>
      <c r="B137" s="5"/>
      <c r="C137" s="5"/>
      <c r="D137" s="5" t="str">
        <f>SPH_REC!B208</f>
        <v>Zsn =</v>
      </c>
      <c r="E137" s="266">
        <f>SPH_REC!C208</f>
        <v>4017614.744825162</v>
      </c>
      <c r="F137" s="5" t="s">
        <v>167</v>
      </c>
      <c r="G137" s="5" t="s">
        <v>423</v>
      </c>
      <c r="H137" s="68">
        <f>IF(E135="","",ASIN(E136/($J$50*COS(H135))))</f>
        <v>-1.0088003076527223</v>
      </c>
      <c r="I137" s="5" t="s">
        <v>599</v>
      </c>
      <c r="J137" s="68">
        <f>IF(H137="","",DEGREES(H137))</f>
        <v>-57.79999999999999</v>
      </c>
      <c r="K137" s="5" t="s">
        <v>1233</v>
      </c>
      <c r="L137" s="6"/>
    </row>
    <row r="138" spans="1:12" ht="12.75">
      <c r="A138" s="4"/>
      <c r="B138" s="5"/>
      <c r="C138" s="5"/>
      <c r="D138" s="5"/>
      <c r="E138" s="5"/>
      <c r="F138" s="177"/>
      <c r="G138" s="52"/>
      <c r="H138" s="52"/>
      <c r="I138" s="52"/>
      <c r="J138" s="52"/>
      <c r="K138" s="52"/>
      <c r="L138" s="6"/>
    </row>
    <row r="139" spans="1:12" ht="15.75">
      <c r="A139" s="4"/>
      <c r="B139" s="5"/>
      <c r="C139" s="16" t="s">
        <v>424</v>
      </c>
      <c r="D139" s="5"/>
      <c r="E139" s="5"/>
      <c r="F139" s="5"/>
      <c r="G139" s="5"/>
      <c r="H139" s="5"/>
      <c r="I139" s="5"/>
      <c r="J139" s="52"/>
      <c r="K139" s="52"/>
      <c r="L139" s="6"/>
    </row>
    <row r="140" spans="1:12" ht="12.75">
      <c r="A140" s="4"/>
      <c r="B140" s="5"/>
      <c r="C140" s="5"/>
      <c r="D140" s="5"/>
      <c r="E140" s="5"/>
      <c r="F140" s="5"/>
      <c r="G140" s="22" t="s">
        <v>1551</v>
      </c>
      <c r="H140" s="5"/>
      <c r="I140" s="5"/>
      <c r="J140" s="52"/>
      <c r="K140" s="52"/>
      <c r="L140" s="6"/>
    </row>
    <row r="141" spans="1:12" ht="12.75">
      <c r="A141" s="4"/>
      <c r="B141" s="5"/>
      <c r="C141" s="5"/>
      <c r="D141" s="26" t="s">
        <v>195</v>
      </c>
      <c r="E141" s="68">
        <f>IF(H135="","",H135)</f>
        <v>0.6824237375297828</v>
      </c>
      <c r="F141" s="5" t="s">
        <v>599</v>
      </c>
      <c r="G141" s="5"/>
      <c r="H141" s="217">
        <f>IF(H135="","No Earth Intersection",DEGREES(E141))</f>
        <v>39.099999999999994</v>
      </c>
      <c r="I141" s="216"/>
      <c r="J141" s="22" t="s">
        <v>1233</v>
      </c>
      <c r="K141" s="52"/>
      <c r="L141" s="6"/>
    </row>
    <row r="142" spans="1:12" ht="12.75">
      <c r="A142" s="4"/>
      <c r="B142" s="5"/>
      <c r="C142" s="5"/>
      <c r="D142" s="26" t="s">
        <v>96</v>
      </c>
      <c r="E142" s="68">
        <f>IF(H135="","",IF(SIGN(H137)=-1,-H136,H136))</f>
        <v>-2.1327923459370703</v>
      </c>
      <c r="F142" s="5" t="s">
        <v>599</v>
      </c>
      <c r="G142" s="5"/>
      <c r="H142" s="217">
        <f>IF(H135="","No Earth Intersection",DEGREES(E142))</f>
        <v>-122.19999999999997</v>
      </c>
      <c r="I142" s="216"/>
      <c r="J142" s="22" t="s">
        <v>1233</v>
      </c>
      <c r="K142" s="52"/>
      <c r="L142" s="6"/>
    </row>
    <row r="143" spans="1:12" ht="12.75">
      <c r="A143" s="4"/>
      <c r="B143" s="5"/>
      <c r="C143" s="5"/>
      <c r="D143" s="5"/>
      <c r="E143" s="5"/>
      <c r="F143" s="5"/>
      <c r="G143" s="5"/>
      <c r="H143" s="5"/>
      <c r="I143" s="5"/>
      <c r="J143" s="5"/>
      <c r="K143" s="5"/>
      <c r="L143" s="6"/>
    </row>
    <row r="144" spans="1:12" ht="12.75">
      <c r="A144" s="4"/>
      <c r="B144" s="5"/>
      <c r="C144" s="5"/>
      <c r="D144" s="5"/>
      <c r="E144" s="5"/>
      <c r="F144" s="5"/>
      <c r="G144" s="5"/>
      <c r="H144" s="5"/>
      <c r="I144" s="5"/>
      <c r="J144" s="5"/>
      <c r="K144" s="5"/>
      <c r="L144" s="6"/>
    </row>
    <row r="145" spans="1:12" ht="12.75">
      <c r="A145" s="4"/>
      <c r="B145" s="5"/>
      <c r="C145" s="22" t="s">
        <v>1319</v>
      </c>
      <c r="D145" s="5"/>
      <c r="E145" s="5"/>
      <c r="F145" s="5"/>
      <c r="G145" s="22"/>
      <c r="H145" s="290">
        <f>SPH_REC!E62</f>
        <v>39.1</v>
      </c>
      <c r="I145" s="291"/>
      <c r="J145" s="22" t="s">
        <v>1233</v>
      </c>
      <c r="K145" s="5"/>
      <c r="L145" s="6"/>
    </row>
    <row r="146" spans="1:12" ht="12.75">
      <c r="A146" s="4"/>
      <c r="B146" s="5"/>
      <c r="C146" s="5"/>
      <c r="D146" s="5"/>
      <c r="E146" s="5"/>
      <c r="F146" s="5"/>
      <c r="G146" s="5"/>
      <c r="H146" s="292">
        <f>SPH_REC!E63</f>
        <v>-122.2</v>
      </c>
      <c r="I146" s="121"/>
      <c r="J146" s="22" t="s">
        <v>1233</v>
      </c>
      <c r="K146" s="5"/>
      <c r="L146" s="6"/>
    </row>
    <row r="147" spans="1:12" ht="12.75">
      <c r="A147" s="4"/>
      <c r="B147" s="5"/>
      <c r="C147" s="5"/>
      <c r="D147" s="5"/>
      <c r="E147" s="5"/>
      <c r="F147" s="5"/>
      <c r="G147" s="5"/>
      <c r="H147" s="5"/>
      <c r="I147" s="5"/>
      <c r="J147" s="5"/>
      <c r="K147" s="5"/>
      <c r="L147" s="6"/>
    </row>
    <row r="148" spans="1:12" ht="12.75">
      <c r="A148" s="4"/>
      <c r="B148" s="5"/>
      <c r="C148" s="5"/>
      <c r="D148" s="5"/>
      <c r="E148" s="5"/>
      <c r="F148" s="5"/>
      <c r="G148" s="5"/>
      <c r="H148" s="5"/>
      <c r="I148" s="5"/>
      <c r="J148" s="5"/>
      <c r="K148" s="5"/>
      <c r="L148" s="6"/>
    </row>
    <row r="149" spans="1:12" ht="13.5" thickBot="1">
      <c r="A149" s="4"/>
      <c r="B149" s="5"/>
      <c r="C149" s="22" t="s">
        <v>795</v>
      </c>
      <c r="D149" s="5"/>
      <c r="E149" s="289">
        <f>H141-H145</f>
        <v>0</v>
      </c>
      <c r="F149" s="216"/>
      <c r="G149" s="22" t="s">
        <v>1233</v>
      </c>
      <c r="H149" s="5"/>
      <c r="I149" s="88" t="s">
        <v>1779</v>
      </c>
      <c r="J149" s="115"/>
      <c r="K149" s="115"/>
      <c r="L149" s="192"/>
    </row>
    <row r="150" spans="1:12" ht="13.5" thickBot="1">
      <c r="A150" s="4"/>
      <c r="B150" s="5"/>
      <c r="C150" s="5"/>
      <c r="D150" s="5"/>
      <c r="E150" s="289">
        <f>H142-H146</f>
        <v>0</v>
      </c>
      <c r="F150" s="216"/>
      <c r="G150" s="22" t="s">
        <v>1233</v>
      </c>
      <c r="H150" s="5"/>
      <c r="I150" s="283" t="str">
        <f>IF((TRUNC((SUM(E149:E150)*1000000)))/1000000=0,"None","Rec to Spher Conversion does not Yield same Coordiantes")</f>
        <v>None</v>
      </c>
      <c r="J150" s="116"/>
      <c r="K150" s="116"/>
      <c r="L150" s="87"/>
    </row>
    <row r="151" spans="1:12" ht="12.75">
      <c r="A151" s="4"/>
      <c r="B151" s="5"/>
      <c r="C151" s="5"/>
      <c r="D151" s="5"/>
      <c r="E151" s="5"/>
      <c r="F151" s="5"/>
      <c r="G151" s="5"/>
      <c r="H151" s="5"/>
      <c r="I151" s="5"/>
      <c r="J151" s="5"/>
      <c r="K151" s="5"/>
      <c r="L151" s="6"/>
    </row>
    <row r="152" spans="1:12" ht="13.5" thickBot="1">
      <c r="A152" s="7"/>
      <c r="B152" s="8"/>
      <c r="C152" s="8"/>
      <c r="D152" s="8"/>
      <c r="E152" s="8"/>
      <c r="F152" s="8"/>
      <c r="G152" s="8"/>
      <c r="H152" s="8"/>
      <c r="I152" s="8"/>
      <c r="J152" s="8"/>
      <c r="K152" s="8"/>
      <c r="L152" s="9"/>
    </row>
    <row r="153" spans="1:12" ht="12.75">
      <c r="A153" s="5"/>
      <c r="B153" s="5"/>
      <c r="C153" s="5"/>
      <c r="D153" s="5"/>
      <c r="E153" s="5"/>
      <c r="F153" s="5"/>
      <c r="G153" s="5"/>
      <c r="H153" s="5"/>
      <c r="I153" s="5"/>
      <c r="J153" s="5"/>
      <c r="K153" s="5"/>
      <c r="L153" s="5"/>
    </row>
    <row r="154" ht="13.5" thickBot="1"/>
    <row r="155" spans="1:12" ht="12.75">
      <c r="A155" s="1"/>
      <c r="B155" s="2"/>
      <c r="C155" s="2"/>
      <c r="D155" s="2"/>
      <c r="E155" s="2"/>
      <c r="F155" s="2"/>
      <c r="G155" s="2"/>
      <c r="H155" s="2"/>
      <c r="I155" s="2"/>
      <c r="J155" s="2"/>
      <c r="K155" s="2"/>
      <c r="L155" s="3"/>
    </row>
    <row r="156" spans="1:12" ht="12.75">
      <c r="A156" s="10" t="s">
        <v>1425</v>
      </c>
      <c r="B156" s="5"/>
      <c r="C156" s="5"/>
      <c r="D156" s="5"/>
      <c r="E156" s="5"/>
      <c r="F156" s="5"/>
      <c r="G156" s="5"/>
      <c r="H156" s="5"/>
      <c r="I156" s="5"/>
      <c r="J156" s="5"/>
      <c r="K156" s="5"/>
      <c r="L156" s="6"/>
    </row>
    <row r="157" spans="1:12" ht="12.75">
      <c r="A157" s="4"/>
      <c r="B157" s="5"/>
      <c r="C157" s="5"/>
      <c r="D157" s="5"/>
      <c r="E157" s="5"/>
      <c r="F157" s="5"/>
      <c r="G157" s="5"/>
      <c r="H157" s="5"/>
      <c r="I157" s="5"/>
      <c r="J157" s="5"/>
      <c r="K157" s="5"/>
      <c r="L157" s="6"/>
    </row>
    <row r="158" spans="1:12" ht="12.75">
      <c r="A158" s="4"/>
      <c r="B158" s="5" t="s">
        <v>266</v>
      </c>
      <c r="C158" s="5"/>
      <c r="D158" s="5"/>
      <c r="E158" s="5"/>
      <c r="F158" s="5"/>
      <c r="G158" s="5"/>
      <c r="H158" s="5"/>
      <c r="I158" s="5"/>
      <c r="J158" s="5"/>
      <c r="L158" s="6"/>
    </row>
    <row r="159" spans="1:12" ht="12.75">
      <c r="A159" s="4"/>
      <c r="B159" s="5"/>
      <c r="C159" s="5"/>
      <c r="D159" s="5"/>
      <c r="E159" s="5"/>
      <c r="F159" s="22" t="s">
        <v>515</v>
      </c>
      <c r="G159" s="5"/>
      <c r="H159" s="5"/>
      <c r="I159" s="5"/>
      <c r="J159" s="5"/>
      <c r="L159" s="6"/>
    </row>
    <row r="160" spans="1:12" ht="12.75">
      <c r="A160" s="4"/>
      <c r="B160" s="5"/>
      <c r="C160" s="5" t="str">
        <f>ReTrans_Origin!C151</f>
        <v>X_gi_p1 = </v>
      </c>
      <c r="D160" s="95">
        <f>ReTrans_Origin!D151</f>
        <v>-2779088.915450434</v>
      </c>
      <c r="E160" s="5" t="s">
        <v>167</v>
      </c>
      <c r="F160" s="5" t="s">
        <v>595</v>
      </c>
      <c r="G160" s="68">
        <f>IF(D160="","",ASIN(D162/$J$50))</f>
        <v>0.6551319458868635</v>
      </c>
      <c r="H160" t="s">
        <v>599</v>
      </c>
      <c r="I160" s="68">
        <f>IF(G160="","",DEGREES(G160))</f>
        <v>37.53629552351031</v>
      </c>
      <c r="J160" s="5" t="s">
        <v>1233</v>
      </c>
      <c r="L160" s="6"/>
    </row>
    <row r="161" spans="1:12" ht="12.75">
      <c r="A161" s="4"/>
      <c r="B161" s="5"/>
      <c r="C161" s="5" t="str">
        <f>ReTrans_Origin!C152</f>
        <v>Y_gi_p1 = </v>
      </c>
      <c r="D161" s="95">
        <f>ReTrans_Origin!D152</f>
        <v>-4218291.693918821</v>
      </c>
      <c r="E161" s="5" t="s">
        <v>167</v>
      </c>
      <c r="F161" s="5" t="s">
        <v>510</v>
      </c>
      <c r="G161" s="389">
        <f>IF(D160/($J$50*COS(G160))&gt;=1,0,ACOS(D160/($J$50*COS(G160))))</f>
        <v>2.153345936955649</v>
      </c>
      <c r="H161" t="s">
        <v>599</v>
      </c>
      <c r="I161" s="68">
        <f>IF(G161="","",DEGREES(G161))</f>
        <v>123.37763401920253</v>
      </c>
      <c r="J161" s="5" t="s">
        <v>1233</v>
      </c>
      <c r="L161" s="6"/>
    </row>
    <row r="162" spans="1:12" ht="12.75">
      <c r="A162" s="4"/>
      <c r="B162" s="5"/>
      <c r="C162" s="5" t="str">
        <f>ReTrans_Origin!C153</f>
        <v>Z_gi_p1 = </v>
      </c>
      <c r="D162" s="95">
        <f>ReTrans_Origin!D153</f>
        <v>3881213.6261523277</v>
      </c>
      <c r="E162" s="5" t="s">
        <v>167</v>
      </c>
      <c r="F162" s="5" t="s">
        <v>423</v>
      </c>
      <c r="G162" s="68">
        <f>IF(D160="","",ASIN(D161/($J$50*COS(G160))))</f>
        <v>-0.9882467166341399</v>
      </c>
      <c r="H162" t="s">
        <v>599</v>
      </c>
      <c r="I162" s="68">
        <f>IF(G162="","",DEGREES(G162))</f>
        <v>-56.62236598079722</v>
      </c>
      <c r="J162" s="5" t="s">
        <v>1233</v>
      </c>
      <c r="L162" s="6"/>
    </row>
    <row r="163" spans="1:12" ht="12.75">
      <c r="A163" s="4"/>
      <c r="B163" s="5"/>
      <c r="C163" s="5"/>
      <c r="D163" s="5"/>
      <c r="E163" s="177"/>
      <c r="F163" s="52"/>
      <c r="G163" s="52"/>
      <c r="H163" s="52"/>
      <c r="I163" s="202"/>
      <c r="J163" s="52"/>
      <c r="K163" s="5"/>
      <c r="L163" s="6"/>
    </row>
    <row r="164" spans="1:12" ht="15.75">
      <c r="A164" s="4"/>
      <c r="B164" s="16" t="s">
        <v>424</v>
      </c>
      <c r="C164" s="5"/>
      <c r="D164" s="5"/>
      <c r="E164" s="5"/>
      <c r="F164" s="5"/>
      <c r="G164" s="5"/>
      <c r="H164" s="5"/>
      <c r="I164" s="202"/>
      <c r="J164" s="52"/>
      <c r="K164" s="5"/>
      <c r="L164" s="6"/>
    </row>
    <row r="165" spans="1:12" ht="12.75">
      <c r="A165" s="4"/>
      <c r="B165" s="5"/>
      <c r="C165" s="5"/>
      <c r="D165" s="5"/>
      <c r="E165" s="5"/>
      <c r="F165" s="22" t="s">
        <v>518</v>
      </c>
      <c r="G165" s="5"/>
      <c r="H165" s="5"/>
      <c r="I165" s="202"/>
      <c r="J165" s="52"/>
      <c r="K165" s="5"/>
      <c r="L165" s="6"/>
    </row>
    <row r="166" spans="1:12" ht="12.75">
      <c r="A166" s="4"/>
      <c r="B166" s="5"/>
      <c r="C166" s="26" t="s">
        <v>195</v>
      </c>
      <c r="D166" s="68">
        <f>IF(G160="","",G160)</f>
        <v>0.6551319458868635</v>
      </c>
      <c r="E166" t="s">
        <v>599</v>
      </c>
      <c r="F166" s="5"/>
      <c r="G166" s="217">
        <f>IF(G160="","No Earth Intersection",DEGREES(D166))</f>
        <v>37.53629552351031</v>
      </c>
      <c r="H166" s="216"/>
      <c r="I166" s="22" t="s">
        <v>1233</v>
      </c>
      <c r="J166" s="52"/>
      <c r="K166" s="5"/>
      <c r="L166" s="6"/>
    </row>
    <row r="167" spans="1:12" ht="12.75">
      <c r="A167" s="4"/>
      <c r="B167" s="5"/>
      <c r="C167" s="26" t="s">
        <v>96</v>
      </c>
      <c r="D167" s="68">
        <f>IF(G160="","",IF(SIGN(G162)=-1,-G161,G161))</f>
        <v>-2.153345936955649</v>
      </c>
      <c r="E167" t="s">
        <v>599</v>
      </c>
      <c r="F167" s="5"/>
      <c r="G167" s="217">
        <f>IF(G160="","No Earth Intersection",DEGREES(D167))</f>
        <v>-123.37763401920253</v>
      </c>
      <c r="H167" s="216"/>
      <c r="I167" s="22" t="s">
        <v>1233</v>
      </c>
      <c r="J167" s="52"/>
      <c r="K167" s="5"/>
      <c r="L167" s="6"/>
    </row>
    <row r="168" spans="1:12" ht="12.75">
      <c r="A168" s="4"/>
      <c r="B168" s="5"/>
      <c r="C168" s="5"/>
      <c r="D168" s="5"/>
      <c r="E168" s="177"/>
      <c r="F168" s="52"/>
      <c r="G168" s="52"/>
      <c r="H168" s="52"/>
      <c r="I168" s="202"/>
      <c r="J168" s="52"/>
      <c r="K168" s="5"/>
      <c r="L168" s="6"/>
    </row>
    <row r="169" spans="1:12" ht="13.5" thickBot="1">
      <c r="A169" s="7"/>
      <c r="B169" s="8"/>
      <c r="C169" s="8"/>
      <c r="D169" s="8"/>
      <c r="E169" s="8"/>
      <c r="F169" s="8"/>
      <c r="G169" s="198"/>
      <c r="H169" s="8"/>
      <c r="I169" s="8"/>
      <c r="J169" s="8"/>
      <c r="K169" s="8"/>
      <c r="L169" s="9"/>
    </row>
    <row r="170" ht="13.5" thickBot="1"/>
    <row r="171" spans="1:12" ht="12.75">
      <c r="A171" s="1"/>
      <c r="B171" s="2"/>
      <c r="C171" s="2"/>
      <c r="D171" s="2"/>
      <c r="E171" s="2"/>
      <c r="F171" s="2"/>
      <c r="G171" s="2"/>
      <c r="H171" s="2"/>
      <c r="I171" s="2"/>
      <c r="J171" s="2"/>
      <c r="K171" s="2"/>
      <c r="L171" s="3"/>
    </row>
    <row r="172" spans="1:12" ht="12.75">
      <c r="A172" s="10" t="s">
        <v>619</v>
      </c>
      <c r="B172" s="5"/>
      <c r="C172" s="5"/>
      <c r="D172" s="5"/>
      <c r="E172" s="5"/>
      <c r="F172" s="5"/>
      <c r="G172" s="5"/>
      <c r="H172" s="5"/>
      <c r="I172" s="5"/>
      <c r="J172" s="5"/>
      <c r="K172" s="5"/>
      <c r="L172" s="6"/>
    </row>
    <row r="173" spans="1:12" ht="12.75">
      <c r="A173" s="4"/>
      <c r="B173" s="5"/>
      <c r="C173" s="5"/>
      <c r="D173" s="5"/>
      <c r="E173" s="5"/>
      <c r="F173" s="5"/>
      <c r="G173" s="5"/>
      <c r="H173" s="5"/>
      <c r="I173" s="5"/>
      <c r="J173" s="5"/>
      <c r="K173" s="5"/>
      <c r="L173" s="6"/>
    </row>
    <row r="174" spans="1:12" ht="12.75">
      <c r="A174" s="4"/>
      <c r="B174" s="5" t="s">
        <v>266</v>
      </c>
      <c r="C174" s="5"/>
      <c r="D174" s="5"/>
      <c r="E174" s="5"/>
      <c r="F174" s="5"/>
      <c r="G174" s="5"/>
      <c r="H174" s="5"/>
      <c r="I174" s="5"/>
      <c r="J174" s="5"/>
      <c r="L174" s="6"/>
    </row>
    <row r="175" spans="1:12" ht="12.75">
      <c r="A175" s="4"/>
      <c r="B175" s="5"/>
      <c r="C175" s="5"/>
      <c r="D175" s="5"/>
      <c r="E175" s="5"/>
      <c r="F175" s="22" t="s">
        <v>515</v>
      </c>
      <c r="G175" s="5"/>
      <c r="H175" s="5"/>
      <c r="I175" s="5"/>
      <c r="J175" s="5"/>
      <c r="L175" s="6"/>
    </row>
    <row r="176" spans="1:12" ht="12.75">
      <c r="A176" s="4"/>
      <c r="B176" s="5"/>
      <c r="C176" s="5" t="str">
        <f>ReTrans_Origin!C167</f>
        <v>X_gi_p2 = </v>
      </c>
      <c r="D176" s="95">
        <f>ReTrans_Origin!D167</f>
        <v>-2753769.0966396467</v>
      </c>
      <c r="E176" s="5" t="s">
        <v>167</v>
      </c>
      <c r="F176" s="5" t="s">
        <v>595</v>
      </c>
      <c r="G176" s="68">
        <f>IF(D176="","",ASIN(D178/$J$50))</f>
        <v>0.6670860012742804</v>
      </c>
      <c r="H176" t="s">
        <v>599</v>
      </c>
      <c r="I176" s="68">
        <f>IF(G176="","",DEGREES(G176))</f>
        <v>38.22121244527492</v>
      </c>
      <c r="J176" s="5" t="s">
        <v>1233</v>
      </c>
      <c r="L176" s="6"/>
    </row>
    <row r="177" spans="1:12" ht="12.75">
      <c r="A177" s="4"/>
      <c r="B177" s="5"/>
      <c r="C177" s="5" t="str">
        <f>ReTrans_Origin!C168</f>
        <v>Y_gi_p2 = </v>
      </c>
      <c r="D177" s="95">
        <f>ReTrans_Origin!D168</f>
        <v>-4178981.755723958</v>
      </c>
      <c r="E177" s="5" t="s">
        <v>167</v>
      </c>
      <c r="F177" s="5" t="s">
        <v>510</v>
      </c>
      <c r="G177" s="389">
        <f>IF(D176/($J$50*COS(G176))&gt;=1,0,ACOS(D176/($J$50*COS(G176))))</f>
        <v>2.1534424291538574</v>
      </c>
      <c r="H177" t="s">
        <v>599</v>
      </c>
      <c r="I177" s="68">
        <f>IF(G177="","",DEGREES(G177))</f>
        <v>123.38316261491582</v>
      </c>
      <c r="J177" s="5" t="s">
        <v>1233</v>
      </c>
      <c r="L177" s="6"/>
    </row>
    <row r="178" spans="1:12" ht="12.75">
      <c r="A178" s="4"/>
      <c r="B178" s="5"/>
      <c r="C178" s="5" t="str">
        <f>ReTrans_Origin!C169</f>
        <v>Z_gi_p2 = </v>
      </c>
      <c r="D178" s="95">
        <f>ReTrans_Origin!D169</f>
        <v>3941320.3973431876</v>
      </c>
      <c r="E178" s="5" t="s">
        <v>167</v>
      </c>
      <c r="F178" s="5" t="s">
        <v>423</v>
      </c>
      <c r="G178" s="68">
        <f>IF(D176="","",ASIN(D177/($J$50*COS(G176))))</f>
        <v>-0.9881502244359399</v>
      </c>
      <c r="H178" t="s">
        <v>599</v>
      </c>
      <c r="I178" s="68">
        <f>IF(G178="","",DEGREES(G178))</f>
        <v>-56.61683738508442</v>
      </c>
      <c r="J178" s="5" t="s">
        <v>1233</v>
      </c>
      <c r="L178" s="6"/>
    </row>
    <row r="179" spans="1:12" ht="12.75">
      <c r="A179" s="4"/>
      <c r="B179" s="5"/>
      <c r="C179" s="5"/>
      <c r="D179" s="5"/>
      <c r="E179" s="177"/>
      <c r="F179" s="52"/>
      <c r="G179" s="52"/>
      <c r="H179" s="52"/>
      <c r="I179" s="202"/>
      <c r="J179" s="52"/>
      <c r="K179" s="5"/>
      <c r="L179" s="6"/>
    </row>
    <row r="180" spans="1:12" ht="15.75">
      <c r="A180" s="4"/>
      <c r="B180" s="16" t="s">
        <v>424</v>
      </c>
      <c r="C180" s="5"/>
      <c r="D180" s="5"/>
      <c r="E180" s="5"/>
      <c r="F180" s="5"/>
      <c r="G180" s="5"/>
      <c r="H180" s="5"/>
      <c r="I180" s="202"/>
      <c r="J180" s="52"/>
      <c r="K180" s="5"/>
      <c r="L180" s="6"/>
    </row>
    <row r="181" spans="1:12" ht="12.75">
      <c r="A181" s="4"/>
      <c r="B181" s="5"/>
      <c r="C181" s="5"/>
      <c r="D181" s="5"/>
      <c r="E181" s="5"/>
      <c r="F181" s="22" t="s">
        <v>620</v>
      </c>
      <c r="G181" s="5"/>
      <c r="H181" s="5"/>
      <c r="I181" s="202"/>
      <c r="J181" s="52"/>
      <c r="K181" s="5"/>
      <c r="L181" s="6"/>
    </row>
    <row r="182" spans="1:12" ht="12.75">
      <c r="A182" s="4"/>
      <c r="B182" s="5"/>
      <c r="C182" s="26" t="s">
        <v>195</v>
      </c>
      <c r="D182" s="68">
        <f>IF(G176="","",G176)</f>
        <v>0.6670860012742804</v>
      </c>
      <c r="E182" t="s">
        <v>599</v>
      </c>
      <c r="F182" s="5"/>
      <c r="G182" s="217">
        <f>IF(G176="","No Earth Intersection",DEGREES(D182))</f>
        <v>38.22121244527492</v>
      </c>
      <c r="H182" s="216"/>
      <c r="I182" s="22" t="s">
        <v>1233</v>
      </c>
      <c r="J182" s="52"/>
      <c r="K182" s="5"/>
      <c r="L182" s="6"/>
    </row>
    <row r="183" spans="1:12" ht="12.75">
      <c r="A183" s="4"/>
      <c r="B183" s="5"/>
      <c r="C183" s="26" t="s">
        <v>96</v>
      </c>
      <c r="D183" s="68">
        <f>IF(G176="","",IF(SIGN(G178)=-1,-G177,G177))</f>
        <v>-2.1534424291538574</v>
      </c>
      <c r="E183" t="s">
        <v>599</v>
      </c>
      <c r="F183" s="5"/>
      <c r="G183" s="217">
        <f>IF(G176="","No Earth Intersection",DEGREES(D183))</f>
        <v>-123.38316261491582</v>
      </c>
      <c r="H183" s="216"/>
      <c r="I183" s="22" t="s">
        <v>1233</v>
      </c>
      <c r="J183" s="52"/>
      <c r="K183" s="5"/>
      <c r="L183" s="6"/>
    </row>
    <row r="184" spans="1:12" ht="12.75">
      <c r="A184" s="4"/>
      <c r="B184" s="5"/>
      <c r="C184" s="5"/>
      <c r="D184" s="5"/>
      <c r="E184" s="177"/>
      <c r="F184" s="52"/>
      <c r="G184" s="52"/>
      <c r="H184" s="52"/>
      <c r="I184" s="202"/>
      <c r="J184" s="52"/>
      <c r="K184" s="5"/>
      <c r="L184" s="6"/>
    </row>
    <row r="185" spans="1:12" ht="13.5" thickBot="1">
      <c r="A185" s="7"/>
      <c r="B185" s="8"/>
      <c r="C185" s="8"/>
      <c r="D185" s="8"/>
      <c r="E185" s="8"/>
      <c r="F185" s="8"/>
      <c r="G185" s="198"/>
      <c r="H185" s="8"/>
      <c r="I185" s="8"/>
      <c r="J185" s="8"/>
      <c r="K185" s="8"/>
      <c r="L185" s="9"/>
    </row>
    <row r="186" ht="13.5" thickBot="1"/>
    <row r="187" spans="1:12" ht="12.75">
      <c r="A187" s="1"/>
      <c r="B187" s="2"/>
      <c r="C187" s="2"/>
      <c r="D187" s="2"/>
      <c r="E187" s="2"/>
      <c r="F187" s="2"/>
      <c r="G187" s="2"/>
      <c r="H187" s="2"/>
      <c r="I187" s="2"/>
      <c r="J187" s="2"/>
      <c r="K187" s="2"/>
      <c r="L187" s="3"/>
    </row>
    <row r="188" spans="1:12" ht="12.75">
      <c r="A188" s="10" t="s">
        <v>621</v>
      </c>
      <c r="B188" s="5"/>
      <c r="C188" s="5"/>
      <c r="D188" s="5"/>
      <c r="E188" s="5"/>
      <c r="F188" s="5"/>
      <c r="G188" s="5"/>
      <c r="H188" s="5"/>
      <c r="I188" s="5"/>
      <c r="J188" s="5"/>
      <c r="K188" s="5"/>
      <c r="L188" s="6"/>
    </row>
    <row r="189" spans="1:12" ht="12.75">
      <c r="A189" s="4"/>
      <c r="B189" s="5"/>
      <c r="C189" s="5"/>
      <c r="D189" s="5"/>
      <c r="E189" s="5"/>
      <c r="F189" s="5"/>
      <c r="G189" s="5"/>
      <c r="H189" s="5"/>
      <c r="I189" s="5"/>
      <c r="J189" s="5"/>
      <c r="K189" s="5"/>
      <c r="L189" s="6"/>
    </row>
    <row r="190" spans="1:12" ht="12.75">
      <c r="A190" s="4"/>
      <c r="B190" s="5" t="s">
        <v>266</v>
      </c>
      <c r="C190" s="5"/>
      <c r="D190" s="5"/>
      <c r="E190" s="5"/>
      <c r="F190" s="5"/>
      <c r="G190" s="5"/>
      <c r="H190" s="5"/>
      <c r="I190" s="5"/>
      <c r="J190" s="5"/>
      <c r="L190" s="6"/>
    </row>
    <row r="191" spans="1:12" ht="12.75">
      <c r="A191" s="4"/>
      <c r="B191" s="5"/>
      <c r="C191" s="5"/>
      <c r="D191" s="5"/>
      <c r="E191" s="5"/>
      <c r="F191" s="22" t="s">
        <v>515</v>
      </c>
      <c r="G191" s="5"/>
      <c r="H191" s="5"/>
      <c r="I191" s="5"/>
      <c r="J191" s="5"/>
      <c r="L191" s="6"/>
    </row>
    <row r="192" spans="1:12" ht="12.75">
      <c r="A192" s="4"/>
      <c r="B192" s="5"/>
      <c r="C192" s="5" t="str">
        <f>ReTrans_Origin!C183</f>
        <v>X_gi_p3 = </v>
      </c>
      <c r="D192" s="95">
        <f>ReTrans_Origin!D183</f>
        <v>-2731602.4103449117</v>
      </c>
      <c r="E192" s="5" t="s">
        <v>167</v>
      </c>
      <c r="F192" s="5" t="s">
        <v>595</v>
      </c>
      <c r="G192" s="68">
        <f>IF(D192="","",ASIN(D194/$J$50))</f>
        <v>0.6775067737912814</v>
      </c>
      <c r="H192" t="s">
        <v>599</v>
      </c>
      <c r="I192" s="68">
        <f>IF(G192="","",DEGREES(G192))</f>
        <v>38.818278729765005</v>
      </c>
      <c r="J192" s="5" t="s">
        <v>1233</v>
      </c>
      <c r="L192" s="6"/>
    </row>
    <row r="193" spans="1:12" ht="12.75">
      <c r="A193" s="4"/>
      <c r="B193" s="5"/>
      <c r="C193" s="5" t="str">
        <f>ReTrans_Origin!C184</f>
        <v>Y_gi_p3 = </v>
      </c>
      <c r="D193" s="95">
        <f>ReTrans_Origin!D184</f>
        <v>-4144077.0690782177</v>
      </c>
      <c r="E193" s="5" t="s">
        <v>167</v>
      </c>
      <c r="F193" s="5" t="s">
        <v>510</v>
      </c>
      <c r="G193" s="389">
        <f>IF(D192/($J$50*COS(G192))&gt;=1,0,ACOS(D192/($J$50*COS(G192))))</f>
        <v>2.1535827366515563</v>
      </c>
      <c r="H193" t="s">
        <v>599</v>
      </c>
      <c r="I193" s="68">
        <f>IF(G193="","",DEGREES(G193))</f>
        <v>123.391201642368</v>
      </c>
      <c r="J193" s="5" t="s">
        <v>1233</v>
      </c>
      <c r="L193" s="6"/>
    </row>
    <row r="194" spans="1:12" ht="12.75">
      <c r="A194" s="4"/>
      <c r="B194" s="5"/>
      <c r="C194" s="5" t="str">
        <f>ReTrans_Origin!C185</f>
        <v>Z_gi_p3 = </v>
      </c>
      <c r="D194" s="95">
        <f>ReTrans_Origin!D185</f>
        <v>3993258.4118902865</v>
      </c>
      <c r="E194" s="5" t="s">
        <v>167</v>
      </c>
      <c r="F194" s="5" t="s">
        <v>423</v>
      </c>
      <c r="G194" s="68">
        <f>IF(D192="","",ASIN(D193/($J$50*COS(G192))))</f>
        <v>-0.9880099169382356</v>
      </c>
      <c r="H194" t="s">
        <v>599</v>
      </c>
      <c r="I194" s="68">
        <f>IF(G194="","",DEGREES(G194))</f>
        <v>-56.608798357631926</v>
      </c>
      <c r="J194" s="5" t="s">
        <v>1233</v>
      </c>
      <c r="L194" s="6"/>
    </row>
    <row r="195" spans="1:12" ht="12.75">
      <c r="A195" s="4"/>
      <c r="B195" s="5"/>
      <c r="C195" s="5"/>
      <c r="D195" s="5"/>
      <c r="E195" s="177"/>
      <c r="F195" s="52"/>
      <c r="G195" s="52"/>
      <c r="H195" s="52"/>
      <c r="I195" s="202"/>
      <c r="J195" s="52"/>
      <c r="K195" s="5"/>
      <c r="L195" s="6"/>
    </row>
    <row r="196" spans="1:12" ht="15.75">
      <c r="A196" s="4"/>
      <c r="B196" s="16" t="s">
        <v>424</v>
      </c>
      <c r="C196" s="5"/>
      <c r="D196" s="5"/>
      <c r="E196" s="5"/>
      <c r="F196" s="5"/>
      <c r="G196" s="5"/>
      <c r="H196" s="5"/>
      <c r="I196" s="202"/>
      <c r="J196" s="52"/>
      <c r="K196" s="5"/>
      <c r="L196" s="6"/>
    </row>
    <row r="197" spans="1:12" ht="12.75">
      <c r="A197" s="4"/>
      <c r="B197" s="5"/>
      <c r="C197" s="5"/>
      <c r="D197" s="5"/>
      <c r="E197" s="5"/>
      <c r="F197" s="22" t="s">
        <v>622</v>
      </c>
      <c r="G197" s="5"/>
      <c r="H197" s="5"/>
      <c r="I197" s="202"/>
      <c r="J197" s="52"/>
      <c r="K197" s="5"/>
      <c r="L197" s="6"/>
    </row>
    <row r="198" spans="1:12" ht="12.75">
      <c r="A198" s="4"/>
      <c r="B198" s="5"/>
      <c r="C198" s="26" t="s">
        <v>195</v>
      </c>
      <c r="D198" s="68">
        <f>IF(G192="","",G192)</f>
        <v>0.6775067737912814</v>
      </c>
      <c r="E198" t="s">
        <v>599</v>
      </c>
      <c r="F198" s="5"/>
      <c r="G198" s="217">
        <f>IF(G192="","No Earth Intersection",DEGREES(D198))</f>
        <v>38.818278729765005</v>
      </c>
      <c r="H198" s="216"/>
      <c r="I198" s="22" t="s">
        <v>1233</v>
      </c>
      <c r="J198" s="52"/>
      <c r="K198" s="5"/>
      <c r="L198" s="6"/>
    </row>
    <row r="199" spans="1:12" ht="12.75">
      <c r="A199" s="4"/>
      <c r="B199" s="5"/>
      <c r="C199" s="26" t="s">
        <v>96</v>
      </c>
      <c r="D199" s="68">
        <f>IF(G192="","",IF(SIGN(G194)=-1,-G193,G193))</f>
        <v>-2.1535827366515563</v>
      </c>
      <c r="E199" t="s">
        <v>599</v>
      </c>
      <c r="F199" s="5"/>
      <c r="G199" s="217">
        <f>IF(G192="","No Earth Intersection",DEGREES(D199))</f>
        <v>-123.391201642368</v>
      </c>
      <c r="H199" s="216"/>
      <c r="I199" s="22" t="s">
        <v>1233</v>
      </c>
      <c r="J199" s="52"/>
      <c r="K199" s="5"/>
      <c r="L199" s="6"/>
    </row>
    <row r="200" spans="1:12" ht="12.75">
      <c r="A200" s="4"/>
      <c r="B200" s="5"/>
      <c r="C200" s="5"/>
      <c r="D200" s="5"/>
      <c r="E200" s="177"/>
      <c r="F200" s="52"/>
      <c r="G200" s="52"/>
      <c r="H200" s="52"/>
      <c r="I200" s="202"/>
      <c r="J200" s="52"/>
      <c r="K200" s="5"/>
      <c r="L200" s="6"/>
    </row>
    <row r="201" spans="1:12" ht="13.5" thickBot="1">
      <c r="A201" s="7"/>
      <c r="B201" s="8"/>
      <c r="C201" s="8"/>
      <c r="D201" s="8"/>
      <c r="E201" s="8"/>
      <c r="F201" s="8"/>
      <c r="G201" s="198"/>
      <c r="H201" s="8"/>
      <c r="I201" s="8"/>
      <c r="J201" s="8"/>
      <c r="K201" s="8"/>
      <c r="L201" s="9"/>
    </row>
    <row r="202" ht="13.5" thickBot="1"/>
    <row r="203" spans="1:12" ht="12.75">
      <c r="A203" s="1"/>
      <c r="B203" s="2"/>
      <c r="C203" s="2"/>
      <c r="D203" s="2"/>
      <c r="E203" s="2"/>
      <c r="F203" s="2"/>
      <c r="G203" s="2"/>
      <c r="H203" s="2"/>
      <c r="I203" s="2"/>
      <c r="J203" s="2"/>
      <c r="K203" s="2"/>
      <c r="L203" s="3"/>
    </row>
    <row r="204" spans="1:12" ht="12.75">
      <c r="A204" s="10" t="s">
        <v>411</v>
      </c>
      <c r="B204" s="5"/>
      <c r="C204" s="5"/>
      <c r="D204" s="5"/>
      <c r="E204" s="5"/>
      <c r="F204" s="5"/>
      <c r="G204" s="5"/>
      <c r="H204" s="5"/>
      <c r="I204" s="5"/>
      <c r="J204" s="5"/>
      <c r="K204" s="5"/>
      <c r="L204" s="6"/>
    </row>
    <row r="205" spans="1:12" ht="12.75">
      <c r="A205" s="4"/>
      <c r="B205" s="5"/>
      <c r="C205" s="5"/>
      <c r="D205" s="5"/>
      <c r="E205" s="5"/>
      <c r="F205" s="5"/>
      <c r="G205" s="5"/>
      <c r="H205" s="5"/>
      <c r="I205" s="5"/>
      <c r="J205" s="5"/>
      <c r="K205" s="5"/>
      <c r="L205" s="6"/>
    </row>
    <row r="206" spans="1:12" ht="12.75">
      <c r="A206" s="4"/>
      <c r="B206" s="5" t="s">
        <v>266</v>
      </c>
      <c r="C206" s="5"/>
      <c r="D206" s="5"/>
      <c r="E206" s="5"/>
      <c r="F206" s="5"/>
      <c r="G206" s="5"/>
      <c r="H206" s="5"/>
      <c r="I206" s="5"/>
      <c r="J206" s="5"/>
      <c r="L206" s="6"/>
    </row>
    <row r="207" spans="1:12" ht="12.75">
      <c r="A207" s="4"/>
      <c r="B207" s="5"/>
      <c r="C207" s="5"/>
      <c r="D207" s="5"/>
      <c r="E207" s="5"/>
      <c r="F207" s="22" t="s">
        <v>515</v>
      </c>
      <c r="G207" s="5"/>
      <c r="H207" s="5"/>
      <c r="I207" s="5"/>
      <c r="J207" s="5"/>
      <c r="L207" s="6"/>
    </row>
    <row r="208" spans="1:12" ht="12.75">
      <c r="A208" s="4"/>
      <c r="B208" s="5"/>
      <c r="C208" s="5" t="str">
        <f>ReTrans_Origin!C199</f>
        <v>X_gi_p4 = </v>
      </c>
      <c r="D208" s="95">
        <f>ReTrans_Origin!D199</f>
        <v>-2705867.5176580227</v>
      </c>
      <c r="E208" s="5" t="s">
        <v>167</v>
      </c>
      <c r="F208" s="5" t="s">
        <v>595</v>
      </c>
      <c r="G208" s="68">
        <f>IF(D208="","",ASIN(D210/$J$50))</f>
        <v>0.65699308792081</v>
      </c>
      <c r="H208" t="s">
        <v>599</v>
      </c>
      <c r="I208" s="68">
        <f>IF(G208="","",DEGREES(G208))</f>
        <v>37.64293110712984</v>
      </c>
      <c r="J208" s="5" t="s">
        <v>1233</v>
      </c>
      <c r="L208" s="6"/>
    </row>
    <row r="209" spans="1:12" ht="12.75">
      <c r="A209" s="4"/>
      <c r="B209" s="5"/>
      <c r="C209" s="5" t="str">
        <f>ReTrans_Origin!C200</f>
        <v>Y_gi_p4 = </v>
      </c>
      <c r="D209" s="95">
        <f>ReTrans_Origin!D200</f>
        <v>-4257063.131839848</v>
      </c>
      <c r="E209" s="5" t="s">
        <v>167</v>
      </c>
      <c r="F209" s="5" t="s">
        <v>510</v>
      </c>
      <c r="G209" s="389">
        <f>IF(D208/($J$50*COS(G208))&gt;=1,0,ACOS(D208/($J$50*COS(G208))))</f>
        <v>2.136994909080465</v>
      </c>
      <c r="H209" t="s">
        <v>599</v>
      </c>
      <c r="I209" s="68">
        <f>IF(G209="","",DEGREES(G209))</f>
        <v>122.44078913125374</v>
      </c>
      <c r="J209" s="5" t="s">
        <v>1233</v>
      </c>
      <c r="L209" s="6"/>
    </row>
    <row r="210" spans="1:12" ht="12.75">
      <c r="A210" s="4"/>
      <c r="B210" s="5"/>
      <c r="C210" s="5" t="str">
        <f>ReTrans_Origin!C201</f>
        <v>Z_gi_p4 = </v>
      </c>
      <c r="D210" s="95">
        <f>ReTrans_Origin!D201</f>
        <v>3890608.396537453</v>
      </c>
      <c r="E210" s="5" t="s">
        <v>167</v>
      </c>
      <c r="F210" s="5" t="s">
        <v>423</v>
      </c>
      <c r="G210" s="68">
        <f>IF(D208="","",ASIN(D209/($J$50*COS(G208))))</f>
        <v>-1.0045977445093286</v>
      </c>
      <c r="H210" t="s">
        <v>599</v>
      </c>
      <c r="I210" s="68">
        <f>IF(G210="","",DEGREES(G210))</f>
        <v>-57.5592108687463</v>
      </c>
      <c r="J210" s="5" t="s">
        <v>1233</v>
      </c>
      <c r="L210" s="6"/>
    </row>
    <row r="211" spans="1:12" ht="12.75">
      <c r="A211" s="4"/>
      <c r="B211" s="5"/>
      <c r="C211" s="5"/>
      <c r="D211" s="5"/>
      <c r="E211" s="177"/>
      <c r="F211" s="52"/>
      <c r="G211" s="52"/>
      <c r="H211" s="52"/>
      <c r="I211" s="202"/>
      <c r="J211" s="52"/>
      <c r="K211" s="5"/>
      <c r="L211" s="6"/>
    </row>
    <row r="212" spans="1:12" ht="15.75">
      <c r="A212" s="4"/>
      <c r="B212" s="16" t="s">
        <v>424</v>
      </c>
      <c r="C212" s="5"/>
      <c r="D212" s="5"/>
      <c r="E212" s="5"/>
      <c r="F212" s="5"/>
      <c r="G212" s="5"/>
      <c r="H212" s="5"/>
      <c r="I212" s="202"/>
      <c r="J212" s="52"/>
      <c r="K212" s="5"/>
      <c r="L212" s="6"/>
    </row>
    <row r="213" spans="1:12" ht="12.75">
      <c r="A213" s="4"/>
      <c r="B213" s="5"/>
      <c r="C213" s="5"/>
      <c r="D213" s="5"/>
      <c r="E213" s="5"/>
      <c r="F213" s="22" t="s">
        <v>412</v>
      </c>
      <c r="G213" s="5"/>
      <c r="H213" s="5"/>
      <c r="I213" s="202"/>
      <c r="J213" s="52"/>
      <c r="K213" s="5"/>
      <c r="L213" s="6"/>
    </row>
    <row r="214" spans="1:12" ht="12.75">
      <c r="A214" s="4"/>
      <c r="B214" s="5"/>
      <c r="C214" s="26" t="s">
        <v>195</v>
      </c>
      <c r="D214" s="68">
        <f>IF(G208="","",G208)</f>
        <v>0.65699308792081</v>
      </c>
      <c r="E214" t="s">
        <v>599</v>
      </c>
      <c r="F214" s="5"/>
      <c r="G214" s="217">
        <f>IF(G208="","No Earth Intersection",DEGREES(D214))</f>
        <v>37.64293110712984</v>
      </c>
      <c r="H214" s="216"/>
      <c r="I214" s="22" t="s">
        <v>1233</v>
      </c>
      <c r="J214" s="52"/>
      <c r="K214" s="5"/>
      <c r="L214" s="6"/>
    </row>
    <row r="215" spans="1:12" ht="12.75">
      <c r="A215" s="4"/>
      <c r="B215" s="5"/>
      <c r="C215" s="26" t="s">
        <v>96</v>
      </c>
      <c r="D215" s="68">
        <f>IF(G208="","",IF(SIGN(G210)=-1,-G209,G209))</f>
        <v>-2.136994909080465</v>
      </c>
      <c r="E215" t="s">
        <v>599</v>
      </c>
      <c r="F215" s="5"/>
      <c r="G215" s="217">
        <f>IF(G208="","No Earth Intersection",DEGREES(D215))</f>
        <v>-122.44078913125374</v>
      </c>
      <c r="H215" s="216"/>
      <c r="I215" s="22" t="s">
        <v>1233</v>
      </c>
      <c r="J215" s="52"/>
      <c r="K215" s="5"/>
      <c r="L215" s="6"/>
    </row>
    <row r="216" spans="1:12" ht="12.75">
      <c r="A216" s="4"/>
      <c r="B216" s="5"/>
      <c r="C216" s="5"/>
      <c r="D216" s="5"/>
      <c r="E216" s="177"/>
      <c r="F216" s="52"/>
      <c r="G216" s="52"/>
      <c r="H216" s="52"/>
      <c r="I216" s="202"/>
      <c r="J216" s="52"/>
      <c r="K216" s="5"/>
      <c r="L216" s="6"/>
    </row>
    <row r="217" spans="1:12" ht="13.5" thickBot="1">
      <c r="A217" s="7"/>
      <c r="B217" s="8"/>
      <c r="C217" s="8"/>
      <c r="D217" s="8"/>
      <c r="E217" s="8"/>
      <c r="F217" s="8"/>
      <c r="G217" s="198"/>
      <c r="H217" s="8"/>
      <c r="I217" s="8"/>
      <c r="J217" s="8"/>
      <c r="K217" s="8"/>
      <c r="L217" s="9"/>
    </row>
    <row r="218" ht="13.5" thickBot="1"/>
    <row r="219" spans="1:12" ht="12.75">
      <c r="A219" s="1"/>
      <c r="B219" s="2"/>
      <c r="C219" s="2"/>
      <c r="D219" s="2"/>
      <c r="E219" s="2"/>
      <c r="F219" s="2"/>
      <c r="G219" s="2"/>
      <c r="H219" s="2"/>
      <c r="I219" s="2"/>
      <c r="J219" s="2"/>
      <c r="K219" s="2"/>
      <c r="L219" s="3"/>
    </row>
    <row r="220" spans="1:12" ht="12.75">
      <c r="A220" s="10" t="s">
        <v>413</v>
      </c>
      <c r="B220" s="5"/>
      <c r="C220" s="5"/>
      <c r="D220" s="5"/>
      <c r="E220" s="5"/>
      <c r="F220" s="5"/>
      <c r="G220" s="5"/>
      <c r="H220" s="5"/>
      <c r="I220" s="5"/>
      <c r="J220" s="5"/>
      <c r="K220" s="5"/>
      <c r="L220" s="6"/>
    </row>
    <row r="221" spans="1:12" ht="12.75">
      <c r="A221" s="4"/>
      <c r="B221" s="5"/>
      <c r="C221" s="5"/>
      <c r="D221" s="5"/>
      <c r="E221" s="5"/>
      <c r="F221" s="5"/>
      <c r="G221" s="5"/>
      <c r="H221" s="5"/>
      <c r="I221" s="5"/>
      <c r="J221" s="5"/>
      <c r="K221" s="5"/>
      <c r="L221" s="6"/>
    </row>
    <row r="222" spans="1:12" ht="12.75">
      <c r="A222" s="4"/>
      <c r="B222" s="5" t="s">
        <v>266</v>
      </c>
      <c r="C222" s="5"/>
      <c r="D222" s="5"/>
      <c r="E222" s="5"/>
      <c r="F222" s="5"/>
      <c r="G222" s="5"/>
      <c r="H222" s="5"/>
      <c r="I222" s="5"/>
      <c r="J222" s="5"/>
      <c r="L222" s="6"/>
    </row>
    <row r="223" spans="1:12" ht="12.75">
      <c r="A223" s="4"/>
      <c r="B223" s="5"/>
      <c r="C223" s="5"/>
      <c r="D223" s="5"/>
      <c r="E223" s="5"/>
      <c r="F223" s="22" t="s">
        <v>515</v>
      </c>
      <c r="G223" s="5"/>
      <c r="H223" s="5"/>
      <c r="I223" s="5"/>
      <c r="J223" s="5"/>
      <c r="L223" s="6"/>
    </row>
    <row r="224" spans="1:12" ht="12.75">
      <c r="A224" s="4"/>
      <c r="B224" s="5"/>
      <c r="C224" s="5" t="str">
        <f>ReTrans_Origin!C215</f>
        <v>X_gi_pp = </v>
      </c>
      <c r="D224" s="95">
        <f>ReTrans_Origin!D215</f>
        <v>-2686114.736119857</v>
      </c>
      <c r="E224" s="5" t="s">
        <v>167</v>
      </c>
      <c r="F224" s="5" t="s">
        <v>595</v>
      </c>
      <c r="G224" s="68">
        <f>IF(D224="","",ASIN(D226/$J$50))</f>
        <v>0.6684611035138288</v>
      </c>
      <c r="H224" t="s">
        <v>599</v>
      </c>
      <c r="I224" s="68">
        <f>IF(G224="","",DEGREES(G224))</f>
        <v>38.30000000000003</v>
      </c>
      <c r="J224" s="5" t="s">
        <v>1233</v>
      </c>
      <c r="L224" s="6"/>
    </row>
    <row r="225" spans="1:12" ht="12.75">
      <c r="A225" s="4"/>
      <c r="B225" s="5"/>
      <c r="C225" s="5" t="str">
        <f>ReTrans_Origin!C216</f>
        <v>Y_gi_pp = </v>
      </c>
      <c r="D225" s="95">
        <f>ReTrans_Origin!D216</f>
        <v>-4216355.55977009</v>
      </c>
      <c r="E225" s="5" t="s">
        <v>167</v>
      </c>
      <c r="F225" s="5" t="s">
        <v>510</v>
      </c>
      <c r="G225" s="389">
        <f>IF(D224/($J$50*COS(G224))&gt;=1,0,ACOS(D224/($J$50*COS(G224))))</f>
        <v>2.138028333693055</v>
      </c>
      <c r="H225" t="s">
        <v>599</v>
      </c>
      <c r="I225" s="68">
        <f>IF(G225="","",DEGREES(G225))</f>
        <v>122.50000000000007</v>
      </c>
      <c r="J225" s="5" t="s">
        <v>1233</v>
      </c>
      <c r="L225" s="6"/>
    </row>
    <row r="226" spans="1:12" ht="12.75">
      <c r="A226" s="4"/>
      <c r="B226" s="5"/>
      <c r="C226" s="5" t="str">
        <f>ReTrans_Origin!C217</f>
        <v>Z_gi_pp = </v>
      </c>
      <c r="D226" s="95">
        <f>ReTrans_Origin!D217</f>
        <v>3948198.658222537</v>
      </c>
      <c r="E226" s="5" t="s">
        <v>167</v>
      </c>
      <c r="F226" s="5" t="s">
        <v>423</v>
      </c>
      <c r="G226" s="68">
        <f>IF(D224="","",ASIN(D225/($J$50*COS(G224))))</f>
        <v>-1.0035643198967403</v>
      </c>
      <c r="H226" t="s">
        <v>599</v>
      </c>
      <c r="I226" s="68">
        <f>IF(G226="","",DEGREES(G226))</f>
        <v>-57.50000000000005</v>
      </c>
      <c r="J226" s="5" t="s">
        <v>1233</v>
      </c>
      <c r="L226" s="6"/>
    </row>
    <row r="227" spans="1:12" ht="12.75">
      <c r="A227" s="4"/>
      <c r="B227" s="5"/>
      <c r="C227" s="5"/>
      <c r="D227" s="5"/>
      <c r="E227" s="177"/>
      <c r="F227" s="52"/>
      <c r="G227" s="52"/>
      <c r="H227" s="52"/>
      <c r="I227" s="202"/>
      <c r="J227" s="52"/>
      <c r="K227" s="5"/>
      <c r="L227" s="6"/>
    </row>
    <row r="228" spans="1:14" ht="15.75">
      <c r="A228" s="4"/>
      <c r="B228" s="16" t="s">
        <v>424</v>
      </c>
      <c r="C228" s="5"/>
      <c r="D228" s="5"/>
      <c r="E228" s="5"/>
      <c r="F228" s="5"/>
      <c r="G228" s="5"/>
      <c r="H228" s="5"/>
      <c r="I228" s="202"/>
      <c r="J228" s="52"/>
      <c r="L228" s="6"/>
      <c r="N228" s="390"/>
    </row>
    <row r="229" spans="1:12" ht="12.75">
      <c r="A229" s="4"/>
      <c r="B229" s="5"/>
      <c r="C229" s="5"/>
      <c r="D229" s="5"/>
      <c r="E229" s="5"/>
      <c r="F229" s="22" t="s">
        <v>414</v>
      </c>
      <c r="G229" s="5"/>
      <c r="H229" s="5"/>
      <c r="I229" s="202"/>
      <c r="J229" s="52"/>
      <c r="K229" s="5"/>
      <c r="L229" s="6"/>
    </row>
    <row r="230" spans="1:12" ht="12.75">
      <c r="A230" s="4"/>
      <c r="B230" s="5"/>
      <c r="C230" s="26" t="s">
        <v>195</v>
      </c>
      <c r="D230" s="68">
        <f>IF(G224="","",G224)</f>
        <v>0.6684611035138288</v>
      </c>
      <c r="E230" t="s">
        <v>599</v>
      </c>
      <c r="F230" s="5"/>
      <c r="G230" s="217">
        <f>IF(G224="","No Earth Intersection",DEGREES(D230))</f>
        <v>38.30000000000003</v>
      </c>
      <c r="H230" s="216"/>
      <c r="I230" s="22" t="s">
        <v>1233</v>
      </c>
      <c r="J230" s="52"/>
      <c r="K230" s="5"/>
      <c r="L230" s="6"/>
    </row>
    <row r="231" spans="1:12" ht="12.75">
      <c r="A231" s="4"/>
      <c r="B231" s="5"/>
      <c r="C231" s="26" t="s">
        <v>96</v>
      </c>
      <c r="D231" s="68">
        <f>IF(G224="","",IF(SIGN(G226)=-1,-G225,G225))</f>
        <v>-2.138028333693055</v>
      </c>
      <c r="E231" t="s">
        <v>599</v>
      </c>
      <c r="F231" s="5"/>
      <c r="G231" s="217">
        <f>IF(G224="","No Earth Intersection",DEGREES(D231))</f>
        <v>-122.50000000000007</v>
      </c>
      <c r="H231" s="216"/>
      <c r="I231" s="22" t="s">
        <v>1233</v>
      </c>
      <c r="J231" s="52"/>
      <c r="K231" s="5"/>
      <c r="L231" s="6"/>
    </row>
    <row r="232" spans="1:12" ht="12.75">
      <c r="A232" s="4"/>
      <c r="B232" s="5"/>
      <c r="C232" s="5"/>
      <c r="D232" s="5"/>
      <c r="E232" s="177"/>
      <c r="F232" s="52"/>
      <c r="G232" s="52"/>
      <c r="H232" s="52"/>
      <c r="I232" s="202"/>
      <c r="J232" s="52"/>
      <c r="K232" s="5"/>
      <c r="L232" s="6"/>
    </row>
    <row r="233" spans="1:12" ht="13.5" thickBot="1">
      <c r="A233" s="7"/>
      <c r="B233" s="8"/>
      <c r="C233" s="8"/>
      <c r="D233" s="8"/>
      <c r="E233" s="8"/>
      <c r="F233" s="8"/>
      <c r="G233" s="198"/>
      <c r="H233" s="8"/>
      <c r="I233" s="8"/>
      <c r="J233" s="8"/>
      <c r="K233" s="8"/>
      <c r="L233" s="9"/>
    </row>
    <row r="234" ht="13.5" thickBot="1"/>
    <row r="235" spans="1:12" ht="12.75">
      <c r="A235" s="1"/>
      <c r="B235" s="2"/>
      <c r="C235" s="2"/>
      <c r="D235" s="2"/>
      <c r="E235" s="2"/>
      <c r="F235" s="2"/>
      <c r="G235" s="2"/>
      <c r="H235" s="2"/>
      <c r="I235" s="2"/>
      <c r="J235" s="2"/>
      <c r="K235" s="2"/>
      <c r="L235" s="3"/>
    </row>
    <row r="236" spans="1:12" ht="12.75">
      <c r="A236" s="10" t="s">
        <v>1166</v>
      </c>
      <c r="B236" s="5"/>
      <c r="C236" s="5"/>
      <c r="D236" s="5"/>
      <c r="E236" s="5"/>
      <c r="F236" s="5"/>
      <c r="G236" s="5"/>
      <c r="H236" s="5"/>
      <c r="I236" s="5"/>
      <c r="J236" s="5"/>
      <c r="K236" s="5"/>
      <c r="L236" s="6"/>
    </row>
    <row r="237" spans="1:12" ht="12.75">
      <c r="A237" s="4"/>
      <c r="B237" s="5"/>
      <c r="C237" s="5"/>
      <c r="D237" s="5"/>
      <c r="E237" s="5"/>
      <c r="F237" s="5"/>
      <c r="G237" s="5"/>
      <c r="H237" s="5"/>
      <c r="I237" s="5"/>
      <c r="J237" s="5"/>
      <c r="K237" s="5"/>
      <c r="L237" s="6"/>
    </row>
    <row r="238" spans="1:12" ht="12.75">
      <c r="A238" s="4"/>
      <c r="B238" s="5" t="s">
        <v>266</v>
      </c>
      <c r="C238" s="5"/>
      <c r="D238" s="5"/>
      <c r="E238" s="5"/>
      <c r="F238" s="5"/>
      <c r="G238" s="5"/>
      <c r="H238" s="5"/>
      <c r="I238" s="5"/>
      <c r="J238" s="5"/>
      <c r="L238" s="6"/>
    </row>
    <row r="239" spans="1:12" ht="12.75">
      <c r="A239" s="4"/>
      <c r="B239" s="5"/>
      <c r="C239" s="5"/>
      <c r="D239" s="5"/>
      <c r="E239" s="5"/>
      <c r="F239" s="22" t="s">
        <v>515</v>
      </c>
      <c r="G239" s="5"/>
      <c r="H239" s="5"/>
      <c r="I239" s="5"/>
      <c r="J239" s="5"/>
      <c r="L239" s="6"/>
    </row>
    <row r="240" spans="1:12" ht="12.75">
      <c r="A240" s="4"/>
      <c r="B240" s="5"/>
      <c r="C240" s="5" t="str">
        <f>ReTrans_Origin!C231</f>
        <v>X_gi_p5 = </v>
      </c>
      <c r="D240" s="95">
        <f>ReTrans_Origin!D231</f>
        <v>-2668584.4149576654</v>
      </c>
      <c r="E240" s="5" t="s">
        <v>167</v>
      </c>
      <c r="F240" s="5" t="s">
        <v>595</v>
      </c>
      <c r="G240" s="68">
        <f>IF(D240="","",ASIN(D242/$J$50))</f>
        <v>0.6785076414623843</v>
      </c>
      <c r="H240" t="s">
        <v>599</v>
      </c>
      <c r="I240" s="68">
        <f>IF(G240="","",DEGREES(G240))</f>
        <v>38.875624223170284</v>
      </c>
      <c r="J240" s="5" t="s">
        <v>1233</v>
      </c>
      <c r="L240" s="6"/>
    </row>
    <row r="241" spans="1:12" ht="12.75">
      <c r="A241" s="4"/>
      <c r="B241" s="5"/>
      <c r="C241" s="5" t="str">
        <f>ReTrans_Origin!C232</f>
        <v>Y_gi_p5 = </v>
      </c>
      <c r="D241" s="95">
        <f>ReTrans_Origin!D232</f>
        <v>-4180191.4555655746</v>
      </c>
      <c r="E241" s="5" t="s">
        <v>167</v>
      </c>
      <c r="F241" s="5" t="s">
        <v>510</v>
      </c>
      <c r="G241" s="389">
        <f>IF(D240/($J$50*COS(G240))&gt;=1,0,ACOS(D240/($J$50*COS(G240))))</f>
        <v>2.1389651537920584</v>
      </c>
      <c r="H241" t="s">
        <v>599</v>
      </c>
      <c r="I241" s="68">
        <f>IF(G241="","",DEGREES(G241))</f>
        <v>122.553675837836</v>
      </c>
      <c r="J241" s="5" t="s">
        <v>1233</v>
      </c>
      <c r="L241" s="6"/>
    </row>
    <row r="242" spans="1:12" ht="12.75">
      <c r="A242" s="4"/>
      <c r="B242" s="5"/>
      <c r="C242" s="5" t="str">
        <f>ReTrans_Origin!C233</f>
        <v>Z_gi_p5 = </v>
      </c>
      <c r="D242" s="95">
        <f>ReTrans_Origin!D233</f>
        <v>3998224.0859982157</v>
      </c>
      <c r="E242" s="5" t="s">
        <v>167</v>
      </c>
      <c r="F242" s="5" t="s">
        <v>423</v>
      </c>
      <c r="G242" s="68">
        <f>IF(D240="","",ASIN(D241/($J$50*COS(G240))))</f>
        <v>-1.0026274997977376</v>
      </c>
      <c r="H242" t="s">
        <v>599</v>
      </c>
      <c r="I242" s="68">
        <f>IF(G242="","",DEGREES(G242))</f>
        <v>-57.44632416216416</v>
      </c>
      <c r="J242" s="5" t="s">
        <v>1233</v>
      </c>
      <c r="L242" s="6"/>
    </row>
    <row r="243" spans="1:12" ht="12.75">
      <c r="A243" s="4"/>
      <c r="B243" s="5"/>
      <c r="C243" s="5"/>
      <c r="D243" s="5"/>
      <c r="E243" s="177"/>
      <c r="F243" s="52"/>
      <c r="G243" s="52"/>
      <c r="H243" s="52"/>
      <c r="I243" s="202"/>
      <c r="J243" s="52"/>
      <c r="K243" s="5"/>
      <c r="L243" s="6"/>
    </row>
    <row r="244" spans="1:12" ht="15.75">
      <c r="A244" s="4"/>
      <c r="B244" s="16" t="s">
        <v>424</v>
      </c>
      <c r="C244" s="5"/>
      <c r="D244" s="5"/>
      <c r="E244" s="5"/>
      <c r="F244" s="5"/>
      <c r="G244" s="5"/>
      <c r="H244" s="5"/>
      <c r="I244" s="202"/>
      <c r="J244" s="52"/>
      <c r="K244" s="5"/>
      <c r="L244" s="6"/>
    </row>
    <row r="245" spans="1:12" ht="12.75">
      <c r="A245" s="4"/>
      <c r="B245" s="5"/>
      <c r="C245" s="5"/>
      <c r="D245" s="5"/>
      <c r="E245" s="5"/>
      <c r="F245" s="22" t="s">
        <v>1167</v>
      </c>
      <c r="G245" s="5"/>
      <c r="H245" s="5"/>
      <c r="I245" s="202"/>
      <c r="J245" s="52"/>
      <c r="K245" s="5"/>
      <c r="L245" s="6"/>
    </row>
    <row r="246" spans="1:12" ht="12.75">
      <c r="A246" s="4"/>
      <c r="B246" s="5"/>
      <c r="C246" s="26" t="s">
        <v>195</v>
      </c>
      <c r="D246" s="68">
        <f>IF(G240="","",G240)</f>
        <v>0.6785076414623843</v>
      </c>
      <c r="E246" t="s">
        <v>599</v>
      </c>
      <c r="F246" s="5"/>
      <c r="G246" s="217">
        <f>IF(G240="","No Earth Intersection",DEGREES(D246))</f>
        <v>38.875624223170284</v>
      </c>
      <c r="H246" s="216"/>
      <c r="I246" s="22" t="s">
        <v>1233</v>
      </c>
      <c r="J246" s="52"/>
      <c r="K246" s="5"/>
      <c r="L246" s="6"/>
    </row>
    <row r="247" spans="1:12" ht="12.75">
      <c r="A247" s="4"/>
      <c r="B247" s="5"/>
      <c r="C247" s="26" t="s">
        <v>96</v>
      </c>
      <c r="D247" s="68">
        <f>IF(G240="","",IF(SIGN(G242)=-1,-G241,G241))</f>
        <v>-2.1389651537920584</v>
      </c>
      <c r="E247" t="s">
        <v>599</v>
      </c>
      <c r="F247" s="5"/>
      <c r="G247" s="217">
        <f>IF(G240="","No Earth Intersection",DEGREES(D247))</f>
        <v>-122.553675837836</v>
      </c>
      <c r="H247" s="216"/>
      <c r="I247" s="22" t="s">
        <v>1233</v>
      </c>
      <c r="J247" s="52"/>
      <c r="K247" s="5"/>
      <c r="L247" s="6"/>
    </row>
    <row r="248" spans="1:12" ht="12.75">
      <c r="A248" s="4"/>
      <c r="B248" s="5"/>
      <c r="C248" s="5"/>
      <c r="D248" s="5"/>
      <c r="E248" s="177"/>
      <c r="F248" s="52"/>
      <c r="G248" s="52"/>
      <c r="H248" s="52"/>
      <c r="I248" s="202"/>
      <c r="J248" s="52"/>
      <c r="K248" s="5"/>
      <c r="L248" s="6"/>
    </row>
    <row r="249" spans="1:12" ht="13.5" thickBot="1">
      <c r="A249" s="7"/>
      <c r="B249" s="8"/>
      <c r="C249" s="8"/>
      <c r="D249" s="8"/>
      <c r="E249" s="8"/>
      <c r="F249" s="8"/>
      <c r="G249" s="198"/>
      <c r="H249" s="8"/>
      <c r="I249" s="8"/>
      <c r="J249" s="8"/>
      <c r="K249" s="8"/>
      <c r="L249" s="9"/>
    </row>
    <row r="250" ht="13.5" thickBot="1"/>
    <row r="251" spans="1:12" ht="12.75">
      <c r="A251" s="1"/>
      <c r="B251" s="2"/>
      <c r="C251" s="2"/>
      <c r="D251" s="2"/>
      <c r="E251" s="2"/>
      <c r="F251" s="2"/>
      <c r="G251" s="2"/>
      <c r="H251" s="2"/>
      <c r="I251" s="2"/>
      <c r="J251" s="2"/>
      <c r="K251" s="2"/>
      <c r="L251" s="3"/>
    </row>
    <row r="252" spans="1:12" ht="12.75">
      <c r="A252" s="10" t="s">
        <v>1264</v>
      </c>
      <c r="B252" s="5"/>
      <c r="C252" s="5"/>
      <c r="D252" s="5"/>
      <c r="E252" s="5"/>
      <c r="F252" s="5"/>
      <c r="G252" s="5"/>
      <c r="H252" s="5"/>
      <c r="I252" s="5"/>
      <c r="J252" s="5"/>
      <c r="K252" s="5"/>
      <c r="L252" s="6"/>
    </row>
    <row r="253" spans="1:12" ht="12.75">
      <c r="A253" s="4"/>
      <c r="B253" s="5"/>
      <c r="C253" s="5"/>
      <c r="D253" s="5"/>
      <c r="E253" s="5"/>
      <c r="F253" s="5"/>
      <c r="G253" s="5"/>
      <c r="H253" s="5"/>
      <c r="I253" s="5"/>
      <c r="J253" s="5"/>
      <c r="K253" s="5"/>
      <c r="L253" s="6"/>
    </row>
    <row r="254" spans="1:12" ht="12.75">
      <c r="A254" s="4"/>
      <c r="B254" s="5" t="s">
        <v>266</v>
      </c>
      <c r="C254" s="5"/>
      <c r="D254" s="5"/>
      <c r="E254" s="5"/>
      <c r="F254" s="5"/>
      <c r="G254" s="5"/>
      <c r="H254" s="5"/>
      <c r="I254" s="5"/>
      <c r="J254" s="5"/>
      <c r="L254" s="6"/>
    </row>
    <row r="255" spans="1:12" ht="12.75">
      <c r="A255" s="4"/>
      <c r="B255" s="5"/>
      <c r="C255" s="5"/>
      <c r="D255" s="5"/>
      <c r="E255" s="5"/>
      <c r="F255" s="22" t="s">
        <v>515</v>
      </c>
      <c r="G255" s="5"/>
      <c r="H255" s="5"/>
      <c r="I255" s="5"/>
      <c r="J255" s="5"/>
      <c r="L255" s="6"/>
    </row>
    <row r="256" spans="1:12" ht="12.75">
      <c r="A256" s="4"/>
      <c r="B256" s="5"/>
      <c r="C256" s="5" t="str">
        <f>ReTrans_Origin!C247</f>
        <v>X_gi_p6 = </v>
      </c>
      <c r="D256" s="95">
        <f>ReTrans_Origin!D247</f>
        <v>-2636861.537754312</v>
      </c>
      <c r="E256" s="5" t="s">
        <v>167</v>
      </c>
      <c r="F256" s="5" t="s">
        <v>595</v>
      </c>
      <c r="G256" s="68">
        <f>IF(D256="","",ASIN(D258/$J$50))</f>
        <v>0.6585346921509884</v>
      </c>
      <c r="H256" t="s">
        <v>599</v>
      </c>
      <c r="I256" s="68">
        <f>IF(G256="","",DEGREES(G256))</f>
        <v>37.731258523198576</v>
      </c>
      <c r="J256" s="5" t="s">
        <v>1233</v>
      </c>
      <c r="L256" s="6"/>
    </row>
    <row r="257" spans="1:12" ht="12.75">
      <c r="A257" s="4"/>
      <c r="B257" s="5"/>
      <c r="C257" s="5" t="str">
        <f>ReTrans_Origin!C248</f>
        <v>Y_gi_p6 = </v>
      </c>
      <c r="D257" s="95">
        <f>ReTrans_Origin!D248</f>
        <v>-4293103.068456189</v>
      </c>
      <c r="E257" s="5" t="s">
        <v>167</v>
      </c>
      <c r="F257" s="5" t="s">
        <v>510</v>
      </c>
      <c r="G257" s="389">
        <f>IF(D256/($J$50*COS(G256))&gt;=1,0,ACOS(D256/($J$50*COS(G256))))</f>
        <v>2.1215979923377866</v>
      </c>
      <c r="H257" t="s">
        <v>599</v>
      </c>
      <c r="I257" s="68">
        <f>IF(G257="","",DEGREES(G257))</f>
        <v>121.55861078438394</v>
      </c>
      <c r="J257" s="5" t="s">
        <v>1233</v>
      </c>
      <c r="L257" s="6"/>
    </row>
    <row r="258" spans="1:12" ht="12.75">
      <c r="A258" s="4"/>
      <c r="B258" s="5"/>
      <c r="C258" s="5" t="str">
        <f>ReTrans_Origin!C249</f>
        <v>Z_gi_p6 = </v>
      </c>
      <c r="D258" s="95">
        <f>ReTrans_Origin!D249</f>
        <v>3898379.9841881236</v>
      </c>
      <c r="E258" s="5" t="s">
        <v>167</v>
      </c>
      <c r="F258" s="5" t="s">
        <v>423</v>
      </c>
      <c r="G258" s="68">
        <f>IF(D256="","",ASIN(D257/($J$50*COS(G256))))</f>
        <v>-1.0199946612520059</v>
      </c>
      <c r="H258" t="s">
        <v>599</v>
      </c>
      <c r="I258" s="68">
        <f>IF(G258="","",DEGREES(G258))</f>
        <v>-58.44138921561602</v>
      </c>
      <c r="J258" s="5" t="s">
        <v>1233</v>
      </c>
      <c r="L258" s="6"/>
    </row>
    <row r="259" spans="1:12" ht="12.75">
      <c r="A259" s="4"/>
      <c r="B259" s="5"/>
      <c r="C259" s="5"/>
      <c r="D259" s="5"/>
      <c r="E259" s="177"/>
      <c r="F259" s="52"/>
      <c r="G259" s="52"/>
      <c r="H259" s="52"/>
      <c r="I259" s="202"/>
      <c r="J259" s="52"/>
      <c r="K259" s="5"/>
      <c r="L259" s="6"/>
    </row>
    <row r="260" spans="1:12" ht="15.75">
      <c r="A260" s="4"/>
      <c r="B260" s="16" t="s">
        <v>424</v>
      </c>
      <c r="C260" s="5"/>
      <c r="D260" s="5"/>
      <c r="E260" s="5"/>
      <c r="F260" s="5"/>
      <c r="G260" s="5"/>
      <c r="H260" s="5"/>
      <c r="I260" s="202"/>
      <c r="J260" s="52"/>
      <c r="K260" s="5"/>
      <c r="L260" s="6"/>
    </row>
    <row r="261" spans="1:12" ht="12.75">
      <c r="A261" s="4"/>
      <c r="B261" s="5"/>
      <c r="C261" s="5"/>
      <c r="D261" s="5"/>
      <c r="E261" s="5"/>
      <c r="F261" s="22" t="s">
        <v>1265</v>
      </c>
      <c r="G261" s="5"/>
      <c r="H261" s="5"/>
      <c r="I261" s="202"/>
      <c r="J261" s="52"/>
      <c r="K261" s="5"/>
      <c r="L261" s="6"/>
    </row>
    <row r="262" spans="1:12" ht="12.75">
      <c r="A262" s="4"/>
      <c r="B262" s="5"/>
      <c r="C262" s="26" t="s">
        <v>195</v>
      </c>
      <c r="D262" s="68">
        <f>IF(G256="","",G256)</f>
        <v>0.6585346921509884</v>
      </c>
      <c r="E262" t="s">
        <v>599</v>
      </c>
      <c r="F262" s="5"/>
      <c r="G262" s="217">
        <f>IF(G256="","No Earth Intersection",DEGREES(D262))</f>
        <v>37.731258523198576</v>
      </c>
      <c r="H262" s="216"/>
      <c r="I262" s="22" t="s">
        <v>1233</v>
      </c>
      <c r="J262" s="52"/>
      <c r="K262" s="5"/>
      <c r="L262" s="6"/>
    </row>
    <row r="263" spans="1:12" ht="12.75">
      <c r="A263" s="4"/>
      <c r="B263" s="5"/>
      <c r="C263" s="26" t="s">
        <v>96</v>
      </c>
      <c r="D263" s="68">
        <f>IF(G256="","",IF(SIGN(G258)=-1,-G257,G257))</f>
        <v>-2.1215979923377866</v>
      </c>
      <c r="E263" t="s">
        <v>599</v>
      </c>
      <c r="F263" s="5"/>
      <c r="G263" s="217">
        <f>IF(G256="","No Earth Intersection",DEGREES(D263))</f>
        <v>-121.55861078438394</v>
      </c>
      <c r="H263" s="216"/>
      <c r="I263" s="22" t="s">
        <v>1233</v>
      </c>
      <c r="J263" s="52"/>
      <c r="K263" s="5"/>
      <c r="L263" s="6"/>
    </row>
    <row r="264" spans="1:12" ht="12.75">
      <c r="A264" s="4"/>
      <c r="B264" s="5"/>
      <c r="C264" s="5"/>
      <c r="D264" s="5"/>
      <c r="E264" s="177"/>
      <c r="F264" s="52"/>
      <c r="G264" s="52"/>
      <c r="H264" s="52"/>
      <c r="I264" s="202"/>
      <c r="J264" s="52"/>
      <c r="K264" s="5"/>
      <c r="L264" s="6"/>
    </row>
    <row r="265" spans="1:12" ht="13.5" thickBot="1">
      <c r="A265" s="7"/>
      <c r="B265" s="8"/>
      <c r="C265" s="8"/>
      <c r="D265" s="8"/>
      <c r="E265" s="8"/>
      <c r="F265" s="8"/>
      <c r="G265" s="198"/>
      <c r="H265" s="8"/>
      <c r="I265" s="8"/>
      <c r="J265" s="8"/>
      <c r="K265" s="8"/>
      <c r="L265" s="9"/>
    </row>
    <row r="266" ht="13.5" thickBot="1"/>
    <row r="267" spans="1:12" ht="12.75">
      <c r="A267" s="1"/>
      <c r="B267" s="2"/>
      <c r="C267" s="2"/>
      <c r="D267" s="2"/>
      <c r="E267" s="2"/>
      <c r="F267" s="2"/>
      <c r="G267" s="2"/>
      <c r="H267" s="2"/>
      <c r="I267" s="2"/>
      <c r="J267" s="2"/>
      <c r="K267" s="2"/>
      <c r="L267" s="3"/>
    </row>
    <row r="268" spans="1:12" ht="12.75">
      <c r="A268" s="10" t="s">
        <v>1175</v>
      </c>
      <c r="B268" s="5"/>
      <c r="C268" s="5"/>
      <c r="D268" s="5"/>
      <c r="E268" s="5"/>
      <c r="F268" s="5"/>
      <c r="G268" s="5"/>
      <c r="H268" s="5"/>
      <c r="I268" s="5"/>
      <c r="J268" s="5"/>
      <c r="K268" s="5"/>
      <c r="L268" s="6"/>
    </row>
    <row r="269" spans="1:12" ht="12.75">
      <c r="A269" s="4"/>
      <c r="B269" s="5"/>
      <c r="C269" s="5"/>
      <c r="D269" s="5"/>
      <c r="E269" s="5"/>
      <c r="F269" s="5"/>
      <c r="G269" s="5"/>
      <c r="H269" s="5"/>
      <c r="I269" s="5"/>
      <c r="J269" s="5"/>
      <c r="K269" s="5"/>
      <c r="L269" s="6"/>
    </row>
    <row r="270" spans="1:12" ht="12.75">
      <c r="A270" s="4"/>
      <c r="B270" s="5" t="s">
        <v>266</v>
      </c>
      <c r="C270" s="5"/>
      <c r="D270" s="5"/>
      <c r="E270" s="5"/>
      <c r="F270" s="5"/>
      <c r="G270" s="5"/>
      <c r="H270" s="5"/>
      <c r="I270" s="5"/>
      <c r="J270" s="5"/>
      <c r="L270" s="6"/>
    </row>
    <row r="271" spans="1:12" ht="12.75">
      <c r="A271" s="4"/>
      <c r="B271" s="5"/>
      <c r="C271" s="5"/>
      <c r="D271" s="5"/>
      <c r="E271" s="5"/>
      <c r="F271" s="22" t="s">
        <v>515</v>
      </c>
      <c r="G271" s="5"/>
      <c r="H271" s="5"/>
      <c r="I271" s="5"/>
      <c r="J271" s="5"/>
      <c r="L271" s="6"/>
    </row>
    <row r="272" spans="1:12" ht="12.75">
      <c r="A272" s="4"/>
      <c r="B272" s="5"/>
      <c r="C272" s="5" t="str">
        <f>ReTrans_Origin!C263</f>
        <v>X_gi_p7 = </v>
      </c>
      <c r="D272" s="95">
        <f>ReTrans_Origin!D263</f>
        <v>-2622028.578434739</v>
      </c>
      <c r="E272" s="5" t="s">
        <v>167</v>
      </c>
      <c r="F272" s="5" t="s">
        <v>595</v>
      </c>
      <c r="G272" s="68">
        <f>IF(D272="","",ASIN(D274/$J$50))</f>
        <v>0.6696104520536379</v>
      </c>
      <c r="H272" t="s">
        <v>599</v>
      </c>
      <c r="I272" s="68">
        <f>IF(G272="","",DEGREES(G272))</f>
        <v>38.36585282052062</v>
      </c>
      <c r="J272" s="5" t="s">
        <v>1233</v>
      </c>
      <c r="L272" s="6"/>
    </row>
    <row r="273" spans="1:12" ht="12.75">
      <c r="A273" s="4"/>
      <c r="B273" s="5"/>
      <c r="C273" s="5" t="str">
        <f>ReTrans_Origin!C264</f>
        <v>Y_gi_p7 = </v>
      </c>
      <c r="D273" s="95">
        <f>ReTrans_Origin!D264</f>
        <v>-4251170.220453565</v>
      </c>
      <c r="E273" s="5" t="s">
        <v>167</v>
      </c>
      <c r="F273" s="5" t="s">
        <v>510</v>
      </c>
      <c r="G273" s="389">
        <f>IF(D272/($J$50*COS(G272))&gt;=1,0,ACOS(D272/($J$50*COS(G272))))</f>
        <v>2.1234613863671727</v>
      </c>
      <c r="H273" t="s">
        <v>599</v>
      </c>
      <c r="I273" s="68">
        <f>IF(G273="","",DEGREES(G273))</f>
        <v>121.66537539783765</v>
      </c>
      <c r="J273" s="5" t="s">
        <v>1233</v>
      </c>
      <c r="L273" s="6"/>
    </row>
    <row r="274" spans="1:12" ht="12.75">
      <c r="A274" s="4"/>
      <c r="B274" s="5"/>
      <c r="C274" s="5" t="str">
        <f>ReTrans_Origin!C265</f>
        <v>Z_gi_p7 = </v>
      </c>
      <c r="D274" s="95">
        <f>ReTrans_Origin!D265</f>
        <v>3953941.9719306654</v>
      </c>
      <c r="E274" s="5" t="s">
        <v>167</v>
      </c>
      <c r="F274" s="5" t="s">
        <v>423</v>
      </c>
      <c r="G274" s="68">
        <f>IF(D272="","",ASIN(D273/($J$50*COS(G272))))</f>
        <v>-1.018131267222624</v>
      </c>
      <c r="H274" t="s">
        <v>599</v>
      </c>
      <c r="I274" s="68">
        <f>IF(G274="","",DEGREES(G274))</f>
        <v>-58.33462460216256</v>
      </c>
      <c r="J274" s="5" t="s">
        <v>1233</v>
      </c>
      <c r="L274" s="6"/>
    </row>
    <row r="275" spans="1:12" ht="12.75">
      <c r="A275" s="4"/>
      <c r="B275" s="5"/>
      <c r="C275" s="5"/>
      <c r="D275" s="5"/>
      <c r="E275" s="177"/>
      <c r="F275" s="52"/>
      <c r="G275" s="52"/>
      <c r="H275" s="52"/>
      <c r="I275" s="202"/>
      <c r="J275" s="52"/>
      <c r="K275" s="5"/>
      <c r="L275" s="6"/>
    </row>
    <row r="276" spans="1:12" ht="15.75">
      <c r="A276" s="4"/>
      <c r="B276" s="16" t="s">
        <v>424</v>
      </c>
      <c r="C276" s="5"/>
      <c r="D276" s="5"/>
      <c r="E276" s="5"/>
      <c r="F276" s="5"/>
      <c r="G276" s="5"/>
      <c r="H276" s="5"/>
      <c r="I276" s="202"/>
      <c r="J276" s="52"/>
      <c r="K276" s="5"/>
      <c r="L276" s="6"/>
    </row>
    <row r="277" spans="1:12" ht="12.75">
      <c r="A277" s="4"/>
      <c r="B277" s="5"/>
      <c r="C277" s="5"/>
      <c r="D277" s="5"/>
      <c r="E277" s="5"/>
      <c r="F277" s="22" t="s">
        <v>1176</v>
      </c>
      <c r="G277" s="5"/>
      <c r="H277" s="5"/>
      <c r="I277" s="202"/>
      <c r="J277" s="52"/>
      <c r="K277" s="5"/>
      <c r="L277" s="6"/>
    </row>
    <row r="278" spans="1:12" ht="12.75">
      <c r="A278" s="4"/>
      <c r="B278" s="5"/>
      <c r="C278" s="26" t="s">
        <v>195</v>
      </c>
      <c r="D278" s="68">
        <f>IF(G272="","",G272)</f>
        <v>0.6696104520536379</v>
      </c>
      <c r="E278" t="s">
        <v>599</v>
      </c>
      <c r="F278" s="5"/>
      <c r="G278" s="217">
        <f>IF(G272="","No Earth Intersection",DEGREES(D278))</f>
        <v>38.36585282052062</v>
      </c>
      <c r="H278" s="216"/>
      <c r="I278" s="22" t="s">
        <v>1233</v>
      </c>
      <c r="J278" s="52"/>
      <c r="K278" s="5"/>
      <c r="L278" s="6"/>
    </row>
    <row r="279" spans="1:12" ht="12.75">
      <c r="A279" s="4"/>
      <c r="B279" s="5"/>
      <c r="C279" s="26" t="s">
        <v>96</v>
      </c>
      <c r="D279" s="68">
        <f>IF(G272="","",IF(SIGN(G274)=-1,-G273,G273))</f>
        <v>-2.1234613863671727</v>
      </c>
      <c r="E279" t="s">
        <v>599</v>
      </c>
      <c r="F279" s="5"/>
      <c r="G279" s="217">
        <f>IF(G272="","No Earth Intersection",DEGREES(D279))</f>
        <v>-121.66537539783765</v>
      </c>
      <c r="H279" s="216"/>
      <c r="I279" s="22" t="s">
        <v>1233</v>
      </c>
      <c r="J279" s="52"/>
      <c r="K279" s="5"/>
      <c r="L279" s="6"/>
    </row>
    <row r="280" spans="1:12" ht="12.75">
      <c r="A280" s="4"/>
      <c r="B280" s="5"/>
      <c r="C280" s="5"/>
      <c r="D280" s="5"/>
      <c r="E280" s="177"/>
      <c r="F280" s="52"/>
      <c r="G280" s="52"/>
      <c r="H280" s="52"/>
      <c r="I280" s="202"/>
      <c r="J280" s="52"/>
      <c r="K280" s="5"/>
      <c r="L280" s="6"/>
    </row>
    <row r="281" spans="1:12" ht="13.5" thickBot="1">
      <c r="A281" s="7"/>
      <c r="B281" s="8"/>
      <c r="C281" s="8"/>
      <c r="D281" s="8"/>
      <c r="E281" s="8"/>
      <c r="F281" s="8"/>
      <c r="G281" s="198"/>
      <c r="H281" s="8"/>
      <c r="I281" s="8"/>
      <c r="J281" s="8"/>
      <c r="K281" s="8"/>
      <c r="L281" s="9"/>
    </row>
    <row r="282" ht="13.5" thickBot="1"/>
    <row r="283" spans="1:12" ht="12.75">
      <c r="A283" s="1"/>
      <c r="B283" s="2"/>
      <c r="C283" s="2"/>
      <c r="D283" s="2"/>
      <c r="E283" s="2"/>
      <c r="F283" s="2"/>
      <c r="G283" s="2"/>
      <c r="H283" s="2"/>
      <c r="I283" s="2"/>
      <c r="J283" s="2"/>
      <c r="K283" s="2"/>
      <c r="L283" s="3"/>
    </row>
    <row r="284" spans="1:12" ht="12.75">
      <c r="A284" s="10" t="s">
        <v>108</v>
      </c>
      <c r="B284" s="5"/>
      <c r="C284" s="5"/>
      <c r="D284" s="5"/>
      <c r="E284" s="5"/>
      <c r="F284" s="5"/>
      <c r="G284" s="5"/>
      <c r="H284" s="5"/>
      <c r="I284" s="5"/>
      <c r="J284" s="5"/>
      <c r="K284" s="5"/>
      <c r="L284" s="6"/>
    </row>
    <row r="285" spans="1:12" ht="12.75">
      <c r="A285" s="4"/>
      <c r="B285" s="5"/>
      <c r="C285" s="5"/>
      <c r="D285" s="5"/>
      <c r="E285" s="5"/>
      <c r="F285" s="5"/>
      <c r="G285" s="5"/>
      <c r="H285" s="5"/>
      <c r="I285" s="5"/>
      <c r="J285" s="5"/>
      <c r="K285" s="5"/>
      <c r="L285" s="6"/>
    </row>
    <row r="286" spans="1:12" ht="12.75">
      <c r="A286" s="4"/>
      <c r="B286" s="5" t="s">
        <v>266</v>
      </c>
      <c r="C286" s="5"/>
      <c r="D286" s="5"/>
      <c r="E286" s="5"/>
      <c r="F286" s="5"/>
      <c r="G286" s="5"/>
      <c r="H286" s="5"/>
      <c r="I286" s="5"/>
      <c r="J286" s="5"/>
      <c r="L286" s="6"/>
    </row>
    <row r="287" spans="1:12" ht="12.75">
      <c r="A287" s="4"/>
      <c r="B287" s="5"/>
      <c r="C287" s="5"/>
      <c r="D287" s="5"/>
      <c r="E287" s="5"/>
      <c r="F287" s="22" t="s">
        <v>515</v>
      </c>
      <c r="G287" s="5"/>
      <c r="H287" s="5"/>
      <c r="I287" s="5"/>
      <c r="J287" s="5"/>
      <c r="L287" s="6"/>
    </row>
    <row r="288" spans="1:12" ht="12.75">
      <c r="A288" s="4"/>
      <c r="B288" s="5"/>
      <c r="C288" s="5" t="str">
        <f>ReTrans_Origin!C279</f>
        <v>X_gi_p8 = </v>
      </c>
      <c r="D288" s="95">
        <f>ReTrans_Origin!D279</f>
        <v>-2608644.1908139396</v>
      </c>
      <c r="E288" s="5" t="s">
        <v>167</v>
      </c>
      <c r="F288" s="5" t="s">
        <v>595</v>
      </c>
      <c r="G288" s="68">
        <f>IF(D288="","",ASIN(D290/$J$50))</f>
        <v>0.6793489979754167</v>
      </c>
      <c r="H288" t="s">
        <v>599</v>
      </c>
      <c r="I288" s="68">
        <f>IF(G288="","",DEGREES(G288))</f>
        <v>38.923830400432884</v>
      </c>
      <c r="J288" s="5" t="s">
        <v>1233</v>
      </c>
      <c r="L288" s="6"/>
    </row>
    <row r="289" spans="1:12" ht="12.75">
      <c r="A289" s="4"/>
      <c r="B289" s="5"/>
      <c r="C289" s="5" t="str">
        <f>ReTrans_Origin!C280</f>
        <v>Y_gi_p8 = </v>
      </c>
      <c r="D289" s="95">
        <f>ReTrans_Origin!D280</f>
        <v>-4213899.24313146</v>
      </c>
      <c r="E289" s="5" t="s">
        <v>167</v>
      </c>
      <c r="F289" s="5" t="s">
        <v>510</v>
      </c>
      <c r="G289" s="389">
        <f>IF(D288/($J$50*COS(G288))&gt;=1,0,ACOS(D288/($J$50*COS(G288))))</f>
        <v>2.125110667908492</v>
      </c>
      <c r="H289" t="s">
        <v>599</v>
      </c>
      <c r="I289" s="68">
        <f>IF(G289="","",DEGREES(G289))</f>
        <v>121.75987226938406</v>
      </c>
      <c r="J289" s="5" t="s">
        <v>1233</v>
      </c>
      <c r="L289" s="6"/>
    </row>
    <row r="290" spans="1:12" ht="12.75">
      <c r="A290" s="4"/>
      <c r="B290" s="5"/>
      <c r="C290" s="5" t="str">
        <f>ReTrans_Origin!C281</f>
        <v>Z_gi_p8 = </v>
      </c>
      <c r="D290" s="95">
        <f>ReTrans_Origin!D281</f>
        <v>4002395.2679943386</v>
      </c>
      <c r="E290" s="5" t="s">
        <v>167</v>
      </c>
      <c r="F290" s="5" t="s">
        <v>423</v>
      </c>
      <c r="G290" s="68">
        <f>IF(D288="","",ASIN(D289/($J$50*COS(G288))))</f>
        <v>-1.0164819856813043</v>
      </c>
      <c r="H290" t="s">
        <v>599</v>
      </c>
      <c r="I290" s="68">
        <f>IF(G290="","",DEGREES(G290))</f>
        <v>-58.240127730616116</v>
      </c>
      <c r="J290" s="5" t="s">
        <v>1233</v>
      </c>
      <c r="L290" s="6"/>
    </row>
    <row r="291" spans="1:12" ht="12.75">
      <c r="A291" s="4"/>
      <c r="B291" s="5"/>
      <c r="C291" s="5"/>
      <c r="D291" s="5"/>
      <c r="E291" s="177"/>
      <c r="F291" s="52"/>
      <c r="G291" s="52"/>
      <c r="H291" s="52"/>
      <c r="I291" s="202"/>
      <c r="J291" s="52"/>
      <c r="K291" s="5"/>
      <c r="L291" s="6"/>
    </row>
    <row r="292" spans="1:12" ht="15.75">
      <c r="A292" s="4"/>
      <c r="B292" s="16" t="s">
        <v>424</v>
      </c>
      <c r="C292" s="5"/>
      <c r="D292" s="5"/>
      <c r="E292" s="5"/>
      <c r="F292" s="5"/>
      <c r="G292" s="5"/>
      <c r="H292" s="5"/>
      <c r="I292" s="202"/>
      <c r="J292" s="52"/>
      <c r="K292" s="5"/>
      <c r="L292" s="6"/>
    </row>
    <row r="293" spans="1:12" ht="12.75">
      <c r="A293" s="4"/>
      <c r="B293" s="5"/>
      <c r="C293" s="5"/>
      <c r="D293" s="5"/>
      <c r="E293" s="5"/>
      <c r="F293" s="22" t="s">
        <v>109</v>
      </c>
      <c r="G293" s="5"/>
      <c r="H293" s="5"/>
      <c r="I293" s="202"/>
      <c r="J293" s="52"/>
      <c r="K293" s="5"/>
      <c r="L293" s="6"/>
    </row>
    <row r="294" spans="1:12" ht="12.75">
      <c r="A294" s="4"/>
      <c r="B294" s="5"/>
      <c r="C294" s="26" t="s">
        <v>195</v>
      </c>
      <c r="D294" s="68">
        <f>IF(G288="","",G288)</f>
        <v>0.6793489979754167</v>
      </c>
      <c r="E294" t="s">
        <v>599</v>
      </c>
      <c r="F294" s="5"/>
      <c r="G294" s="217">
        <f>IF(G288="","No Earth Intersection",DEGREES(D294))</f>
        <v>38.923830400432884</v>
      </c>
      <c r="H294" s="216"/>
      <c r="I294" s="22" t="s">
        <v>1233</v>
      </c>
      <c r="J294" s="52"/>
      <c r="K294" s="5"/>
      <c r="L294" s="6"/>
    </row>
    <row r="295" spans="1:12" ht="12.75">
      <c r="A295" s="4"/>
      <c r="B295" s="5"/>
      <c r="C295" s="26" t="s">
        <v>96</v>
      </c>
      <c r="D295" s="68">
        <f>IF(G288="","",IF(SIGN(G290)=-1,-G289,G289))</f>
        <v>-2.125110667908492</v>
      </c>
      <c r="E295" t="s">
        <v>599</v>
      </c>
      <c r="F295" s="5"/>
      <c r="G295" s="217">
        <f>IF(G288="","No Earth Intersection",DEGREES(D295))</f>
        <v>-121.75987226938406</v>
      </c>
      <c r="H295" s="216"/>
      <c r="I295" s="22" t="s">
        <v>1233</v>
      </c>
      <c r="J295" s="52"/>
      <c r="K295" s="5"/>
      <c r="L295" s="6"/>
    </row>
    <row r="296" spans="1:12" ht="12.75">
      <c r="A296" s="4"/>
      <c r="B296" s="5"/>
      <c r="C296" s="5"/>
      <c r="D296" s="5"/>
      <c r="E296" s="177"/>
      <c r="F296" s="52"/>
      <c r="G296" s="52"/>
      <c r="H296" s="52"/>
      <c r="I296" s="202"/>
      <c r="J296" s="52"/>
      <c r="K296" s="5"/>
      <c r="L296" s="6"/>
    </row>
    <row r="297" spans="1:12" ht="13.5" thickBot="1">
      <c r="A297" s="7"/>
      <c r="B297" s="8"/>
      <c r="C297" s="8"/>
      <c r="D297" s="8"/>
      <c r="E297" s="8"/>
      <c r="F297" s="8"/>
      <c r="G297" s="198"/>
      <c r="H297" s="8"/>
      <c r="I297" s="8"/>
      <c r="J297" s="8"/>
      <c r="K297" s="8"/>
      <c r="L297" s="9"/>
    </row>
    <row r="298" ht="13.5" thickBot="1"/>
    <row r="299" spans="1:12" ht="12.75">
      <c r="A299" s="1"/>
      <c r="B299" s="2"/>
      <c r="C299" s="2"/>
      <c r="D299" s="2"/>
      <c r="E299" s="2"/>
      <c r="F299" s="2"/>
      <c r="G299" s="2"/>
      <c r="H299" s="2"/>
      <c r="I299" s="2"/>
      <c r="J299" s="2"/>
      <c r="K299" s="2"/>
      <c r="L299" s="3"/>
    </row>
    <row r="300" spans="1:12" ht="12.75">
      <c r="A300" s="10" t="s">
        <v>110</v>
      </c>
      <c r="B300" s="5"/>
      <c r="C300" s="5"/>
      <c r="D300" s="5"/>
      <c r="E300" s="5"/>
      <c r="F300" s="5"/>
      <c r="G300" s="5"/>
      <c r="H300" s="5"/>
      <c r="I300" s="5"/>
      <c r="J300" s="5"/>
      <c r="K300" s="5"/>
      <c r="L300" s="6"/>
    </row>
    <row r="301" spans="1:12" ht="12.75">
      <c r="A301" s="10"/>
      <c r="B301" s="5"/>
      <c r="C301" s="5"/>
      <c r="D301" s="5"/>
      <c r="E301" s="5"/>
      <c r="F301" s="5"/>
      <c r="G301" s="5"/>
      <c r="H301" s="5"/>
      <c r="I301" s="5"/>
      <c r="J301" s="5"/>
      <c r="K301" s="5"/>
      <c r="L301" s="6"/>
    </row>
    <row r="302" spans="1:12" ht="12.75">
      <c r="A302" s="10"/>
      <c r="B302" s="5" t="s">
        <v>144</v>
      </c>
      <c r="C302" s="5"/>
      <c r="D302" s="5"/>
      <c r="E302" s="5"/>
      <c r="F302" s="5"/>
      <c r="G302" s="5"/>
      <c r="H302" s="5"/>
      <c r="I302" s="5"/>
      <c r="J302" s="5"/>
      <c r="K302" s="5"/>
      <c r="L302" s="6"/>
    </row>
    <row r="303" spans="1:12" ht="12.75">
      <c r="A303" s="10"/>
      <c r="B303" s="5" t="s">
        <v>264</v>
      </c>
      <c r="C303" s="5"/>
      <c r="D303" s="5"/>
      <c r="E303" s="5"/>
      <c r="F303" s="5"/>
      <c r="G303" s="5"/>
      <c r="H303" s="5"/>
      <c r="I303" s="5"/>
      <c r="J303" s="5"/>
      <c r="K303" s="5"/>
      <c r="L303" s="6"/>
    </row>
    <row r="304" spans="1:12" ht="12.75">
      <c r="A304" s="10"/>
      <c r="B304" s="5"/>
      <c r="C304" s="5"/>
      <c r="D304" s="5"/>
      <c r="E304" s="5"/>
      <c r="F304" s="5"/>
      <c r="G304" s="5"/>
      <c r="H304" s="5"/>
      <c r="I304" s="5"/>
      <c r="J304" s="5"/>
      <c r="K304" s="5"/>
      <c r="L304" s="6"/>
    </row>
    <row r="305" spans="1:12" ht="12.75">
      <c r="A305" s="4"/>
      <c r="B305" s="5" t="s">
        <v>149</v>
      </c>
      <c r="C305" s="5"/>
      <c r="D305" s="5"/>
      <c r="E305" s="5"/>
      <c r="F305" s="5"/>
      <c r="G305" s="5"/>
      <c r="H305" s="5"/>
      <c r="I305" s="5"/>
      <c r="J305" s="5"/>
      <c r="K305" s="5"/>
      <c r="L305" s="6"/>
    </row>
    <row r="306" spans="1:12" ht="12.75">
      <c r="A306" s="4"/>
      <c r="B306" s="5"/>
      <c r="C306" s="5"/>
      <c r="D306" s="5"/>
      <c r="E306" s="5"/>
      <c r="F306" s="5"/>
      <c r="G306" s="5"/>
      <c r="H306" s="5"/>
      <c r="I306" s="5"/>
      <c r="J306" s="5"/>
      <c r="K306" s="5"/>
      <c r="L306" s="6"/>
    </row>
    <row r="307" spans="1:12" ht="18">
      <c r="A307" s="4"/>
      <c r="B307" s="5"/>
      <c r="C307" s="218" t="s">
        <v>1337</v>
      </c>
      <c r="D307" s="218"/>
      <c r="E307" s="218"/>
      <c r="F307" s="218"/>
      <c r="G307" s="5"/>
      <c r="H307" s="5"/>
      <c r="I307" s="5"/>
      <c r="J307" s="5"/>
      <c r="K307" s="5"/>
      <c r="L307" s="6"/>
    </row>
    <row r="308" spans="1:12" ht="12.75">
      <c r="A308" s="4"/>
      <c r="B308" s="5"/>
      <c r="C308" s="126" t="s">
        <v>1338</v>
      </c>
      <c r="D308" s="5"/>
      <c r="E308" s="5"/>
      <c r="F308" s="5"/>
      <c r="G308" s="5"/>
      <c r="H308" s="5"/>
      <c r="I308" s="5"/>
      <c r="J308" s="5"/>
      <c r="K308" s="5"/>
      <c r="L308" s="6"/>
    </row>
    <row r="309" spans="1:12" ht="12.75">
      <c r="A309" s="4"/>
      <c r="B309" s="5"/>
      <c r="C309" s="22" t="s">
        <v>1547</v>
      </c>
      <c r="D309" s="22" t="s">
        <v>1348</v>
      </c>
      <c r="E309" s="22"/>
      <c r="F309" s="22" t="s">
        <v>150</v>
      </c>
      <c r="G309" s="5"/>
      <c r="H309" s="5"/>
      <c r="I309" s="5"/>
      <c r="J309" s="5"/>
      <c r="K309" s="5"/>
      <c r="L309" s="6"/>
    </row>
    <row r="310" spans="1:12" ht="12.75">
      <c r="A310" s="4"/>
      <c r="B310" s="264" t="s">
        <v>151</v>
      </c>
      <c r="C310" s="5"/>
      <c r="D310" s="5"/>
      <c r="E310" s="5"/>
      <c r="F310" s="5"/>
      <c r="G310" s="110" t="s">
        <v>152</v>
      </c>
      <c r="H310" s="5"/>
      <c r="I310" s="5"/>
      <c r="J310" s="5"/>
      <c r="K310" s="5"/>
      <c r="L310" s="6"/>
    </row>
    <row r="311" spans="1:12" ht="12.75">
      <c r="A311" s="4"/>
      <c r="B311" s="5"/>
      <c r="C311" s="5"/>
      <c r="D311" s="5"/>
      <c r="E311" s="261" t="s">
        <v>153</v>
      </c>
      <c r="F311" s="5"/>
      <c r="G311" s="5"/>
      <c r="H311" s="5"/>
      <c r="I311" s="5"/>
      <c r="J311" s="5"/>
      <c r="K311" s="5"/>
      <c r="L311" s="6"/>
    </row>
    <row r="312" spans="1:12" ht="12.75">
      <c r="A312" s="4"/>
      <c r="B312" s="5"/>
      <c r="C312" s="5"/>
      <c r="D312" s="5"/>
      <c r="E312" s="262"/>
      <c r="F312" s="5"/>
      <c r="G312" s="5"/>
      <c r="H312" s="5"/>
      <c r="I312" s="5"/>
      <c r="J312" s="5"/>
      <c r="K312" s="5"/>
      <c r="L312" s="6"/>
    </row>
    <row r="313" spans="1:12" ht="12.75">
      <c r="A313" s="4"/>
      <c r="B313" s="5"/>
      <c r="C313" s="5"/>
      <c r="D313" s="5"/>
      <c r="E313" s="5"/>
      <c r="F313" s="5"/>
      <c r="G313" s="5"/>
      <c r="H313" s="5"/>
      <c r="I313" s="5"/>
      <c r="J313" s="5"/>
      <c r="K313" s="5"/>
      <c r="L313" s="6"/>
    </row>
    <row r="314" spans="1:12" ht="12.75">
      <c r="A314" s="4"/>
      <c r="B314" s="5"/>
      <c r="C314" s="5"/>
      <c r="D314" s="5"/>
      <c r="E314" s="5"/>
      <c r="F314" s="5"/>
      <c r="G314" s="5"/>
      <c r="H314" s="5"/>
      <c r="I314" s="5"/>
      <c r="J314" s="5"/>
      <c r="K314" s="5"/>
      <c r="L314" s="6"/>
    </row>
    <row r="315" spans="1:12" ht="12.75">
      <c r="A315" s="4"/>
      <c r="B315" s="5"/>
      <c r="C315" s="5"/>
      <c r="D315" s="5"/>
      <c r="E315" s="5"/>
      <c r="F315" s="5"/>
      <c r="G315" s="5"/>
      <c r="H315" s="5"/>
      <c r="I315" s="5"/>
      <c r="J315" s="5"/>
      <c r="K315" s="5"/>
      <c r="L315" s="6"/>
    </row>
    <row r="316" spans="1:12" ht="12.75">
      <c r="A316" s="4"/>
      <c r="B316" s="5"/>
      <c r="C316" s="5"/>
      <c r="D316" s="5"/>
      <c r="E316" s="5"/>
      <c r="F316" s="5"/>
      <c r="G316" s="5"/>
      <c r="H316" s="5"/>
      <c r="I316" s="5"/>
      <c r="J316" s="5"/>
      <c r="K316" s="5"/>
      <c r="L316" s="6"/>
    </row>
    <row r="317" spans="1:12" ht="12.75">
      <c r="A317" s="4"/>
      <c r="B317" s="5"/>
      <c r="C317" s="5"/>
      <c r="D317" s="5"/>
      <c r="E317" s="5"/>
      <c r="F317" s="5"/>
      <c r="G317" s="5"/>
      <c r="H317" s="5"/>
      <c r="I317" s="5"/>
      <c r="J317" s="5"/>
      <c r="K317" s="5"/>
      <c r="L317" s="6"/>
    </row>
    <row r="318" spans="1:12" ht="12.75">
      <c r="A318" s="4"/>
      <c r="B318" s="5"/>
      <c r="C318" s="5"/>
      <c r="D318" s="5"/>
      <c r="E318" s="126"/>
      <c r="F318" s="5"/>
      <c r="G318" s="5"/>
      <c r="H318" s="5"/>
      <c r="I318" s="5"/>
      <c r="J318" s="5"/>
      <c r="K318" s="5"/>
      <c r="L318" s="6"/>
    </row>
    <row r="319" spans="1:12" ht="12.75">
      <c r="A319" s="4"/>
      <c r="B319" s="264" t="s">
        <v>154</v>
      </c>
      <c r="C319" s="5"/>
      <c r="D319" s="5"/>
      <c r="E319" s="110" t="s">
        <v>245</v>
      </c>
      <c r="F319" s="22"/>
      <c r="G319" s="110" t="s">
        <v>155</v>
      </c>
      <c r="H319" s="5"/>
      <c r="I319" s="5"/>
      <c r="J319" s="5"/>
      <c r="K319" s="5"/>
      <c r="L319" s="6"/>
    </row>
    <row r="320" spans="1:12" ht="12.75">
      <c r="A320" s="4"/>
      <c r="B320" s="5"/>
      <c r="C320" s="5"/>
      <c r="D320" s="5"/>
      <c r="E320" s="126" t="s">
        <v>1266</v>
      </c>
      <c r="F320" s="5"/>
      <c r="G320" s="5"/>
      <c r="H320" s="5"/>
      <c r="I320" s="5"/>
      <c r="J320" s="5"/>
      <c r="K320" s="5"/>
      <c r="L320" s="6"/>
    </row>
    <row r="321" spans="1:12" ht="12.75">
      <c r="A321" s="4"/>
      <c r="B321" s="5"/>
      <c r="C321" s="5"/>
      <c r="D321" s="5"/>
      <c r="E321" s="261"/>
      <c r="F321" s="5"/>
      <c r="G321" s="5"/>
      <c r="H321" s="5"/>
      <c r="I321" s="5"/>
      <c r="J321" s="5"/>
      <c r="K321" s="5"/>
      <c r="L321" s="6"/>
    </row>
    <row r="322" spans="1:12" ht="12.75">
      <c r="A322" s="4"/>
      <c r="B322" s="5"/>
      <c r="C322" s="5"/>
      <c r="D322" s="5"/>
      <c r="E322" s="262"/>
      <c r="F322" s="5"/>
      <c r="G322" s="5"/>
      <c r="H322" s="5"/>
      <c r="I322" s="5"/>
      <c r="J322" s="5"/>
      <c r="K322" s="5"/>
      <c r="L322" s="6"/>
    </row>
    <row r="323" spans="1:12" ht="12.75">
      <c r="A323" s="4"/>
      <c r="B323" s="5"/>
      <c r="C323" s="5"/>
      <c r="D323" s="5"/>
      <c r="E323" s="5"/>
      <c r="F323" s="5"/>
      <c r="G323" s="5"/>
      <c r="H323" s="5"/>
      <c r="I323" s="5"/>
      <c r="J323" s="5"/>
      <c r="K323" s="5"/>
      <c r="L323" s="6"/>
    </row>
    <row r="324" spans="1:12" ht="12.75">
      <c r="A324" s="4"/>
      <c r="B324" s="5"/>
      <c r="C324" s="5"/>
      <c r="D324" s="5"/>
      <c r="E324" s="5"/>
      <c r="F324" s="5"/>
      <c r="G324" s="5"/>
      <c r="H324" s="5"/>
      <c r="I324" s="5"/>
      <c r="J324" s="5"/>
      <c r="K324" s="5"/>
      <c r="L324" s="6"/>
    </row>
    <row r="325" spans="1:12" ht="12.75">
      <c r="A325" s="4"/>
      <c r="B325" s="5"/>
      <c r="C325" s="5"/>
      <c r="D325" s="5"/>
      <c r="E325" s="5"/>
      <c r="F325" s="5"/>
      <c r="G325" s="5"/>
      <c r="H325" s="5"/>
      <c r="I325" s="5"/>
      <c r="J325" s="5"/>
      <c r="K325" s="5"/>
      <c r="L325" s="6"/>
    </row>
    <row r="326" spans="1:12" ht="12.75">
      <c r="A326" s="4"/>
      <c r="B326" s="5"/>
      <c r="C326" s="5"/>
      <c r="D326" s="5"/>
      <c r="E326" s="261"/>
      <c r="F326" s="5"/>
      <c r="G326" s="5"/>
      <c r="H326" s="5"/>
      <c r="I326" s="5"/>
      <c r="J326" s="5"/>
      <c r="K326" s="5"/>
      <c r="L326" s="6"/>
    </row>
    <row r="327" spans="1:12" ht="12.75">
      <c r="A327" s="4"/>
      <c r="B327" s="5"/>
      <c r="C327" s="5"/>
      <c r="D327" s="5"/>
      <c r="E327" s="262"/>
      <c r="F327" s="5"/>
      <c r="G327" s="5"/>
      <c r="H327" s="5"/>
      <c r="I327" s="5"/>
      <c r="J327" s="5"/>
      <c r="K327" s="5"/>
      <c r="L327" s="6"/>
    </row>
    <row r="328" spans="1:12" ht="12.75">
      <c r="A328" s="4"/>
      <c r="B328" s="264" t="s">
        <v>156</v>
      </c>
      <c r="C328" s="5"/>
      <c r="D328" s="5"/>
      <c r="E328" s="5"/>
      <c r="F328" s="5"/>
      <c r="G328" s="110" t="s">
        <v>157</v>
      </c>
      <c r="H328" s="5"/>
      <c r="I328" s="5"/>
      <c r="J328" s="5"/>
      <c r="K328" s="5"/>
      <c r="L328" s="6"/>
    </row>
    <row r="329" spans="1:12" ht="12.75">
      <c r="A329" s="4"/>
      <c r="B329" s="5"/>
      <c r="C329" s="22" t="s">
        <v>1339</v>
      </c>
      <c r="D329" s="147" t="s">
        <v>1339</v>
      </c>
      <c r="E329" s="261"/>
      <c r="F329" s="147" t="s">
        <v>1339</v>
      </c>
      <c r="G329" s="5"/>
      <c r="H329" s="5"/>
      <c r="I329" s="5"/>
      <c r="J329" s="5"/>
      <c r="K329" s="5"/>
      <c r="L329" s="6"/>
    </row>
    <row r="330" spans="1:12" ht="12.75">
      <c r="A330" s="4"/>
      <c r="B330" s="5"/>
      <c r="C330" s="22" t="s">
        <v>1340</v>
      </c>
      <c r="D330" s="147" t="s">
        <v>1341</v>
      </c>
      <c r="E330" s="262"/>
      <c r="F330" s="147" t="s">
        <v>1342</v>
      </c>
      <c r="G330" s="5"/>
      <c r="H330" s="5"/>
      <c r="I330" s="5"/>
      <c r="J330" s="5"/>
      <c r="K330" s="5"/>
      <c r="L330" s="6"/>
    </row>
    <row r="331" spans="1:12" ht="12.75">
      <c r="A331" s="4"/>
      <c r="B331" s="5"/>
      <c r="C331" s="5"/>
      <c r="D331" s="264" t="s">
        <v>158</v>
      </c>
      <c r="E331" s="5"/>
      <c r="F331" s="5"/>
      <c r="G331" s="5"/>
      <c r="H331" s="5"/>
      <c r="I331" s="5"/>
      <c r="J331" s="5"/>
      <c r="K331" s="5"/>
      <c r="L331" s="6"/>
    </row>
    <row r="332" spans="1:12" ht="13.5" thickBot="1">
      <c r="A332" s="7"/>
      <c r="B332" s="8"/>
      <c r="C332" s="8"/>
      <c r="D332" s="8"/>
      <c r="E332" s="8"/>
      <c r="F332" s="8"/>
      <c r="G332" s="8"/>
      <c r="H332" s="8"/>
      <c r="I332" s="8"/>
      <c r="J332" s="8"/>
      <c r="K332" s="8"/>
      <c r="L332" s="9"/>
    </row>
    <row r="334" spans="2:5" ht="15.75">
      <c r="B334" s="225" t="s">
        <v>655</v>
      </c>
      <c r="C334" s="226"/>
      <c r="D334" s="226"/>
      <c r="E334" s="226"/>
    </row>
    <row r="335" ht="13.5" thickBot="1"/>
    <row r="336" spans="3:5" ht="15.75">
      <c r="C336" s="219" t="s">
        <v>656</v>
      </c>
      <c r="D336" s="219" t="s">
        <v>657</v>
      </c>
      <c r="E336" s="223" t="s">
        <v>656</v>
      </c>
    </row>
    <row r="337" spans="3:5" ht="16.5" thickBot="1">
      <c r="C337" s="220" t="s">
        <v>658</v>
      </c>
      <c r="D337" s="228"/>
      <c r="E337" s="224" t="s">
        <v>659</v>
      </c>
    </row>
    <row r="338" spans="3:5" ht="15.75">
      <c r="C338" s="229">
        <v>1</v>
      </c>
      <c r="D338" s="286" t="str">
        <f>IF(I126="None","None","Error")</f>
        <v>None</v>
      </c>
      <c r="E338" s="237">
        <f>IF(D338="None",0,1)</f>
        <v>0</v>
      </c>
    </row>
    <row r="339" spans="3:5" ht="15.75">
      <c r="C339" s="221">
        <v>2</v>
      </c>
      <c r="D339" s="286" t="str">
        <f>IF(I150="None","None","Error")</f>
        <v>None</v>
      </c>
      <c r="E339" s="285">
        <f>IF(D339="None",0,1)</f>
        <v>0</v>
      </c>
    </row>
    <row r="340" spans="3:5" ht="15.75">
      <c r="C340" s="221">
        <v>3</v>
      </c>
      <c r="D340" s="232"/>
      <c r="E340" s="238"/>
    </row>
    <row r="341" spans="3:5" ht="15.75">
      <c r="C341" s="221">
        <v>4</v>
      </c>
      <c r="D341" s="232"/>
      <c r="E341" s="238"/>
    </row>
    <row r="342" spans="3:5" ht="16.5" thickBot="1">
      <c r="C342" s="230">
        <v>5</v>
      </c>
      <c r="D342" s="233"/>
      <c r="E342" s="239"/>
    </row>
    <row r="343" ht="13.5" thickBot="1"/>
    <row r="344" spans="3:5" ht="16.5" thickBot="1">
      <c r="C344" s="234" t="s">
        <v>660</v>
      </c>
      <c r="D344" s="235"/>
      <c r="E344" s="236">
        <f>SUM(E338:E342)</f>
        <v>0</v>
      </c>
    </row>
  </sheetData>
  <sheetProtection password="CFF3" sheet="1" objects="1" scenarios="1"/>
  <printOptions/>
  <pageMargins left="0.75" right="0.42" top="0.5" bottom="1" header="0.5" footer="0.5"/>
  <pageSetup orientation="portrait" paperSize="9" scale="58"/>
  <headerFooter alignWithMargins="0">
    <oddFooter>&amp;C&amp;A&amp;RPage &amp;P</oddFooter>
  </headerFooter>
  <drawing r:id="rId1"/>
</worksheet>
</file>

<file path=xl/worksheets/sheet12.xml><?xml version="1.0" encoding="utf-8"?>
<worksheet xmlns="http://schemas.openxmlformats.org/spreadsheetml/2006/main" xmlns:r="http://schemas.openxmlformats.org/officeDocument/2006/relationships">
  <sheetPr codeName="Sheet10"/>
  <dimension ref="A1:N304"/>
  <sheetViews>
    <sheetView workbookViewId="0" topLeftCell="A1">
      <selection activeCell="A1" sqref="A1"/>
    </sheetView>
  </sheetViews>
  <sheetFormatPr defaultColWidth="9.00390625" defaultRowHeight="12.75"/>
  <cols>
    <col min="1" max="1" width="5.125" style="0" customWidth="1"/>
    <col min="2" max="2" width="9.625" style="0" customWidth="1"/>
    <col min="3" max="3" width="12.875" style="0" customWidth="1"/>
    <col min="4" max="4" width="14.875" style="0" customWidth="1"/>
    <col min="5" max="5" width="13.375" style="0" customWidth="1"/>
    <col min="6" max="6" width="12.375" style="0" customWidth="1"/>
    <col min="7" max="7" width="12.625" style="0" customWidth="1"/>
    <col min="8" max="10" width="11.375" style="0" customWidth="1"/>
    <col min="11" max="11" width="12.125" style="0" customWidth="1"/>
    <col min="12" max="16384" width="11.375" style="0" customWidth="1"/>
  </cols>
  <sheetData>
    <row r="1" spans="1:13" ht="23.25">
      <c r="A1" s="458" t="s">
        <v>343</v>
      </c>
      <c r="B1" s="298"/>
      <c r="C1" s="298"/>
      <c r="D1" s="298"/>
      <c r="E1" s="298"/>
      <c r="F1" s="298"/>
      <c r="G1" s="298"/>
      <c r="H1" s="298"/>
      <c r="I1" s="298"/>
      <c r="J1" s="298"/>
      <c r="K1" s="298"/>
      <c r="L1" s="298"/>
      <c r="M1" s="298"/>
    </row>
    <row r="2" spans="1:11" ht="15" customHeight="1">
      <c r="A2" s="472"/>
      <c r="B2" s="202"/>
      <c r="C2" s="202"/>
      <c r="D2" s="202"/>
      <c r="E2" s="202"/>
      <c r="F2" s="202"/>
      <c r="G2" s="202"/>
      <c r="H2" s="202"/>
      <c r="I2" s="202"/>
      <c r="J2" s="202"/>
      <c r="K2" s="202"/>
    </row>
    <row r="3" spans="1:14" ht="18" customHeight="1">
      <c r="A3" s="458"/>
      <c r="B3" s="491" t="s">
        <v>950</v>
      </c>
      <c r="C3" s="298"/>
      <c r="D3" s="298"/>
      <c r="E3" s="298"/>
      <c r="F3" s="298"/>
      <c r="G3" s="298"/>
      <c r="H3" s="298"/>
      <c r="I3" s="298"/>
      <c r="J3" s="298"/>
      <c r="K3" s="298"/>
      <c r="L3" s="298"/>
      <c r="M3" s="298"/>
      <c r="N3" s="298"/>
    </row>
    <row r="4" spans="1:14" ht="21" customHeight="1">
      <c r="A4" s="458"/>
      <c r="B4" s="492" t="s">
        <v>947</v>
      </c>
      <c r="C4" s="298"/>
      <c r="D4" s="298"/>
      <c r="E4" s="298"/>
      <c r="F4" s="298"/>
      <c r="G4" s="298"/>
      <c r="H4" s="298"/>
      <c r="I4" s="298"/>
      <c r="J4" s="298"/>
      <c r="K4" s="298"/>
      <c r="L4" s="298"/>
      <c r="M4" s="298"/>
      <c r="N4" s="298"/>
    </row>
    <row r="5" spans="1:14" ht="15" customHeight="1">
      <c r="A5" s="458"/>
      <c r="B5" s="298"/>
      <c r="C5" s="298"/>
      <c r="D5" s="298"/>
      <c r="E5" s="298"/>
      <c r="F5" s="298"/>
      <c r="G5" s="298"/>
      <c r="H5" s="298"/>
      <c r="I5" s="298"/>
      <c r="J5" s="298"/>
      <c r="K5" s="298"/>
      <c r="L5" s="298"/>
      <c r="M5" s="298"/>
      <c r="N5" s="298"/>
    </row>
    <row r="6" spans="1:11" ht="15" customHeight="1">
      <c r="A6" s="472"/>
      <c r="B6" s="202"/>
      <c r="C6" s="202"/>
      <c r="D6" s="202"/>
      <c r="E6" s="202"/>
      <c r="F6" s="202"/>
      <c r="G6" s="202"/>
      <c r="H6" s="202"/>
      <c r="I6" s="202"/>
      <c r="J6" s="202"/>
      <c r="K6" s="202"/>
    </row>
    <row r="7" ht="15.75">
      <c r="A7" s="11" t="s">
        <v>1320</v>
      </c>
    </row>
    <row r="9" ht="15.75">
      <c r="A9" s="11" t="s">
        <v>160</v>
      </c>
    </row>
    <row r="10" ht="13.5" thickBot="1"/>
    <row r="11" spans="1:13" ht="12.75">
      <c r="A11" s="1"/>
      <c r="B11" s="2"/>
      <c r="C11" s="2"/>
      <c r="D11" s="2"/>
      <c r="E11" s="2"/>
      <c r="F11" s="2"/>
      <c r="G11" s="2"/>
      <c r="H11" s="2"/>
      <c r="I11" s="2"/>
      <c r="J11" s="2"/>
      <c r="K11" s="2"/>
      <c r="L11" s="2"/>
      <c r="M11" s="3"/>
    </row>
    <row r="12" spans="1:13" ht="12.75">
      <c r="A12" s="4"/>
      <c r="B12" s="5" t="s">
        <v>1055</v>
      </c>
      <c r="C12" s="5"/>
      <c r="D12" s="5"/>
      <c r="E12" s="5"/>
      <c r="F12" s="5"/>
      <c r="G12" s="5"/>
      <c r="H12" s="5"/>
      <c r="I12" s="5"/>
      <c r="J12" s="5"/>
      <c r="K12" s="5"/>
      <c r="L12" s="5"/>
      <c r="M12" s="6"/>
    </row>
    <row r="13" spans="1:13" ht="12.75">
      <c r="A13" s="4"/>
      <c r="B13" s="5" t="s">
        <v>1116</v>
      </c>
      <c r="C13" s="5"/>
      <c r="D13" s="5"/>
      <c r="E13" s="5"/>
      <c r="F13" s="5"/>
      <c r="G13" s="5"/>
      <c r="H13" s="5"/>
      <c r="I13" s="5"/>
      <c r="J13" s="5"/>
      <c r="K13" s="5"/>
      <c r="L13" s="5"/>
      <c r="M13" s="6"/>
    </row>
    <row r="14" spans="1:13" ht="12.75">
      <c r="A14" s="4"/>
      <c r="B14" s="5" t="s">
        <v>1117</v>
      </c>
      <c r="C14" s="5"/>
      <c r="D14" s="5"/>
      <c r="E14" s="5"/>
      <c r="F14" s="5"/>
      <c r="G14" s="5"/>
      <c r="H14" s="5"/>
      <c r="I14" s="5"/>
      <c r="J14" s="5"/>
      <c r="K14" s="5"/>
      <c r="L14" s="5"/>
      <c r="M14" s="6"/>
    </row>
    <row r="15" spans="1:13" ht="12.75">
      <c r="A15" s="4"/>
      <c r="B15" s="5"/>
      <c r="C15" s="5"/>
      <c r="D15" s="5"/>
      <c r="E15" s="5"/>
      <c r="F15" s="5"/>
      <c r="G15" s="5"/>
      <c r="H15" s="5"/>
      <c r="I15" s="5"/>
      <c r="J15" s="5"/>
      <c r="K15" s="5"/>
      <c r="L15" s="5"/>
      <c r="M15" s="6"/>
    </row>
    <row r="16" spans="1:13" ht="12.75">
      <c r="A16" s="4"/>
      <c r="B16" s="5"/>
      <c r="C16" s="5"/>
      <c r="D16" s="5"/>
      <c r="E16" s="5"/>
      <c r="F16" s="5"/>
      <c r="G16" s="5"/>
      <c r="H16" s="5"/>
      <c r="I16" s="5"/>
      <c r="J16" s="5"/>
      <c r="K16" s="5"/>
      <c r="L16" s="5"/>
      <c r="M16" s="6"/>
    </row>
    <row r="17" spans="1:13" ht="12.75">
      <c r="A17" s="4"/>
      <c r="B17" s="5"/>
      <c r="C17" s="5"/>
      <c r="D17" s="5"/>
      <c r="E17" s="5"/>
      <c r="F17" s="5"/>
      <c r="G17" s="22" t="s">
        <v>632</v>
      </c>
      <c r="H17" s="5"/>
      <c r="I17" s="5"/>
      <c r="J17" s="5"/>
      <c r="K17" s="5"/>
      <c r="L17" s="5"/>
      <c r="M17" s="6"/>
    </row>
    <row r="18" spans="1:13" ht="12.75">
      <c r="A18" s="4"/>
      <c r="B18" s="5"/>
      <c r="C18" s="5"/>
      <c r="D18" s="5"/>
      <c r="E18" s="5"/>
      <c r="F18" s="5"/>
      <c r="G18" s="5"/>
      <c r="H18" s="5"/>
      <c r="I18" s="5"/>
      <c r="J18" s="5"/>
      <c r="K18" s="5"/>
      <c r="L18" s="5"/>
      <c r="M18" s="6"/>
    </row>
    <row r="19" spans="1:13" ht="12.75">
      <c r="A19" s="4"/>
      <c r="B19" s="5"/>
      <c r="C19" s="5"/>
      <c r="D19" s="5"/>
      <c r="E19" s="5"/>
      <c r="F19" s="5"/>
      <c r="G19" s="5"/>
      <c r="H19" s="5"/>
      <c r="I19" s="5"/>
      <c r="J19" s="5"/>
      <c r="K19" s="5"/>
      <c r="L19" s="5"/>
      <c r="M19" s="6"/>
    </row>
    <row r="20" spans="1:13" ht="12.75">
      <c r="A20" s="4"/>
      <c r="B20" s="5"/>
      <c r="C20" s="5"/>
      <c r="D20" s="5"/>
      <c r="E20" s="5"/>
      <c r="F20" s="5"/>
      <c r="G20" s="5"/>
      <c r="H20" s="5"/>
      <c r="I20" s="5"/>
      <c r="J20" s="5"/>
      <c r="K20" s="5"/>
      <c r="L20" s="5"/>
      <c r="M20" s="6"/>
    </row>
    <row r="21" spans="1:13" ht="12.75">
      <c r="A21" s="4"/>
      <c r="B21" s="5"/>
      <c r="C21" s="5"/>
      <c r="D21" s="5"/>
      <c r="E21" s="5"/>
      <c r="F21" s="5"/>
      <c r="G21" s="46" t="s">
        <v>633</v>
      </c>
      <c r="H21" s="5"/>
      <c r="I21" s="5"/>
      <c r="J21" s="5"/>
      <c r="K21" s="5"/>
      <c r="L21" s="5"/>
      <c r="M21" s="6"/>
    </row>
    <row r="22" spans="1:13" ht="12.75">
      <c r="A22" s="4"/>
      <c r="B22" s="5"/>
      <c r="C22" s="5"/>
      <c r="D22" s="5"/>
      <c r="E22" s="5"/>
      <c r="F22" s="5"/>
      <c r="G22" s="5"/>
      <c r="H22" s="5"/>
      <c r="I22" s="5"/>
      <c r="J22" s="5"/>
      <c r="K22" s="5"/>
      <c r="L22" s="5"/>
      <c r="M22" s="6"/>
    </row>
    <row r="23" spans="1:13" ht="12.75">
      <c r="A23" s="4"/>
      <c r="B23" s="5"/>
      <c r="C23" s="5"/>
      <c r="D23" s="5" t="s">
        <v>138</v>
      </c>
      <c r="E23" s="5"/>
      <c r="F23" s="5"/>
      <c r="G23" s="5"/>
      <c r="H23" s="5"/>
      <c r="I23" s="5"/>
      <c r="J23" s="5"/>
      <c r="K23" s="5"/>
      <c r="L23" s="5"/>
      <c r="M23" s="6"/>
    </row>
    <row r="24" spans="1:13" ht="12.75">
      <c r="A24" s="4"/>
      <c r="B24" s="5"/>
      <c r="C24" s="5"/>
      <c r="D24" s="5"/>
      <c r="E24" s="5"/>
      <c r="F24" s="5"/>
      <c r="G24" s="5" t="s">
        <v>139</v>
      </c>
      <c r="H24" s="5"/>
      <c r="I24" s="5"/>
      <c r="J24" s="5"/>
      <c r="K24" s="5"/>
      <c r="L24" s="5"/>
      <c r="M24" s="6"/>
    </row>
    <row r="25" spans="1:13" ht="12.75">
      <c r="A25" s="4"/>
      <c r="B25" s="5"/>
      <c r="C25" s="5"/>
      <c r="D25" s="5"/>
      <c r="E25" s="5"/>
      <c r="F25" s="5"/>
      <c r="G25" s="5"/>
      <c r="H25" s="5"/>
      <c r="I25" s="5"/>
      <c r="J25" s="5"/>
      <c r="K25" s="5"/>
      <c r="L25" s="5"/>
      <c r="M25" s="6"/>
    </row>
    <row r="26" spans="1:13" ht="12.75">
      <c r="A26" s="4"/>
      <c r="B26" s="5"/>
      <c r="C26" s="5"/>
      <c r="D26" s="5"/>
      <c r="E26" s="5"/>
      <c r="F26" s="5"/>
      <c r="G26" s="5"/>
      <c r="H26" s="5"/>
      <c r="I26" s="5"/>
      <c r="J26" s="5"/>
      <c r="K26" s="5"/>
      <c r="L26" s="5"/>
      <c r="M26" s="6"/>
    </row>
    <row r="27" spans="1:13" ht="12.75">
      <c r="A27" s="4"/>
      <c r="B27" s="5"/>
      <c r="C27" s="5"/>
      <c r="D27" s="5"/>
      <c r="E27" s="5"/>
      <c r="F27" s="5"/>
      <c r="G27" s="5"/>
      <c r="H27" s="5"/>
      <c r="I27" s="5"/>
      <c r="J27" s="5"/>
      <c r="K27" s="5"/>
      <c r="L27" s="5"/>
      <c r="M27" s="6"/>
    </row>
    <row r="28" spans="1:13" ht="12.75">
      <c r="A28" s="4"/>
      <c r="B28" s="5"/>
      <c r="C28" s="5"/>
      <c r="D28" s="5"/>
      <c r="E28" s="22" t="s">
        <v>140</v>
      </c>
      <c r="F28" s="5"/>
      <c r="G28" s="5"/>
      <c r="H28" s="5"/>
      <c r="I28" s="5"/>
      <c r="J28" s="5"/>
      <c r="K28" s="5"/>
      <c r="L28" s="5"/>
      <c r="M28" s="6"/>
    </row>
    <row r="29" spans="1:13" ht="12.75">
      <c r="A29" s="4"/>
      <c r="B29" s="5"/>
      <c r="C29" s="5"/>
      <c r="D29" s="5"/>
      <c r="E29" s="5"/>
      <c r="F29" s="5"/>
      <c r="G29" s="5"/>
      <c r="H29" s="137" t="s">
        <v>1118</v>
      </c>
      <c r="I29" s="5"/>
      <c r="J29" s="5"/>
      <c r="K29" s="5"/>
      <c r="L29" s="5"/>
      <c r="M29" s="6"/>
    </row>
    <row r="30" spans="1:13" ht="12.75">
      <c r="A30" s="4"/>
      <c r="B30" s="5"/>
      <c r="C30" s="5"/>
      <c r="D30" s="5"/>
      <c r="E30" s="5"/>
      <c r="F30" s="5"/>
      <c r="G30" s="5"/>
      <c r="H30" s="137" t="s">
        <v>1119</v>
      </c>
      <c r="I30" s="5"/>
      <c r="J30" s="5"/>
      <c r="K30" s="5"/>
      <c r="L30" s="5"/>
      <c r="M30" s="6"/>
    </row>
    <row r="31" spans="1:13" ht="12.75">
      <c r="A31" s="4"/>
      <c r="B31" s="5"/>
      <c r="C31" s="5"/>
      <c r="D31" s="5"/>
      <c r="E31" s="5"/>
      <c r="F31" s="5"/>
      <c r="G31" s="5"/>
      <c r="H31" s="137" t="s">
        <v>649</v>
      </c>
      <c r="I31" s="5"/>
      <c r="J31" s="5"/>
      <c r="K31" s="5"/>
      <c r="L31" s="5"/>
      <c r="M31" s="6"/>
    </row>
    <row r="32" spans="1:13" ht="12.75">
      <c r="A32" s="4"/>
      <c r="B32" s="5"/>
      <c r="C32" s="5"/>
      <c r="D32" s="5"/>
      <c r="E32" s="5"/>
      <c r="F32" s="5"/>
      <c r="G32" s="5"/>
      <c r="H32" s="5"/>
      <c r="I32" s="5"/>
      <c r="J32" s="5"/>
      <c r="K32" s="5"/>
      <c r="L32" s="5"/>
      <c r="M32" s="6"/>
    </row>
    <row r="33" spans="1:13" ht="12.75">
      <c r="A33" s="4"/>
      <c r="B33" s="5"/>
      <c r="C33" s="5"/>
      <c r="D33" s="5"/>
      <c r="E33" s="5"/>
      <c r="F33" s="5"/>
      <c r="G33" s="5"/>
      <c r="H33" s="5"/>
      <c r="I33" s="5"/>
      <c r="J33" s="5"/>
      <c r="K33" s="5"/>
      <c r="L33" s="5"/>
      <c r="M33" s="6"/>
    </row>
    <row r="34" spans="1:13" ht="12.75">
      <c r="A34" s="4"/>
      <c r="B34" s="5"/>
      <c r="C34" s="5"/>
      <c r="D34" s="5"/>
      <c r="E34" s="5"/>
      <c r="F34" s="5"/>
      <c r="G34" s="5"/>
      <c r="H34" s="5"/>
      <c r="I34" s="5"/>
      <c r="J34" s="5"/>
      <c r="K34" s="5"/>
      <c r="L34" s="5"/>
      <c r="M34" s="6"/>
    </row>
    <row r="35" spans="1:13" ht="12.75">
      <c r="A35" s="4"/>
      <c r="B35" s="5"/>
      <c r="C35" s="5"/>
      <c r="D35" s="5"/>
      <c r="E35" s="5"/>
      <c r="F35" s="5"/>
      <c r="G35" s="5"/>
      <c r="H35" s="5"/>
      <c r="I35" s="5"/>
      <c r="J35" s="5"/>
      <c r="K35" s="5"/>
      <c r="L35" s="5"/>
      <c r="M35" s="6"/>
    </row>
    <row r="36" spans="1:13" ht="12.75">
      <c r="A36" s="4"/>
      <c r="B36" s="5"/>
      <c r="C36" s="5"/>
      <c r="D36" s="5"/>
      <c r="E36" s="5"/>
      <c r="F36" s="5"/>
      <c r="G36" s="5"/>
      <c r="H36" s="5"/>
      <c r="I36" s="5"/>
      <c r="J36" s="5"/>
      <c r="K36" s="5"/>
      <c r="L36" s="5"/>
      <c r="M36" s="6"/>
    </row>
    <row r="37" spans="1:13" ht="12.75">
      <c r="A37" s="4"/>
      <c r="B37" s="5"/>
      <c r="C37" s="5"/>
      <c r="D37" s="5"/>
      <c r="E37" s="5"/>
      <c r="F37" s="5"/>
      <c r="G37" s="5"/>
      <c r="H37" s="5"/>
      <c r="I37" s="5"/>
      <c r="J37" s="5"/>
      <c r="K37" s="5"/>
      <c r="L37" s="5"/>
      <c r="M37" s="6"/>
    </row>
    <row r="38" spans="1:13" ht="12.75">
      <c r="A38" s="4"/>
      <c r="B38" s="5"/>
      <c r="C38" s="5"/>
      <c r="D38" s="5"/>
      <c r="E38" s="5"/>
      <c r="F38" s="5"/>
      <c r="G38" s="5"/>
      <c r="H38" s="5"/>
      <c r="I38" s="5"/>
      <c r="J38" s="5"/>
      <c r="K38" s="5"/>
      <c r="L38" s="5"/>
      <c r="M38" s="6"/>
    </row>
    <row r="39" spans="1:13" ht="12.75">
      <c r="A39" s="4"/>
      <c r="B39" s="5"/>
      <c r="C39" s="5"/>
      <c r="D39" s="5"/>
      <c r="E39" s="5"/>
      <c r="F39" s="5"/>
      <c r="G39" s="5"/>
      <c r="H39" s="5"/>
      <c r="I39" s="5"/>
      <c r="J39" s="5"/>
      <c r="K39" s="5"/>
      <c r="L39" s="5"/>
      <c r="M39" s="6"/>
    </row>
    <row r="40" spans="1:13" ht="12.75">
      <c r="A40" s="4"/>
      <c r="B40" s="5"/>
      <c r="C40" s="5"/>
      <c r="D40" s="5"/>
      <c r="E40" s="5" t="s">
        <v>141</v>
      </c>
      <c r="F40" s="5"/>
      <c r="G40" s="5"/>
      <c r="H40" s="22" t="s">
        <v>1309</v>
      </c>
      <c r="I40" s="5"/>
      <c r="J40" s="5"/>
      <c r="K40" s="5"/>
      <c r="L40" s="5"/>
      <c r="M40" s="6"/>
    </row>
    <row r="41" spans="1:13" ht="12.75">
      <c r="A41" s="4"/>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c r="B44" s="5"/>
      <c r="C44" s="5"/>
      <c r="D44" s="5"/>
      <c r="E44" s="5"/>
      <c r="F44" s="5"/>
      <c r="G44" s="5"/>
      <c r="H44" s="5"/>
      <c r="I44" s="5"/>
      <c r="J44" s="5"/>
      <c r="K44" s="5"/>
      <c r="L44" s="5"/>
      <c r="M44" s="6"/>
    </row>
    <row r="45" spans="1:13" ht="12.75">
      <c r="A45" s="4"/>
      <c r="B45" s="5"/>
      <c r="C45" s="5"/>
      <c r="D45" s="5"/>
      <c r="E45" s="5"/>
      <c r="F45" s="5"/>
      <c r="G45" s="5"/>
      <c r="H45" s="5"/>
      <c r="I45" s="5"/>
      <c r="J45" s="5"/>
      <c r="K45" s="5"/>
      <c r="L45" s="5"/>
      <c r="M45" s="6"/>
    </row>
    <row r="46" spans="1:13" ht="12.75">
      <c r="A46" s="4"/>
      <c r="B46" s="5"/>
      <c r="C46" s="5"/>
      <c r="D46" s="5"/>
      <c r="E46" s="5"/>
      <c r="F46" s="5"/>
      <c r="G46" s="5"/>
      <c r="H46" s="5"/>
      <c r="I46" s="5"/>
      <c r="J46" s="5"/>
      <c r="K46" s="5"/>
      <c r="L46" s="5"/>
      <c r="M46" s="6"/>
    </row>
    <row r="47" spans="1:13" ht="12.75">
      <c r="A47" s="4"/>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c r="C49" s="5"/>
      <c r="D49" s="5"/>
      <c r="E49" s="5"/>
      <c r="F49" s="5"/>
      <c r="G49" s="5"/>
      <c r="H49" s="5"/>
      <c r="I49" s="5"/>
      <c r="J49" s="5"/>
      <c r="K49" s="5"/>
      <c r="L49" s="5"/>
      <c r="M49" s="6"/>
    </row>
    <row r="50" spans="1:13" ht="12.75">
      <c r="A50" s="4"/>
      <c r="B50" s="5" t="s">
        <v>553</v>
      </c>
      <c r="C50" s="5"/>
      <c r="D50" s="5"/>
      <c r="E50" s="5"/>
      <c r="F50" s="5"/>
      <c r="G50" s="5"/>
      <c r="H50" s="5"/>
      <c r="I50" s="5"/>
      <c r="J50" s="5"/>
      <c r="K50" s="5"/>
      <c r="L50" s="5"/>
      <c r="M50" s="6"/>
    </row>
    <row r="51" spans="1:13" ht="12.75">
      <c r="A51" s="4"/>
      <c r="B51" s="5" t="s">
        <v>95</v>
      </c>
      <c r="C51" s="5"/>
      <c r="D51" s="5"/>
      <c r="E51" s="5"/>
      <c r="F51" s="5"/>
      <c r="G51" s="5"/>
      <c r="H51" s="5"/>
      <c r="I51" s="5"/>
      <c r="J51" s="5"/>
      <c r="K51" s="5"/>
      <c r="L51" s="5"/>
      <c r="M51" s="6"/>
    </row>
    <row r="52" spans="1:13" ht="12.75">
      <c r="A52" s="4"/>
      <c r="B52" s="5" t="s">
        <v>201</v>
      </c>
      <c r="C52" s="5"/>
      <c r="D52" s="5"/>
      <c r="E52" s="5"/>
      <c r="F52" s="5"/>
      <c r="G52" s="5"/>
      <c r="H52" s="5"/>
      <c r="I52" s="5"/>
      <c r="J52" s="5"/>
      <c r="K52" s="5"/>
      <c r="L52" s="5"/>
      <c r="M52" s="6"/>
    </row>
    <row r="53" spans="1:13" ht="12.75">
      <c r="A53" s="4"/>
      <c r="B53" s="5"/>
      <c r="C53" s="5"/>
      <c r="D53" s="5"/>
      <c r="E53" s="5"/>
      <c r="F53" s="5"/>
      <c r="G53" s="5"/>
      <c r="H53" s="5"/>
      <c r="I53" s="5"/>
      <c r="J53" s="5"/>
      <c r="K53" s="5"/>
      <c r="L53" s="5"/>
      <c r="M53" s="6"/>
    </row>
    <row r="54" spans="1:13" ht="12.75">
      <c r="A54" s="4"/>
      <c r="B54" s="5"/>
      <c r="C54" s="22" t="s">
        <v>1168</v>
      </c>
      <c r="D54" s="5"/>
      <c r="E54" s="5"/>
      <c r="F54" s="5"/>
      <c r="G54" s="5"/>
      <c r="H54" s="5"/>
      <c r="I54" s="5"/>
      <c r="J54" s="5"/>
      <c r="K54" s="5"/>
      <c r="L54" s="5"/>
      <c r="M54" s="6"/>
    </row>
    <row r="55" spans="1:13" ht="12.75">
      <c r="A55" s="4"/>
      <c r="B55" s="5"/>
      <c r="C55" s="5"/>
      <c r="D55" s="5"/>
      <c r="E55" s="5"/>
      <c r="F55" s="5"/>
      <c r="G55" s="5"/>
      <c r="H55" s="5"/>
      <c r="I55" s="5"/>
      <c r="J55" s="5"/>
      <c r="K55" s="5"/>
      <c r="L55" s="5"/>
      <c r="M55" s="6"/>
    </row>
    <row r="56" spans="1:13" ht="12.75">
      <c r="A56" s="4"/>
      <c r="B56" s="5"/>
      <c r="C56" s="5"/>
      <c r="D56" s="5"/>
      <c r="E56" s="5"/>
      <c r="F56" s="5"/>
      <c r="G56" s="5"/>
      <c r="H56" s="5"/>
      <c r="I56" s="5"/>
      <c r="J56" s="5"/>
      <c r="K56" s="5"/>
      <c r="L56" s="5"/>
      <c r="M56" s="6"/>
    </row>
    <row r="57" spans="1:13" ht="12.75">
      <c r="A57" s="4"/>
      <c r="B57" s="5"/>
      <c r="C57" s="5"/>
      <c r="D57" s="5"/>
      <c r="E57" s="5"/>
      <c r="F57" s="5"/>
      <c r="G57" s="5"/>
      <c r="H57" s="5"/>
      <c r="I57" s="5"/>
      <c r="J57" s="5"/>
      <c r="K57" s="5"/>
      <c r="L57" s="5"/>
      <c r="M57" s="6"/>
    </row>
    <row r="58" spans="1:13" ht="12.75">
      <c r="A58" s="4"/>
      <c r="B58" s="5"/>
      <c r="C58" s="5"/>
      <c r="D58" s="5"/>
      <c r="E58" s="5"/>
      <c r="F58" s="5"/>
      <c r="G58" s="5"/>
      <c r="H58" s="5"/>
      <c r="I58" s="5"/>
      <c r="J58" s="5"/>
      <c r="K58" s="5"/>
      <c r="L58" s="5"/>
      <c r="M58" s="6"/>
    </row>
    <row r="59" spans="1:13" ht="12.75">
      <c r="A59" s="4"/>
      <c r="B59" s="5"/>
      <c r="C59" s="5"/>
      <c r="D59" s="5"/>
      <c r="E59" s="5"/>
      <c r="F59" s="5"/>
      <c r="G59" s="5"/>
      <c r="H59" s="5"/>
      <c r="I59" s="5"/>
      <c r="J59" s="5"/>
      <c r="K59" s="5"/>
      <c r="L59" s="5"/>
      <c r="M59" s="6"/>
    </row>
    <row r="60" spans="1:13" ht="12.75">
      <c r="A60" s="4"/>
      <c r="B60" s="5"/>
      <c r="C60" s="5"/>
      <c r="D60" s="5"/>
      <c r="E60" s="5"/>
      <c r="F60" s="5"/>
      <c r="G60" s="5"/>
      <c r="H60" s="5"/>
      <c r="I60" s="5"/>
      <c r="J60" s="5"/>
      <c r="K60" s="5"/>
      <c r="L60" s="5"/>
      <c r="M60" s="6"/>
    </row>
    <row r="61" spans="1:13" ht="12.75">
      <c r="A61" s="4"/>
      <c r="B61" s="5"/>
      <c r="C61" s="5"/>
      <c r="D61" s="5"/>
      <c r="E61" s="5"/>
      <c r="F61" s="5"/>
      <c r="G61" s="5"/>
      <c r="H61" s="5"/>
      <c r="I61" s="5"/>
      <c r="J61" s="5"/>
      <c r="K61" s="5"/>
      <c r="L61" s="5"/>
      <c r="M61" s="6"/>
    </row>
    <row r="62" spans="1:13" ht="12.75">
      <c r="A62" s="4"/>
      <c r="B62" s="5"/>
      <c r="C62" s="5"/>
      <c r="D62" s="5"/>
      <c r="E62" s="5"/>
      <c r="F62" s="5"/>
      <c r="G62" s="5"/>
      <c r="H62" s="5"/>
      <c r="I62" s="5"/>
      <c r="J62" s="5"/>
      <c r="K62" s="5"/>
      <c r="L62" s="5"/>
      <c r="M62" s="6"/>
    </row>
    <row r="63" spans="1:13" ht="12.75">
      <c r="A63" s="4"/>
      <c r="B63" s="5"/>
      <c r="C63" s="5"/>
      <c r="D63" s="5"/>
      <c r="E63" s="5"/>
      <c r="F63" s="5"/>
      <c r="G63" s="5"/>
      <c r="H63" s="5"/>
      <c r="I63" s="5"/>
      <c r="J63" s="5"/>
      <c r="K63" s="5"/>
      <c r="L63" s="5" t="s">
        <v>1436</v>
      </c>
      <c r="M63" s="6"/>
    </row>
    <row r="64" spans="1:13" ht="12.75">
      <c r="A64" s="4"/>
      <c r="B64" s="5"/>
      <c r="C64" s="5"/>
      <c r="D64" s="5"/>
      <c r="E64" s="5"/>
      <c r="F64" s="5"/>
      <c r="G64" s="5"/>
      <c r="H64" s="5"/>
      <c r="I64" s="5"/>
      <c r="J64" s="5"/>
      <c r="K64" s="5"/>
      <c r="L64" s="5"/>
      <c r="M64" s="6"/>
    </row>
    <row r="65" spans="1:13" ht="12.75">
      <c r="A65" s="4"/>
      <c r="B65" s="5"/>
      <c r="C65" s="5"/>
      <c r="D65" s="5"/>
      <c r="E65" s="5"/>
      <c r="F65" s="5"/>
      <c r="G65" s="5"/>
      <c r="H65" s="5"/>
      <c r="I65" s="5"/>
      <c r="J65" s="5"/>
      <c r="K65" s="5"/>
      <c r="L65" s="5"/>
      <c r="M65" s="6"/>
    </row>
    <row r="66" spans="1:13" ht="12.75">
      <c r="A66" s="4"/>
      <c r="B66" s="5"/>
      <c r="C66" s="5"/>
      <c r="D66" s="5"/>
      <c r="E66" s="5"/>
      <c r="F66" s="5"/>
      <c r="G66" s="5"/>
      <c r="H66" s="5"/>
      <c r="I66" s="5"/>
      <c r="J66" s="5"/>
      <c r="K66" s="5"/>
      <c r="L66" s="5"/>
      <c r="M66" s="6"/>
    </row>
    <row r="67" spans="1:13" ht="12.75">
      <c r="A67" s="4"/>
      <c r="B67" s="5"/>
      <c r="C67" s="5"/>
      <c r="D67" s="5"/>
      <c r="E67" s="5"/>
      <c r="F67" s="5"/>
      <c r="G67" s="5"/>
      <c r="H67" s="5"/>
      <c r="I67" s="5"/>
      <c r="J67" s="5"/>
      <c r="K67" s="5"/>
      <c r="L67" s="5"/>
      <c r="M67" s="6"/>
    </row>
    <row r="68" spans="1:13" ht="12.75">
      <c r="A68" s="4"/>
      <c r="B68" s="5"/>
      <c r="C68" s="5"/>
      <c r="D68" s="5"/>
      <c r="E68" s="5"/>
      <c r="F68" s="5"/>
      <c r="G68" s="5"/>
      <c r="H68" s="5" t="s">
        <v>1053</v>
      </c>
      <c r="I68" s="5"/>
      <c r="J68" s="5"/>
      <c r="K68" s="5" t="s">
        <v>1054</v>
      </c>
      <c r="L68" s="5"/>
      <c r="M68" s="6"/>
    </row>
    <row r="69" spans="1:13" ht="12.75">
      <c r="A69" s="4"/>
      <c r="B69" s="5"/>
      <c r="C69" s="5"/>
      <c r="D69" s="5"/>
      <c r="E69" s="5"/>
      <c r="F69" s="5"/>
      <c r="G69" s="5"/>
      <c r="H69" s="5" t="s">
        <v>1163</v>
      </c>
      <c r="I69" s="5"/>
      <c r="J69" s="5"/>
      <c r="K69" s="5" t="s">
        <v>1164</v>
      </c>
      <c r="L69" s="5"/>
      <c r="M69" s="6"/>
    </row>
    <row r="70" spans="1:13" ht="12.75">
      <c r="A70" s="4"/>
      <c r="B70" s="5"/>
      <c r="C70" s="5"/>
      <c r="D70" s="5"/>
      <c r="E70" s="5"/>
      <c r="F70" s="5"/>
      <c r="G70" s="5"/>
      <c r="H70" s="5"/>
      <c r="I70" s="5"/>
      <c r="J70" s="5"/>
      <c r="K70" s="5"/>
      <c r="L70" s="5"/>
      <c r="M70" s="6"/>
    </row>
    <row r="71" spans="1:13" ht="12.75">
      <c r="A71" s="4"/>
      <c r="B71" s="5"/>
      <c r="C71" s="5"/>
      <c r="D71" s="5"/>
      <c r="E71" s="5"/>
      <c r="F71" s="5"/>
      <c r="G71" s="5"/>
      <c r="H71" s="5"/>
      <c r="I71" s="5"/>
      <c r="J71" s="5"/>
      <c r="K71" s="5"/>
      <c r="L71" s="5"/>
      <c r="M71" s="6"/>
    </row>
    <row r="72" spans="1:13" ht="12.75">
      <c r="A72" s="4"/>
      <c r="B72" s="5"/>
      <c r="C72" s="5"/>
      <c r="D72" s="5"/>
      <c r="E72" s="5"/>
      <c r="F72" s="5"/>
      <c r="G72" s="5"/>
      <c r="H72" s="5"/>
      <c r="I72" s="5"/>
      <c r="K72" s="5" t="s">
        <v>274</v>
      </c>
      <c r="L72" s="5"/>
      <c r="M72" s="6"/>
    </row>
    <row r="73" spans="1:13" ht="12.75">
      <c r="A73" s="4"/>
      <c r="B73" s="5"/>
      <c r="C73" s="5"/>
      <c r="D73" s="5"/>
      <c r="E73" s="5"/>
      <c r="F73" s="5"/>
      <c r="G73" s="5"/>
      <c r="H73" s="5"/>
      <c r="I73" s="5"/>
      <c r="K73" s="188">
        <f>SPH_REC!F196</f>
        <v>6370332.740665482</v>
      </c>
      <c r="L73" s="5" t="s">
        <v>167</v>
      </c>
      <c r="M73" s="6"/>
    </row>
    <row r="74" spans="1:13" ht="12.75">
      <c r="A74" s="4"/>
      <c r="B74" s="5"/>
      <c r="C74" s="5"/>
      <c r="D74" s="5"/>
      <c r="E74" s="5"/>
      <c r="F74" s="5"/>
      <c r="G74" s="5"/>
      <c r="H74" s="5"/>
      <c r="I74" s="5"/>
      <c r="J74" s="5"/>
      <c r="K74" s="5"/>
      <c r="L74" s="5"/>
      <c r="M74" s="6"/>
    </row>
    <row r="75" spans="1:13" ht="12.75">
      <c r="A75" s="4"/>
      <c r="B75" s="5"/>
      <c r="C75" s="5"/>
      <c r="D75" s="5"/>
      <c r="E75" s="5"/>
      <c r="F75" s="5"/>
      <c r="G75" s="5"/>
      <c r="H75" s="5"/>
      <c r="I75" s="5"/>
      <c r="J75" s="5"/>
      <c r="K75" s="5"/>
      <c r="L75" s="5"/>
      <c r="M75" s="6"/>
    </row>
    <row r="76" spans="1:13" ht="12.75">
      <c r="A76" s="4"/>
      <c r="B76" s="5"/>
      <c r="C76" s="5"/>
      <c r="D76" s="5"/>
      <c r="E76" s="5"/>
      <c r="F76" s="5"/>
      <c r="G76" s="5"/>
      <c r="H76" s="5"/>
      <c r="I76" s="5"/>
      <c r="J76" s="5"/>
      <c r="K76" s="5"/>
      <c r="L76" s="5"/>
      <c r="M76" s="6"/>
    </row>
    <row r="77" spans="1:13" ht="12.75">
      <c r="A77" s="4"/>
      <c r="B77" s="5"/>
      <c r="C77" s="5"/>
      <c r="D77" s="5"/>
      <c r="E77" s="5"/>
      <c r="F77" s="5"/>
      <c r="G77" s="5"/>
      <c r="H77" s="5"/>
      <c r="I77" s="5"/>
      <c r="J77" s="5"/>
      <c r="K77" s="5"/>
      <c r="L77" s="5"/>
      <c r="M77" s="6"/>
    </row>
    <row r="78" spans="1:13" ht="12.75">
      <c r="A78" s="4"/>
      <c r="B78" s="5"/>
      <c r="C78" s="5"/>
      <c r="D78" s="5"/>
      <c r="E78" s="5"/>
      <c r="F78" s="5"/>
      <c r="G78" s="5"/>
      <c r="H78" s="5"/>
      <c r="I78" s="5"/>
      <c r="J78" s="5" t="s">
        <v>1165</v>
      </c>
      <c r="K78" s="5"/>
      <c r="L78" s="5"/>
      <c r="M78" s="6"/>
    </row>
    <row r="79" spans="1:13" ht="12.75">
      <c r="A79" s="4"/>
      <c r="B79" s="5"/>
      <c r="C79" s="5"/>
      <c r="D79" s="5"/>
      <c r="E79" s="5"/>
      <c r="F79" s="5"/>
      <c r="G79" s="5"/>
      <c r="H79" s="5"/>
      <c r="I79" s="5"/>
      <c r="J79" s="5" t="s">
        <v>1552</v>
      </c>
      <c r="K79" s="5"/>
      <c r="L79" s="5"/>
      <c r="M79" s="6"/>
    </row>
    <row r="80" spans="1:13" ht="12.75">
      <c r="A80" s="4"/>
      <c r="B80" s="5"/>
      <c r="C80" s="5"/>
      <c r="D80" s="5"/>
      <c r="E80" s="5"/>
      <c r="F80" s="5"/>
      <c r="G80" s="5"/>
      <c r="H80" s="5"/>
      <c r="J80" s="5"/>
      <c r="K80" s="26" t="str">
        <f>SPH_REC!B182</f>
        <v>X_ce = </v>
      </c>
      <c r="L80" s="266">
        <f>SPH_REC!C182</f>
        <v>0</v>
      </c>
      <c r="M80" s="6" t="s">
        <v>167</v>
      </c>
    </row>
    <row r="81" spans="1:13" ht="12.75">
      <c r="A81" s="4"/>
      <c r="B81" s="5"/>
      <c r="C81" s="5"/>
      <c r="D81" s="5"/>
      <c r="E81" s="5"/>
      <c r="F81" s="5"/>
      <c r="G81" s="5"/>
      <c r="H81" s="5"/>
      <c r="J81" s="5"/>
      <c r="K81" s="26" t="str">
        <f>SPH_REC!B183</f>
        <v>Y_ce = </v>
      </c>
      <c r="L81" s="266">
        <f>SPH_REC!C183</f>
        <v>0</v>
      </c>
      <c r="M81" s="6" t="s">
        <v>167</v>
      </c>
    </row>
    <row r="82" spans="1:13" ht="12.75">
      <c r="A82" s="4"/>
      <c r="B82" s="5"/>
      <c r="C82" s="5"/>
      <c r="D82" s="5"/>
      <c r="E82" s="5"/>
      <c r="F82" s="5"/>
      <c r="G82" s="5"/>
      <c r="H82" s="5"/>
      <c r="I82" s="5"/>
      <c r="J82" s="5"/>
      <c r="K82" s="26" t="str">
        <f>SPH_REC!B184</f>
        <v>Z_ce = </v>
      </c>
      <c r="L82" s="266">
        <f>SPH_REC!C184</f>
        <v>0</v>
      </c>
      <c r="M82" s="6" t="s">
        <v>167</v>
      </c>
    </row>
    <row r="83" spans="1:13" ht="12.75">
      <c r="A83" s="4"/>
      <c r="B83" s="5"/>
      <c r="C83" s="5"/>
      <c r="D83" s="5"/>
      <c r="E83" s="5"/>
      <c r="F83" s="5"/>
      <c r="G83" s="5"/>
      <c r="H83" s="5"/>
      <c r="I83" s="5"/>
      <c r="J83" s="5"/>
      <c r="K83" s="5"/>
      <c r="L83" s="5"/>
      <c r="M83" s="6"/>
    </row>
    <row r="84" spans="1:13" ht="12.75">
      <c r="A84" s="4"/>
      <c r="B84" s="5"/>
      <c r="C84" s="5"/>
      <c r="D84" s="5"/>
      <c r="E84" s="5"/>
      <c r="F84" s="5"/>
      <c r="G84" s="5"/>
      <c r="H84" s="5"/>
      <c r="I84" s="5"/>
      <c r="J84" s="5"/>
      <c r="K84" s="5"/>
      <c r="L84" s="5"/>
      <c r="M84" s="6"/>
    </row>
    <row r="85" spans="1:13" ht="13.5" thickBot="1">
      <c r="A85" s="7"/>
      <c r="B85" s="8"/>
      <c r="C85" s="8"/>
      <c r="D85" s="8"/>
      <c r="E85" s="8"/>
      <c r="F85" s="8"/>
      <c r="G85" s="8"/>
      <c r="H85" s="8"/>
      <c r="I85" s="8"/>
      <c r="J85" s="8"/>
      <c r="K85" s="8"/>
      <c r="L85" s="8"/>
      <c r="M85" s="9"/>
    </row>
    <row r="86" ht="13.5" thickBot="1"/>
    <row r="87" spans="1:13" ht="12.75">
      <c r="A87" s="1"/>
      <c r="B87" s="2"/>
      <c r="C87" s="2"/>
      <c r="D87" s="2"/>
      <c r="E87" s="2"/>
      <c r="F87" s="2"/>
      <c r="G87" s="2"/>
      <c r="H87" s="2"/>
      <c r="I87" s="2"/>
      <c r="J87" s="2"/>
      <c r="K87" s="2"/>
      <c r="L87" s="2"/>
      <c r="M87" s="3"/>
    </row>
    <row r="88" spans="1:13" ht="12.75">
      <c r="A88" s="10" t="s">
        <v>1260</v>
      </c>
      <c r="B88" s="5"/>
      <c r="C88" s="5"/>
      <c r="D88" s="5"/>
      <c r="E88" s="5"/>
      <c r="F88" s="5"/>
      <c r="G88" s="5"/>
      <c r="H88" s="5"/>
      <c r="I88" s="5"/>
      <c r="J88" s="5"/>
      <c r="K88" s="5"/>
      <c r="L88" s="5"/>
      <c r="M88" s="6"/>
    </row>
    <row r="89" spans="1:13" ht="12.75">
      <c r="A89" s="4"/>
      <c r="B89" s="5"/>
      <c r="C89" s="5"/>
      <c r="D89" s="5"/>
      <c r="E89" s="5"/>
      <c r="F89" s="5"/>
      <c r="G89" s="5"/>
      <c r="H89" s="5"/>
      <c r="I89" s="5"/>
      <c r="J89" s="5"/>
      <c r="K89" s="5"/>
      <c r="L89" s="5"/>
      <c r="M89" s="6"/>
    </row>
    <row r="90" spans="1:13" ht="12.75">
      <c r="A90" s="4"/>
      <c r="B90" s="5" t="s">
        <v>305</v>
      </c>
      <c r="C90" s="5"/>
      <c r="D90" s="5"/>
      <c r="E90" s="5"/>
      <c r="F90" s="5"/>
      <c r="G90" s="5"/>
      <c r="H90" s="5"/>
      <c r="I90" s="5"/>
      <c r="J90" s="5"/>
      <c r="K90" s="5"/>
      <c r="L90" s="5"/>
      <c r="M90" s="6"/>
    </row>
    <row r="91" spans="1:13" ht="12.75">
      <c r="A91" s="4"/>
      <c r="B91" s="5"/>
      <c r="C91" s="5"/>
      <c r="D91" s="5"/>
      <c r="E91" s="5"/>
      <c r="F91" s="5"/>
      <c r="G91" s="5"/>
      <c r="H91" s="5"/>
      <c r="I91" s="5"/>
      <c r="J91" s="5"/>
      <c r="K91" s="5"/>
      <c r="L91" s="5"/>
      <c r="M91" s="6"/>
    </row>
    <row r="92" spans="1:13" ht="12.75">
      <c r="A92" s="4"/>
      <c r="B92" s="5"/>
      <c r="C92" s="22" t="s">
        <v>306</v>
      </c>
      <c r="D92" s="5"/>
      <c r="E92" s="5"/>
      <c r="F92" s="5"/>
      <c r="G92" s="5" t="s">
        <v>307</v>
      </c>
      <c r="H92" s="5"/>
      <c r="I92" s="22" t="s">
        <v>734</v>
      </c>
      <c r="J92" s="5"/>
      <c r="K92" s="5"/>
      <c r="L92" s="5"/>
      <c r="M92" s="6"/>
    </row>
    <row r="93" spans="1:13" ht="12.75">
      <c r="A93" s="4"/>
      <c r="B93" s="5"/>
      <c r="C93" s="5"/>
      <c r="D93" s="5" t="str">
        <f>ReTrans_Origin!C151</f>
        <v>X_gi_p1 = </v>
      </c>
      <c r="E93" s="267">
        <f>ReTrans_Origin!D151</f>
        <v>-2779088.915450434</v>
      </c>
      <c r="F93" s="5" t="s">
        <v>167</v>
      </c>
      <c r="G93" s="5" t="s">
        <v>308</v>
      </c>
      <c r="H93" s="5"/>
      <c r="I93" s="5"/>
      <c r="J93" s="26" t="s">
        <v>309</v>
      </c>
      <c r="K93" s="185">
        <f>IF(E93="","",(E93-$L$80)/G95)</f>
        <v>-0.4362549067036831</v>
      </c>
      <c r="L93" s="5"/>
      <c r="M93" s="6"/>
    </row>
    <row r="94" spans="1:13" ht="12.75">
      <c r="A94" s="4"/>
      <c r="B94" s="5"/>
      <c r="C94" s="5"/>
      <c r="D94" s="5" t="str">
        <f>ReTrans_Origin!C152</f>
        <v>Y_gi_p1 = </v>
      </c>
      <c r="E94" s="267">
        <f>ReTrans_Origin!D152</f>
        <v>-4218291.693918821</v>
      </c>
      <c r="F94" s="5" t="s">
        <v>167</v>
      </c>
      <c r="G94" s="5" t="s">
        <v>261</v>
      </c>
      <c r="H94" s="5"/>
      <c r="I94" s="5"/>
      <c r="J94" s="26" t="s">
        <v>1417</v>
      </c>
      <c r="K94" s="185">
        <f>IF(E93="","",(E94-$L$81)/G95)</f>
        <v>-0.662177607613972</v>
      </c>
      <c r="L94" s="5"/>
      <c r="M94" s="6"/>
    </row>
    <row r="95" spans="1:13" ht="12.75">
      <c r="A95" s="4"/>
      <c r="B95" s="5"/>
      <c r="C95" s="5"/>
      <c r="D95" s="5" t="str">
        <f>ReTrans_Origin!C153</f>
        <v>Z_gi_p1 = </v>
      </c>
      <c r="E95" s="267">
        <f>ReTrans_Origin!D153</f>
        <v>3881213.6261523277</v>
      </c>
      <c r="F95" s="5" t="s">
        <v>167</v>
      </c>
      <c r="G95" s="189">
        <f>IF(E93="","",SQRT((E93-$L$80)^2+(E94-$L$81)^2+(E95-$L$82)^2))</f>
        <v>6370332.740665474</v>
      </c>
      <c r="H95" s="5" t="s">
        <v>167</v>
      </c>
      <c r="I95" s="5"/>
      <c r="J95" s="26" t="s">
        <v>1418</v>
      </c>
      <c r="K95" s="185">
        <f>IF(E93="","",(E95-$L$82)/G95)</f>
        <v>0.6092638774386655</v>
      </c>
      <c r="L95" s="5"/>
      <c r="M95" s="6"/>
    </row>
    <row r="96" spans="1:13" ht="12.75">
      <c r="A96" s="4"/>
      <c r="B96" s="5"/>
      <c r="C96" s="5"/>
      <c r="D96" s="5"/>
      <c r="E96" s="5"/>
      <c r="F96" s="5"/>
      <c r="G96" s="5"/>
      <c r="H96" s="5"/>
      <c r="I96" s="5"/>
      <c r="J96" s="5"/>
      <c r="K96" s="5"/>
      <c r="L96" s="5"/>
      <c r="M96" s="6"/>
    </row>
    <row r="97" spans="1:13" ht="12.75">
      <c r="A97" s="4"/>
      <c r="B97" s="5"/>
      <c r="C97" s="5"/>
      <c r="D97" s="5"/>
      <c r="E97" s="5"/>
      <c r="F97" s="5"/>
      <c r="G97" s="5"/>
      <c r="H97" s="5"/>
      <c r="I97" s="5"/>
      <c r="J97" s="5"/>
      <c r="K97" s="5"/>
      <c r="L97" s="5"/>
      <c r="M97" s="6"/>
    </row>
    <row r="98" spans="1:13" ht="12.75">
      <c r="A98" s="4"/>
      <c r="B98" s="5" t="s">
        <v>1355</v>
      </c>
      <c r="C98" s="5"/>
      <c r="D98" s="5"/>
      <c r="E98" s="5"/>
      <c r="F98" s="5"/>
      <c r="G98" s="5"/>
      <c r="H98" s="5"/>
      <c r="I98" s="5"/>
      <c r="J98" s="5"/>
      <c r="K98" s="5"/>
      <c r="L98" s="5"/>
      <c r="M98" s="6"/>
    </row>
    <row r="99" spans="1:13" ht="12.75">
      <c r="A99" s="4"/>
      <c r="B99" s="5"/>
      <c r="C99" s="5"/>
      <c r="D99" s="5"/>
      <c r="E99" s="5"/>
      <c r="F99" s="5"/>
      <c r="G99" s="5"/>
      <c r="H99" s="5"/>
      <c r="I99" s="5"/>
      <c r="J99" s="5"/>
      <c r="K99" s="5"/>
      <c r="L99" s="5"/>
      <c r="M99" s="6"/>
    </row>
    <row r="100" spans="1:13" ht="12.75">
      <c r="A100" s="4"/>
      <c r="B100" s="5"/>
      <c r="C100" s="22" t="s">
        <v>306</v>
      </c>
      <c r="D100" s="5"/>
      <c r="E100" s="5"/>
      <c r="F100" s="5"/>
      <c r="G100" s="5" t="s">
        <v>307</v>
      </c>
      <c r="H100" s="5"/>
      <c r="I100" s="22" t="s">
        <v>734</v>
      </c>
      <c r="J100" s="5"/>
      <c r="K100" s="5"/>
      <c r="L100" s="5"/>
      <c r="M100" s="6"/>
    </row>
    <row r="101" spans="1:13" ht="12.75">
      <c r="A101" s="4"/>
      <c r="B101" s="5"/>
      <c r="C101" s="5"/>
      <c r="D101" s="5" t="str">
        <f>ReTrans_Origin!C167</f>
        <v>X_gi_p2 = </v>
      </c>
      <c r="E101" s="267">
        <f>ReTrans_Origin!D167</f>
        <v>-2753769.0966396467</v>
      </c>
      <c r="F101" s="5" t="s">
        <v>167</v>
      </c>
      <c r="G101" s="5" t="s">
        <v>308</v>
      </c>
      <c r="H101" s="5"/>
      <c r="I101" s="5"/>
      <c r="J101" s="26" t="s">
        <v>1356</v>
      </c>
      <c r="K101" s="185">
        <f>IF(E101="","",(E101-$L$80)/G103)</f>
        <v>-0.43228026050519436</v>
      </c>
      <c r="L101" s="5"/>
      <c r="M101" s="6"/>
    </row>
    <row r="102" spans="1:13" ht="12.75">
      <c r="A102" s="4"/>
      <c r="B102" s="5"/>
      <c r="C102" s="5"/>
      <c r="D102" s="5" t="str">
        <f>ReTrans_Origin!C168</f>
        <v>Y_gi_p2 = </v>
      </c>
      <c r="E102" s="267">
        <f>ReTrans_Origin!D168</f>
        <v>-4178981.755723958</v>
      </c>
      <c r="F102" s="5" t="s">
        <v>167</v>
      </c>
      <c r="G102" s="5" t="s">
        <v>261</v>
      </c>
      <c r="H102" s="5"/>
      <c r="I102" s="5"/>
      <c r="J102" s="26" t="s">
        <v>79</v>
      </c>
      <c r="K102" s="185">
        <f>IF(E101="","",(E102-$L$81)/G103)</f>
        <v>-0.6560068250512441</v>
      </c>
      <c r="L102" s="5"/>
      <c r="M102" s="6"/>
    </row>
    <row r="103" spans="1:13" ht="12.75">
      <c r="A103" s="4"/>
      <c r="B103" s="5"/>
      <c r="C103" s="5"/>
      <c r="D103" s="5" t="str">
        <f>ReTrans_Origin!C169</f>
        <v>Z_gi_p2 = </v>
      </c>
      <c r="E103" s="267">
        <f>ReTrans_Origin!D169</f>
        <v>3941320.3973431876</v>
      </c>
      <c r="F103" s="5" t="s">
        <v>167</v>
      </c>
      <c r="G103" s="189">
        <f>IF(E101="","",SQRT((E101-$L$80)^2+(E102-$L$81)^2+(E103-$L$82)^2))</f>
        <v>6370332.74066549</v>
      </c>
      <c r="H103" s="5" t="s">
        <v>167</v>
      </c>
      <c r="I103" s="5"/>
      <c r="J103" s="26" t="s">
        <v>80</v>
      </c>
      <c r="K103" s="185">
        <f>IF(E101="","",(E103-$L$82)/G103)</f>
        <v>0.6186992984186647</v>
      </c>
      <c r="L103" s="5"/>
      <c r="M103" s="6"/>
    </row>
    <row r="104" spans="1:13" ht="12.75">
      <c r="A104" s="4"/>
      <c r="B104" s="5"/>
      <c r="C104" s="5"/>
      <c r="D104" s="5"/>
      <c r="E104" s="5"/>
      <c r="F104" s="5"/>
      <c r="G104" s="5"/>
      <c r="H104" s="5"/>
      <c r="I104" s="5"/>
      <c r="J104" s="5"/>
      <c r="K104" s="5"/>
      <c r="L104" s="5"/>
      <c r="M104" s="6"/>
    </row>
    <row r="105" spans="1:13" ht="12.75">
      <c r="A105" s="4"/>
      <c r="B105" s="5"/>
      <c r="C105" s="5"/>
      <c r="D105" s="5"/>
      <c r="E105" s="5"/>
      <c r="F105" s="5"/>
      <c r="G105" s="5"/>
      <c r="H105" s="5"/>
      <c r="I105" s="5"/>
      <c r="J105" s="5"/>
      <c r="K105" s="5"/>
      <c r="L105" s="5"/>
      <c r="M105" s="6"/>
    </row>
    <row r="106" spans="1:13" ht="12.75">
      <c r="A106" s="4"/>
      <c r="B106" s="5" t="s">
        <v>81</v>
      </c>
      <c r="C106" s="5"/>
      <c r="D106" s="5"/>
      <c r="E106" s="5"/>
      <c r="F106" s="5"/>
      <c r="G106" s="5"/>
      <c r="H106" s="5"/>
      <c r="I106" s="5"/>
      <c r="J106" s="5"/>
      <c r="K106" s="5"/>
      <c r="L106" s="5"/>
      <c r="M106" s="6"/>
    </row>
    <row r="107" spans="1:13" ht="12.75">
      <c r="A107" s="4"/>
      <c r="B107" s="5"/>
      <c r="C107" s="5"/>
      <c r="D107" s="5"/>
      <c r="E107" s="5"/>
      <c r="F107" s="5"/>
      <c r="G107" s="5"/>
      <c r="H107" s="5"/>
      <c r="I107" s="5"/>
      <c r="J107" s="5"/>
      <c r="K107" s="5"/>
      <c r="L107" s="5"/>
      <c r="M107" s="6"/>
    </row>
    <row r="108" spans="1:13" ht="12.75">
      <c r="A108" s="4"/>
      <c r="B108" s="5"/>
      <c r="C108" s="22" t="s">
        <v>306</v>
      </c>
      <c r="D108" s="5"/>
      <c r="E108" s="5"/>
      <c r="F108" s="5"/>
      <c r="G108" s="5" t="s">
        <v>307</v>
      </c>
      <c r="H108" s="5"/>
      <c r="I108" s="22" t="s">
        <v>734</v>
      </c>
      <c r="J108" s="5"/>
      <c r="K108" s="5"/>
      <c r="L108" s="5"/>
      <c r="M108" s="6"/>
    </row>
    <row r="109" spans="1:13" ht="12.75">
      <c r="A109" s="4"/>
      <c r="B109" s="5"/>
      <c r="C109" s="5"/>
      <c r="D109" s="5" t="str">
        <f>ReTrans_Origin!C183</f>
        <v>X_gi_p3 = </v>
      </c>
      <c r="E109" s="267">
        <f>ReTrans_Origin!D183</f>
        <v>-2731602.4103449117</v>
      </c>
      <c r="F109" s="5" t="s">
        <v>167</v>
      </c>
      <c r="G109" s="5" t="s">
        <v>308</v>
      </c>
      <c r="H109" s="5"/>
      <c r="I109" s="5"/>
      <c r="J109" s="26" t="s">
        <v>82</v>
      </c>
      <c r="K109" s="185">
        <f>IF(E109="","",(E109-$L$80)/G111)</f>
        <v>-0.42880058570685475</v>
      </c>
      <c r="L109" s="5"/>
      <c r="M109" s="6"/>
    </row>
    <row r="110" spans="1:13" ht="12.75">
      <c r="A110" s="4"/>
      <c r="B110" s="5"/>
      <c r="C110" s="5"/>
      <c r="D110" s="5" t="str">
        <f>ReTrans_Origin!C184</f>
        <v>Y_gi_p3 = </v>
      </c>
      <c r="E110" s="267">
        <f>ReTrans_Origin!D184</f>
        <v>-4144077.0690782177</v>
      </c>
      <c r="F110" s="5" t="s">
        <v>167</v>
      </c>
      <c r="G110" s="5" t="s">
        <v>261</v>
      </c>
      <c r="H110" s="5"/>
      <c r="I110" s="5"/>
      <c r="J110" s="26" t="s">
        <v>83</v>
      </c>
      <c r="K110" s="185">
        <f>IF(E109="","",(E110-$L$81)/G111)</f>
        <v>-0.6505275686188574</v>
      </c>
      <c r="L110" s="5"/>
      <c r="M110" s="6"/>
    </row>
    <row r="111" spans="1:13" ht="12.75">
      <c r="A111" s="4"/>
      <c r="B111" s="5"/>
      <c r="C111" s="5"/>
      <c r="D111" s="5" t="str">
        <f>ReTrans_Origin!C185</f>
        <v>Z_gi_p3 = </v>
      </c>
      <c r="E111" s="267">
        <f>ReTrans_Origin!D185</f>
        <v>3993258.4118902865</v>
      </c>
      <c r="F111" s="5" t="s">
        <v>167</v>
      </c>
      <c r="G111" s="189">
        <f>IF(E109="","",SQRT((E109-$L$80)^2+(E110-$L$81)^2+(E111-$L$82)^2))</f>
        <v>6370332.740665481</v>
      </c>
      <c r="H111" s="5" t="s">
        <v>167</v>
      </c>
      <c r="I111" s="5"/>
      <c r="J111" s="26" t="s">
        <v>77</v>
      </c>
      <c r="K111" s="185">
        <f>IF(E109="","",(E111-$L$82)/G111)</f>
        <v>0.6268524070020757</v>
      </c>
      <c r="L111" s="5"/>
      <c r="M111" s="6"/>
    </row>
    <row r="112" spans="1:13" ht="12.75">
      <c r="A112" s="4"/>
      <c r="B112" s="5"/>
      <c r="C112" s="5"/>
      <c r="D112" s="5"/>
      <c r="E112" s="5"/>
      <c r="F112" s="5"/>
      <c r="G112" s="5"/>
      <c r="H112" s="5"/>
      <c r="I112" s="5"/>
      <c r="J112" s="5"/>
      <c r="K112" s="5"/>
      <c r="L112" s="5"/>
      <c r="M112" s="6"/>
    </row>
    <row r="113" spans="1:13" ht="12.75">
      <c r="A113" s="4"/>
      <c r="B113" s="5"/>
      <c r="C113" s="5"/>
      <c r="D113" s="5"/>
      <c r="E113" s="5"/>
      <c r="F113" s="5"/>
      <c r="G113" s="5"/>
      <c r="H113" s="5"/>
      <c r="I113" s="5"/>
      <c r="J113" s="5"/>
      <c r="K113" s="5"/>
      <c r="L113" s="5"/>
      <c r="M113" s="6"/>
    </row>
    <row r="114" spans="1:13" ht="12.75">
      <c r="A114" s="4"/>
      <c r="B114" s="5" t="s">
        <v>4</v>
      </c>
      <c r="C114" s="5"/>
      <c r="D114" s="5"/>
      <c r="E114" s="5"/>
      <c r="F114" s="5"/>
      <c r="G114" s="5"/>
      <c r="H114" s="5"/>
      <c r="I114" s="5"/>
      <c r="J114" s="5"/>
      <c r="K114" s="5"/>
      <c r="L114" s="5"/>
      <c r="M114" s="6"/>
    </row>
    <row r="115" spans="1:13" ht="12.75">
      <c r="A115" s="4"/>
      <c r="B115" s="5"/>
      <c r="C115" s="5"/>
      <c r="D115" s="5"/>
      <c r="E115" s="5"/>
      <c r="F115" s="5"/>
      <c r="G115" s="5"/>
      <c r="H115" s="5"/>
      <c r="I115" s="5"/>
      <c r="J115" s="5"/>
      <c r="K115" s="5"/>
      <c r="L115" s="5"/>
      <c r="M115" s="6"/>
    </row>
    <row r="116" spans="1:13" ht="12.75">
      <c r="A116" s="4"/>
      <c r="B116" s="5"/>
      <c r="C116" s="22" t="s">
        <v>306</v>
      </c>
      <c r="D116" s="5"/>
      <c r="E116" s="5"/>
      <c r="F116" s="5"/>
      <c r="G116" s="5" t="s">
        <v>307</v>
      </c>
      <c r="H116" s="5"/>
      <c r="I116" s="22" t="s">
        <v>734</v>
      </c>
      <c r="J116" s="5"/>
      <c r="K116" s="5"/>
      <c r="L116" s="5"/>
      <c r="M116" s="6"/>
    </row>
    <row r="117" spans="1:13" ht="12.75">
      <c r="A117" s="4"/>
      <c r="B117" s="5"/>
      <c r="C117" s="5"/>
      <c r="D117" s="5" t="str">
        <f>ReTrans_Origin!C199</f>
        <v>X_gi_p4 = </v>
      </c>
      <c r="E117" s="267">
        <f>ReTrans_Origin!D199</f>
        <v>-2705867.5176580227</v>
      </c>
      <c r="F117" s="5" t="s">
        <v>167</v>
      </c>
      <c r="G117" s="5" t="s">
        <v>308</v>
      </c>
      <c r="H117" s="5"/>
      <c r="I117" s="5"/>
      <c r="J117" s="26" t="s">
        <v>5</v>
      </c>
      <c r="K117" s="185">
        <f>IF(E117="","",(E117-$L$80)/G119)</f>
        <v>-0.4247607821778162</v>
      </c>
      <c r="L117" s="5"/>
      <c r="M117" s="6"/>
    </row>
    <row r="118" spans="1:13" ht="12.75">
      <c r="A118" s="4"/>
      <c r="B118" s="5"/>
      <c r="C118" s="5"/>
      <c r="D118" s="5" t="str">
        <f>ReTrans_Origin!C200</f>
        <v>Y_gi_p4 = </v>
      </c>
      <c r="E118" s="267">
        <f>ReTrans_Origin!D200</f>
        <v>-4257063.131839848</v>
      </c>
      <c r="F118" s="5" t="s">
        <v>167</v>
      </c>
      <c r="G118" s="5" t="s">
        <v>261</v>
      </c>
      <c r="H118" s="5"/>
      <c r="I118" s="5"/>
      <c r="J118" s="26" t="s">
        <v>6</v>
      </c>
      <c r="K118" s="185">
        <f>IF(E117="","",(E118-$L$81)/G119)</f>
        <v>-0.6682638576576345</v>
      </c>
      <c r="L118" s="5"/>
      <c r="M118" s="6"/>
    </row>
    <row r="119" spans="1:13" ht="12.75">
      <c r="A119" s="4"/>
      <c r="B119" s="5"/>
      <c r="C119" s="5"/>
      <c r="D119" s="5" t="str">
        <f>ReTrans_Origin!C201</f>
        <v>Z_gi_p4 = </v>
      </c>
      <c r="E119" s="267">
        <f>ReTrans_Origin!D201</f>
        <v>3890608.396537453</v>
      </c>
      <c r="F119" s="5" t="s">
        <v>167</v>
      </c>
      <c r="G119" s="189">
        <f>IF(E117="","",SQRT((E117-$L$80)^2+(E118-$L$81)^2+(E119-$L$82)^2))</f>
        <v>6370332.740665484</v>
      </c>
      <c r="H119" s="5" t="s">
        <v>167</v>
      </c>
      <c r="I119" s="5"/>
      <c r="J119" s="26" t="s">
        <v>7</v>
      </c>
      <c r="K119" s="185">
        <f>IF(E117="","",(E119-$L$82)/G119)</f>
        <v>0.6107386466175416</v>
      </c>
      <c r="L119" s="5"/>
      <c r="M119" s="6"/>
    </row>
    <row r="120" spans="1:13" ht="12.75">
      <c r="A120" s="4"/>
      <c r="B120" s="5"/>
      <c r="C120" s="5"/>
      <c r="D120" s="5"/>
      <c r="E120" s="5"/>
      <c r="F120" s="5"/>
      <c r="G120" s="5"/>
      <c r="H120" s="5"/>
      <c r="I120" s="5"/>
      <c r="J120" s="5"/>
      <c r="K120" s="5"/>
      <c r="L120" s="5"/>
      <c r="M120" s="6"/>
    </row>
    <row r="121" spans="1:13" ht="12.75">
      <c r="A121" s="4"/>
      <c r="B121" s="5"/>
      <c r="C121" s="5"/>
      <c r="D121" s="5"/>
      <c r="E121" s="5"/>
      <c r="F121" s="5"/>
      <c r="G121" s="5"/>
      <c r="H121" s="5"/>
      <c r="I121" s="5"/>
      <c r="J121" s="5"/>
      <c r="K121" s="5"/>
      <c r="L121" s="5"/>
      <c r="M121" s="6"/>
    </row>
    <row r="122" spans="1:13" ht="12.75">
      <c r="A122" s="4"/>
      <c r="B122" s="5" t="s">
        <v>1525</v>
      </c>
      <c r="C122" s="5"/>
      <c r="D122" s="5"/>
      <c r="E122" s="5"/>
      <c r="F122" s="5"/>
      <c r="G122" s="5"/>
      <c r="H122" s="5"/>
      <c r="I122" s="5"/>
      <c r="J122" s="5"/>
      <c r="K122" s="5"/>
      <c r="L122" s="5"/>
      <c r="M122" s="6"/>
    </row>
    <row r="123" spans="1:13" ht="12.75">
      <c r="A123" s="4"/>
      <c r="B123" s="5"/>
      <c r="C123" s="5"/>
      <c r="D123" s="5"/>
      <c r="E123" s="5"/>
      <c r="F123" s="5"/>
      <c r="G123" s="5"/>
      <c r="H123" s="5"/>
      <c r="I123" s="5"/>
      <c r="J123" s="5"/>
      <c r="K123" s="5"/>
      <c r="L123" s="5"/>
      <c r="M123" s="6"/>
    </row>
    <row r="124" spans="1:13" ht="12.75">
      <c r="A124" s="4"/>
      <c r="B124" s="5"/>
      <c r="C124" s="22" t="s">
        <v>306</v>
      </c>
      <c r="D124" s="5"/>
      <c r="E124" s="5"/>
      <c r="F124" s="5"/>
      <c r="G124" s="5" t="s">
        <v>307</v>
      </c>
      <c r="H124" s="5"/>
      <c r="I124" s="22" t="s">
        <v>734</v>
      </c>
      <c r="J124" s="5"/>
      <c r="K124" s="5"/>
      <c r="L124" s="5"/>
      <c r="M124" s="6"/>
    </row>
    <row r="125" spans="1:13" ht="12.75">
      <c r="A125" s="4"/>
      <c r="B125" s="5"/>
      <c r="C125" s="5"/>
      <c r="D125" s="5" t="str">
        <f>ReTrans_Origin!C215</f>
        <v>X_gi_pp = </v>
      </c>
      <c r="E125" s="267">
        <f>ReTrans_Origin!D215</f>
        <v>-2686114.736119857</v>
      </c>
      <c r="F125" s="5" t="s">
        <v>167</v>
      </c>
      <c r="G125" s="5" t="s">
        <v>308</v>
      </c>
      <c r="H125" s="5"/>
      <c r="I125" s="5"/>
      <c r="J125" s="26" t="s">
        <v>1526</v>
      </c>
      <c r="K125" s="185">
        <f>IF(E125="","",(E125-$L$80)/G127)</f>
        <v>-0.4216600365272675</v>
      </c>
      <c r="L125" s="5"/>
      <c r="M125" s="6"/>
    </row>
    <row r="126" spans="1:13" ht="12.75">
      <c r="A126" s="4"/>
      <c r="B126" s="5"/>
      <c r="C126" s="5"/>
      <c r="D126" s="5" t="str">
        <f>ReTrans_Origin!C216</f>
        <v>Y_gi_pp = </v>
      </c>
      <c r="E126" s="267">
        <f>ReTrans_Origin!D216</f>
        <v>-4216355.55977009</v>
      </c>
      <c r="F126" s="5" t="s">
        <v>167</v>
      </c>
      <c r="G126" s="5" t="s">
        <v>261</v>
      </c>
      <c r="H126" s="5"/>
      <c r="I126" s="5"/>
      <c r="J126" s="26" t="s">
        <v>1527</v>
      </c>
      <c r="K126" s="185">
        <f>IF(E125="","",(E126-$L$81)/G127)</f>
        <v>-0.6618736777836854</v>
      </c>
      <c r="L126" s="5"/>
      <c r="M126" s="6"/>
    </row>
    <row r="127" spans="1:13" ht="12.75">
      <c r="A127" s="4"/>
      <c r="B127" s="5"/>
      <c r="C127" s="5"/>
      <c r="D127" s="5" t="str">
        <f>ReTrans_Origin!C217</f>
        <v>Z_gi_pp = </v>
      </c>
      <c r="E127" s="267">
        <f>ReTrans_Origin!D217</f>
        <v>3948198.658222537</v>
      </c>
      <c r="F127" s="5" t="s">
        <v>167</v>
      </c>
      <c r="G127" s="189">
        <f>IF(E125="","",SQRT((E125-$L$80)^2+(E126-$L$81)^2+(E127-$L$82)^2))</f>
        <v>6370332.740665486</v>
      </c>
      <c r="H127" s="5" t="s">
        <v>167</v>
      </c>
      <c r="I127" s="5"/>
      <c r="J127" s="26" t="s">
        <v>1420</v>
      </c>
      <c r="K127" s="185">
        <f>IF(E125="","",(E127-$L$82)/G127)</f>
        <v>0.6197790317951403</v>
      </c>
      <c r="L127" s="5"/>
      <c r="M127" s="6"/>
    </row>
    <row r="128" spans="1:13" ht="12.75">
      <c r="A128" s="4"/>
      <c r="B128" s="5"/>
      <c r="C128" s="5"/>
      <c r="D128" s="5"/>
      <c r="E128" s="5"/>
      <c r="F128" s="5"/>
      <c r="G128" s="5"/>
      <c r="H128" s="5"/>
      <c r="I128" s="5"/>
      <c r="J128" s="5"/>
      <c r="K128" s="5"/>
      <c r="L128" s="5"/>
      <c r="M128" s="6"/>
    </row>
    <row r="129" spans="1:13" ht="12.75">
      <c r="A129" s="4"/>
      <c r="B129" s="5"/>
      <c r="C129" s="5"/>
      <c r="D129" s="5"/>
      <c r="E129" s="5"/>
      <c r="F129" s="5"/>
      <c r="G129" s="5"/>
      <c r="H129" s="5"/>
      <c r="I129" s="5"/>
      <c r="J129" s="5"/>
      <c r="K129" s="5"/>
      <c r="L129" s="5"/>
      <c r="M129" s="6"/>
    </row>
    <row r="130" spans="1:13" ht="12.75">
      <c r="A130" s="4"/>
      <c r="B130" s="5" t="s">
        <v>169</v>
      </c>
      <c r="C130" s="5"/>
      <c r="D130" s="5"/>
      <c r="E130" s="5"/>
      <c r="F130" s="5"/>
      <c r="G130" s="5"/>
      <c r="H130" s="5"/>
      <c r="I130" s="5"/>
      <c r="J130" s="5"/>
      <c r="K130" s="5"/>
      <c r="L130" s="5"/>
      <c r="M130" s="6"/>
    </row>
    <row r="131" spans="1:13" ht="12.75">
      <c r="A131" s="4"/>
      <c r="B131" s="5"/>
      <c r="C131" s="5"/>
      <c r="D131" s="5"/>
      <c r="E131" s="5"/>
      <c r="F131" s="5"/>
      <c r="G131" s="5"/>
      <c r="H131" s="5"/>
      <c r="I131" s="5"/>
      <c r="J131" s="5"/>
      <c r="K131" s="5"/>
      <c r="L131" s="5"/>
      <c r="M131" s="6"/>
    </row>
    <row r="132" spans="1:13" ht="12.75">
      <c r="A132" s="4"/>
      <c r="B132" s="5"/>
      <c r="C132" s="22" t="s">
        <v>306</v>
      </c>
      <c r="D132" s="5"/>
      <c r="E132" s="5"/>
      <c r="F132" s="5"/>
      <c r="G132" s="5" t="s">
        <v>307</v>
      </c>
      <c r="H132" s="5"/>
      <c r="I132" s="22" t="s">
        <v>734</v>
      </c>
      <c r="J132" s="5"/>
      <c r="K132" s="5"/>
      <c r="L132" s="5"/>
      <c r="M132" s="6"/>
    </row>
    <row r="133" spans="1:13" ht="12.75">
      <c r="A133" s="4"/>
      <c r="B133" s="5"/>
      <c r="C133" s="5"/>
      <c r="D133" s="5" t="str">
        <f>ReTrans_Origin!C231</f>
        <v>X_gi_p5 = </v>
      </c>
      <c r="E133" s="267">
        <f>ReTrans_Origin!D231</f>
        <v>-2668584.4149576654</v>
      </c>
      <c r="F133" s="5" t="s">
        <v>167</v>
      </c>
      <c r="G133" s="5" t="s">
        <v>308</v>
      </c>
      <c r="H133" s="5"/>
      <c r="I133" s="5"/>
      <c r="J133" s="26" t="s">
        <v>170</v>
      </c>
      <c r="K133" s="185">
        <f>IF(E133="","",(E133-$L$80)/G135)</f>
        <v>-0.41890816753143223</v>
      </c>
      <c r="L133" s="5"/>
      <c r="M133" s="6"/>
    </row>
    <row r="134" spans="1:13" ht="12.75">
      <c r="A134" s="4"/>
      <c r="B134" s="5"/>
      <c r="C134" s="5"/>
      <c r="D134" s="5" t="str">
        <f>ReTrans_Origin!C232</f>
        <v>Y_gi_p5 = </v>
      </c>
      <c r="E134" s="267">
        <f>ReTrans_Origin!D232</f>
        <v>-4180191.4555655746</v>
      </c>
      <c r="F134" s="5" t="s">
        <v>167</v>
      </c>
      <c r="G134" s="5" t="s">
        <v>261</v>
      </c>
      <c r="H134" s="5"/>
      <c r="I134" s="5"/>
      <c r="J134" s="26" t="s">
        <v>171</v>
      </c>
      <c r="K134" s="185">
        <f>IF(E133="","",(E134-$L$81)/G135)</f>
        <v>-0.6561967209155365</v>
      </c>
      <c r="L134" s="5"/>
      <c r="M134" s="6"/>
    </row>
    <row r="135" spans="1:13" ht="12.75">
      <c r="A135" s="4"/>
      <c r="B135" s="5"/>
      <c r="C135" s="5"/>
      <c r="D135" s="5" t="str">
        <f>ReTrans_Origin!C233</f>
        <v>Z_gi_p5 = </v>
      </c>
      <c r="E135" s="267">
        <f>ReTrans_Origin!D233</f>
        <v>3998224.0859982157</v>
      </c>
      <c r="F135" s="5" t="s">
        <v>167</v>
      </c>
      <c r="G135" s="189">
        <f>IF(E133="","",SQRT((E133-$L$80)^2+(E134-$L$81)^2+(E135-$L$82)^2))</f>
        <v>6370332.740665486</v>
      </c>
      <c r="H135" s="5" t="s">
        <v>167</v>
      </c>
      <c r="I135" s="5"/>
      <c r="J135" s="26" t="s">
        <v>172</v>
      </c>
      <c r="K135" s="185">
        <f>IF(E133="","",(E135-$L$82)/G135)</f>
        <v>0.6276319069607242</v>
      </c>
      <c r="L135" s="5"/>
      <c r="M135" s="6"/>
    </row>
    <row r="136" spans="1:13" ht="12.75">
      <c r="A136" s="4"/>
      <c r="B136" s="5"/>
      <c r="C136" s="5"/>
      <c r="D136" s="5"/>
      <c r="E136" s="5"/>
      <c r="F136" s="5"/>
      <c r="G136" s="5"/>
      <c r="H136" s="5"/>
      <c r="I136" s="5"/>
      <c r="J136" s="5"/>
      <c r="K136" s="5"/>
      <c r="L136" s="5"/>
      <c r="M136" s="6"/>
    </row>
    <row r="137" spans="1:13" ht="12.75">
      <c r="A137" s="4"/>
      <c r="B137" s="5"/>
      <c r="C137" s="5"/>
      <c r="D137" s="5"/>
      <c r="E137" s="5"/>
      <c r="F137" s="5"/>
      <c r="G137" s="5"/>
      <c r="H137" s="5"/>
      <c r="I137" s="5"/>
      <c r="J137" s="5"/>
      <c r="K137" s="5"/>
      <c r="L137" s="5"/>
      <c r="M137" s="6"/>
    </row>
    <row r="138" spans="1:13" ht="12.75">
      <c r="A138" s="4"/>
      <c r="B138" s="5" t="s">
        <v>173</v>
      </c>
      <c r="C138" s="5"/>
      <c r="D138" s="5"/>
      <c r="E138" s="5"/>
      <c r="F138" s="5"/>
      <c r="G138" s="5"/>
      <c r="H138" s="5"/>
      <c r="I138" s="5"/>
      <c r="J138" s="5"/>
      <c r="K138" s="5"/>
      <c r="L138" s="5"/>
      <c r="M138" s="6"/>
    </row>
    <row r="139" spans="1:13" ht="12.75">
      <c r="A139" s="4"/>
      <c r="B139" s="5"/>
      <c r="C139" s="5"/>
      <c r="D139" s="5"/>
      <c r="E139" s="5"/>
      <c r="F139" s="5"/>
      <c r="G139" s="5"/>
      <c r="H139" s="5"/>
      <c r="I139" s="5"/>
      <c r="J139" s="5"/>
      <c r="K139" s="5"/>
      <c r="L139" s="5"/>
      <c r="M139" s="6"/>
    </row>
    <row r="140" spans="1:13" ht="12.75">
      <c r="A140" s="4"/>
      <c r="B140" s="5"/>
      <c r="C140" s="22" t="s">
        <v>306</v>
      </c>
      <c r="D140" s="5"/>
      <c r="E140" s="5"/>
      <c r="F140" s="5"/>
      <c r="G140" s="5" t="s">
        <v>307</v>
      </c>
      <c r="H140" s="5"/>
      <c r="I140" s="22" t="s">
        <v>734</v>
      </c>
      <c r="J140" s="5"/>
      <c r="K140" s="5"/>
      <c r="L140" s="5"/>
      <c r="M140" s="6"/>
    </row>
    <row r="141" spans="1:13" ht="12.75">
      <c r="A141" s="4"/>
      <c r="B141" s="5"/>
      <c r="C141" s="5"/>
      <c r="D141" s="5" t="str">
        <f>ReTrans_Origin!C247</f>
        <v>X_gi_p6 = </v>
      </c>
      <c r="E141" s="267">
        <f>ReTrans_Origin!D247</f>
        <v>-2636861.537754312</v>
      </c>
      <c r="F141" s="5" t="s">
        <v>167</v>
      </c>
      <c r="G141" s="5" t="s">
        <v>308</v>
      </c>
      <c r="H141" s="5"/>
      <c r="I141" s="5"/>
      <c r="J141" s="26" t="s">
        <v>174</v>
      </c>
      <c r="K141" s="185">
        <f>IF(E141="","",(E141-$L$80)/G143)</f>
        <v>-0.4139283841363129</v>
      </c>
      <c r="L141" s="5"/>
      <c r="M141" s="6"/>
    </row>
    <row r="142" spans="1:13" ht="12.75">
      <c r="A142" s="4"/>
      <c r="B142" s="5"/>
      <c r="C142" s="5"/>
      <c r="D142" s="5" t="str">
        <f>ReTrans_Origin!C248</f>
        <v>Y_gi_p6 = </v>
      </c>
      <c r="E142" s="267">
        <f>ReTrans_Origin!D248</f>
        <v>-4293103.068456189</v>
      </c>
      <c r="F142" s="5" t="s">
        <v>167</v>
      </c>
      <c r="G142" s="5" t="s">
        <v>261</v>
      </c>
      <c r="H142" s="5"/>
      <c r="I142" s="5"/>
      <c r="J142" s="26" t="s">
        <v>175</v>
      </c>
      <c r="K142" s="185">
        <f>IF(E141="","",(E142-$L$81)/G143)</f>
        <v>-0.6739213229869224</v>
      </c>
      <c r="L142" s="5"/>
      <c r="M142" s="6"/>
    </row>
    <row r="143" spans="1:13" ht="12.75">
      <c r="A143" s="4"/>
      <c r="B143" s="5"/>
      <c r="C143" s="5"/>
      <c r="D143" s="5" t="str">
        <f>ReTrans_Origin!C249</f>
        <v>Z_gi_p6 = </v>
      </c>
      <c r="E143" s="267">
        <f>ReTrans_Origin!D249</f>
        <v>3898379.9841881236</v>
      </c>
      <c r="F143" s="5" t="s">
        <v>167</v>
      </c>
      <c r="G143" s="189">
        <f>IF(E141="","",SQRT((E141-$L$80)^2+(E142-$L$81)^2+(E143-$L$82)^2))</f>
        <v>6370332.740665481</v>
      </c>
      <c r="H143" s="5" t="s">
        <v>167</v>
      </c>
      <c r="I143" s="5"/>
      <c r="J143" s="26" t="s">
        <v>176</v>
      </c>
      <c r="K143" s="185">
        <f>IF(E141="","",(E143-$L$82)/G143)</f>
        <v>0.6119586123504244</v>
      </c>
      <c r="L143" s="5"/>
      <c r="M143" s="6"/>
    </row>
    <row r="144" spans="1:13" ht="12.75">
      <c r="A144" s="4"/>
      <c r="B144" s="5"/>
      <c r="C144" s="5"/>
      <c r="D144" s="5"/>
      <c r="E144" s="5"/>
      <c r="F144" s="5"/>
      <c r="G144" s="5"/>
      <c r="H144" s="5"/>
      <c r="I144" s="5"/>
      <c r="J144" s="5"/>
      <c r="K144" s="5"/>
      <c r="L144" s="5"/>
      <c r="M144" s="6"/>
    </row>
    <row r="145" spans="1:13" ht="12.75">
      <c r="A145" s="4"/>
      <c r="B145" s="5"/>
      <c r="C145" s="5"/>
      <c r="D145" s="5"/>
      <c r="E145" s="5"/>
      <c r="F145" s="5"/>
      <c r="G145" s="5"/>
      <c r="H145" s="5"/>
      <c r="I145" s="5"/>
      <c r="J145" s="5"/>
      <c r="K145" s="5"/>
      <c r="L145" s="5"/>
      <c r="M145" s="6"/>
    </row>
    <row r="146" spans="1:13" ht="12.75">
      <c r="A146" s="4"/>
      <c r="B146" s="5" t="s">
        <v>177</v>
      </c>
      <c r="C146" s="5"/>
      <c r="D146" s="5"/>
      <c r="E146" s="5"/>
      <c r="F146" s="5"/>
      <c r="G146" s="5"/>
      <c r="H146" s="5"/>
      <c r="I146" s="5"/>
      <c r="J146" s="5"/>
      <c r="K146" s="5"/>
      <c r="L146" s="5"/>
      <c r="M146" s="6"/>
    </row>
    <row r="147" spans="1:13" ht="12.75">
      <c r="A147" s="4"/>
      <c r="B147" s="5"/>
      <c r="C147" s="5"/>
      <c r="D147" s="5"/>
      <c r="E147" s="5"/>
      <c r="F147" s="5"/>
      <c r="G147" s="5"/>
      <c r="H147" s="5"/>
      <c r="I147" s="5"/>
      <c r="J147" s="5"/>
      <c r="K147" s="5"/>
      <c r="L147" s="5"/>
      <c r="M147" s="6"/>
    </row>
    <row r="148" spans="1:13" ht="12.75">
      <c r="A148" s="4"/>
      <c r="B148" s="5"/>
      <c r="C148" s="22" t="s">
        <v>306</v>
      </c>
      <c r="D148" s="5"/>
      <c r="E148" s="5"/>
      <c r="F148" s="5"/>
      <c r="G148" s="5" t="s">
        <v>307</v>
      </c>
      <c r="H148" s="5"/>
      <c r="I148" s="22" t="s">
        <v>734</v>
      </c>
      <c r="J148" s="5"/>
      <c r="K148" s="5"/>
      <c r="L148" s="5"/>
      <c r="M148" s="6"/>
    </row>
    <row r="149" spans="1:13" ht="12.75">
      <c r="A149" s="4"/>
      <c r="B149" s="5"/>
      <c r="C149" s="5"/>
      <c r="D149" s="5" t="str">
        <f>ReTrans_Origin!C263</f>
        <v>X_gi_p7 = </v>
      </c>
      <c r="E149" s="267">
        <f>ReTrans_Origin!D263</f>
        <v>-2622028.578434739</v>
      </c>
      <c r="F149" s="5" t="s">
        <v>167</v>
      </c>
      <c r="G149" s="5" t="s">
        <v>308</v>
      </c>
      <c r="H149" s="5"/>
      <c r="I149" s="5"/>
      <c r="J149" s="26" t="s">
        <v>178</v>
      </c>
      <c r="K149" s="185">
        <f>IF(E149="","",(E149-$L$80)/G151)</f>
        <v>-0.4115999407215931</v>
      </c>
      <c r="L149" s="5"/>
      <c r="M149" s="6"/>
    </row>
    <row r="150" spans="1:13" ht="12.75">
      <c r="A150" s="4"/>
      <c r="B150" s="5"/>
      <c r="C150" s="5"/>
      <c r="D150" s="5" t="str">
        <f>ReTrans_Origin!C264</f>
        <v>Y_gi_p7 = </v>
      </c>
      <c r="E150" s="267">
        <f>ReTrans_Origin!D264</f>
        <v>-4251170.220453565</v>
      </c>
      <c r="F150" s="5" t="s">
        <v>167</v>
      </c>
      <c r="G150" s="5" t="s">
        <v>261</v>
      </c>
      <c r="H150" s="5"/>
      <c r="I150" s="5"/>
      <c r="J150" s="26" t="s">
        <v>1476</v>
      </c>
      <c r="K150" s="185">
        <f>IF(E149="","",(E150-$L$81)/G151)</f>
        <v>-0.6673388021501463</v>
      </c>
      <c r="L150" s="5"/>
      <c r="M150" s="6"/>
    </row>
    <row r="151" spans="1:13" ht="12.75">
      <c r="A151" s="4"/>
      <c r="B151" s="5"/>
      <c r="C151" s="5"/>
      <c r="D151" s="5" t="str">
        <f>ReTrans_Origin!C265</f>
        <v>Z_gi_p7 = </v>
      </c>
      <c r="E151" s="267">
        <f>ReTrans_Origin!D265</f>
        <v>3953941.9719306654</v>
      </c>
      <c r="F151" s="5" t="s">
        <v>167</v>
      </c>
      <c r="G151" s="189">
        <f>IF(E149="","",SQRT((E149-$L$80)^2+(E150-$L$81)^2+(E151-$L$82)^2))</f>
        <v>6370332.740665488</v>
      </c>
      <c r="H151" s="5" t="s">
        <v>167</v>
      </c>
      <c r="I151" s="5"/>
      <c r="J151" s="26" t="s">
        <v>1477</v>
      </c>
      <c r="K151" s="185">
        <f>IF(E149="","",(E151-$L$82)/G151)</f>
        <v>0.6206806038074567</v>
      </c>
      <c r="L151" s="5"/>
      <c r="M151" s="6"/>
    </row>
    <row r="152" spans="1:13" ht="12.75">
      <c r="A152" s="4"/>
      <c r="B152" s="5"/>
      <c r="C152" s="5"/>
      <c r="D152" s="5"/>
      <c r="E152" s="5"/>
      <c r="F152" s="5"/>
      <c r="G152" s="5"/>
      <c r="H152" s="5"/>
      <c r="I152" s="5"/>
      <c r="J152" s="5"/>
      <c r="K152" s="5"/>
      <c r="L152" s="5"/>
      <c r="M152" s="6"/>
    </row>
    <row r="153" spans="1:13" ht="12.75">
      <c r="A153" s="4"/>
      <c r="B153" s="5"/>
      <c r="C153" s="5"/>
      <c r="D153" s="5"/>
      <c r="E153" s="5"/>
      <c r="F153" s="5"/>
      <c r="G153" s="5"/>
      <c r="H153" s="5"/>
      <c r="I153" s="5"/>
      <c r="J153" s="5"/>
      <c r="K153" s="5"/>
      <c r="L153" s="5"/>
      <c r="M153" s="6"/>
    </row>
    <row r="154" spans="1:13" ht="12.75">
      <c r="A154" s="4"/>
      <c r="B154" s="5" t="s">
        <v>305</v>
      </c>
      <c r="C154" s="5"/>
      <c r="D154" s="5"/>
      <c r="E154" s="5"/>
      <c r="F154" s="5"/>
      <c r="G154" s="5"/>
      <c r="H154" s="5"/>
      <c r="I154" s="5"/>
      <c r="J154" s="5"/>
      <c r="K154" s="5"/>
      <c r="L154" s="5"/>
      <c r="M154" s="6"/>
    </row>
    <row r="155" spans="1:13" ht="12.75">
      <c r="A155" s="4"/>
      <c r="B155" s="5"/>
      <c r="C155" s="5"/>
      <c r="D155" s="5"/>
      <c r="E155" s="5"/>
      <c r="F155" s="5"/>
      <c r="G155" s="5"/>
      <c r="H155" s="5"/>
      <c r="I155" s="5"/>
      <c r="J155" s="5"/>
      <c r="K155" s="5"/>
      <c r="L155" s="5"/>
      <c r="M155" s="6"/>
    </row>
    <row r="156" spans="1:13" ht="12.75">
      <c r="A156" s="4"/>
      <c r="B156" s="5"/>
      <c r="C156" s="22" t="s">
        <v>306</v>
      </c>
      <c r="D156" s="5"/>
      <c r="E156" s="5"/>
      <c r="F156" s="5"/>
      <c r="G156" s="5" t="s">
        <v>307</v>
      </c>
      <c r="H156" s="5"/>
      <c r="I156" s="22" t="s">
        <v>734</v>
      </c>
      <c r="J156" s="5"/>
      <c r="K156" s="5"/>
      <c r="L156" s="5"/>
      <c r="M156" s="6"/>
    </row>
    <row r="157" spans="1:13" ht="12.75">
      <c r="A157" s="4"/>
      <c r="B157" s="5"/>
      <c r="C157" s="5"/>
      <c r="D157" s="5" t="str">
        <f>ReTrans_Origin!C279</f>
        <v>X_gi_p8 = </v>
      </c>
      <c r="E157" s="267">
        <f>ReTrans_Origin!D279</f>
        <v>-2608644.1908139396</v>
      </c>
      <c r="F157" s="5" t="s">
        <v>167</v>
      </c>
      <c r="G157" s="5" t="s">
        <v>308</v>
      </c>
      <c r="H157" s="5"/>
      <c r="I157" s="5"/>
      <c r="J157" s="26" t="s">
        <v>1469</v>
      </c>
      <c r="K157" s="185">
        <f>IF(E157="","",(E157-$L$80)/G159)</f>
        <v>-0.4094988907190777</v>
      </c>
      <c r="L157" s="5"/>
      <c r="M157" s="6"/>
    </row>
    <row r="158" spans="1:13" ht="12.75">
      <c r="A158" s="4"/>
      <c r="B158" s="5"/>
      <c r="C158" s="5"/>
      <c r="D158" s="5" t="str">
        <f>ReTrans_Origin!C280</f>
        <v>Y_gi_p8 = </v>
      </c>
      <c r="E158" s="267">
        <f>ReTrans_Origin!D280</f>
        <v>-4213899.24313146</v>
      </c>
      <c r="F158" s="5" t="s">
        <v>167</v>
      </c>
      <c r="G158" s="5" t="s">
        <v>261</v>
      </c>
      <c r="H158" s="5"/>
      <c r="I158" s="5"/>
      <c r="J158" s="26" t="s">
        <v>1470</v>
      </c>
      <c r="K158" s="185">
        <f>IF(E157="","",(E158-$L$81)/G159)</f>
        <v>-0.6614880909174058</v>
      </c>
      <c r="L158" s="5"/>
      <c r="M158" s="6"/>
    </row>
    <row r="159" spans="1:13" ht="12.75">
      <c r="A159" s="4"/>
      <c r="B159" s="5"/>
      <c r="C159" s="5"/>
      <c r="D159" s="5" t="str">
        <f>ReTrans_Origin!C281</f>
        <v>Z_gi_p8 = </v>
      </c>
      <c r="E159" s="267">
        <f>ReTrans_Origin!D281</f>
        <v>4002395.2679943386</v>
      </c>
      <c r="F159" s="5" t="s">
        <v>167</v>
      </c>
      <c r="G159" s="189">
        <f>IF(E157="","",SQRT((E157-$L$80)^2+(E158-$L$81)^2+(E159-$L$82)^2))</f>
        <v>6370332.740665489</v>
      </c>
      <c r="H159" s="5" t="s">
        <v>167</v>
      </c>
      <c r="I159" s="5"/>
      <c r="J159" s="26" t="s">
        <v>1471</v>
      </c>
      <c r="K159" s="185">
        <f>IF(E157="","",(E159-$L$82)/G159)</f>
        <v>0.6282866893976752</v>
      </c>
      <c r="L159" s="5"/>
      <c r="M159" s="6"/>
    </row>
    <row r="160" spans="1:13" ht="12.75">
      <c r="A160" s="4"/>
      <c r="B160" s="5"/>
      <c r="C160" s="5"/>
      <c r="D160" s="5"/>
      <c r="E160" s="5"/>
      <c r="F160" s="5"/>
      <c r="G160" s="5"/>
      <c r="H160" s="5"/>
      <c r="I160" s="5"/>
      <c r="J160" s="5"/>
      <c r="K160" s="5"/>
      <c r="L160" s="5"/>
      <c r="M160" s="6"/>
    </row>
    <row r="161" spans="1:13" ht="13.5" thickBot="1">
      <c r="A161" s="7"/>
      <c r="B161" s="8"/>
      <c r="C161" s="8"/>
      <c r="D161" s="8"/>
      <c r="E161" s="8"/>
      <c r="F161" s="8"/>
      <c r="G161" s="8"/>
      <c r="H161" s="8"/>
      <c r="I161" s="8"/>
      <c r="J161" s="8"/>
      <c r="K161" s="8"/>
      <c r="L161" s="8"/>
      <c r="M161" s="9"/>
    </row>
    <row r="162" ht="13.5" thickBot="1"/>
    <row r="163" spans="1:13" ht="12.75">
      <c r="A163" s="1"/>
      <c r="B163" s="2"/>
      <c r="C163" s="2"/>
      <c r="D163" s="2"/>
      <c r="E163" s="2"/>
      <c r="F163" s="2"/>
      <c r="G163" s="2"/>
      <c r="H163" s="2"/>
      <c r="I163" s="2"/>
      <c r="J163" s="2"/>
      <c r="K163" s="2"/>
      <c r="L163" s="2"/>
      <c r="M163" s="3"/>
    </row>
    <row r="164" spans="1:13" ht="12.75">
      <c r="A164" s="10" t="s">
        <v>94</v>
      </c>
      <c r="B164" s="5"/>
      <c r="C164" s="5"/>
      <c r="D164" s="5"/>
      <c r="E164" s="5"/>
      <c r="F164" s="5"/>
      <c r="G164" s="5"/>
      <c r="H164" s="5"/>
      <c r="I164" s="5"/>
      <c r="J164" s="5"/>
      <c r="K164" s="5"/>
      <c r="L164" s="5"/>
      <c r="M164" s="6"/>
    </row>
    <row r="165" spans="1:13" ht="12.75">
      <c r="A165" s="4"/>
      <c r="B165" s="5"/>
      <c r="C165" s="5"/>
      <c r="D165" s="5"/>
      <c r="E165" s="5"/>
      <c r="F165" s="5"/>
      <c r="G165" s="5"/>
      <c r="H165" s="5"/>
      <c r="I165" s="5"/>
      <c r="J165" s="5"/>
      <c r="K165" s="5"/>
      <c r="L165" s="5"/>
      <c r="M165" s="6"/>
    </row>
    <row r="166" spans="1:13" ht="12.75">
      <c r="A166" s="4"/>
      <c r="B166" s="22" t="s">
        <v>282</v>
      </c>
      <c r="C166" s="5"/>
      <c r="D166" s="5"/>
      <c r="E166" s="5"/>
      <c r="F166" s="5"/>
      <c r="G166" s="5"/>
      <c r="H166" s="5"/>
      <c r="I166" s="5"/>
      <c r="J166" s="5"/>
      <c r="K166" s="5"/>
      <c r="L166" s="5"/>
      <c r="M166" s="6"/>
    </row>
    <row r="167" spans="1:13" ht="12.75">
      <c r="A167" s="4"/>
      <c r="B167" s="5"/>
      <c r="C167" s="5"/>
      <c r="D167" s="5"/>
      <c r="E167" s="5"/>
      <c r="F167" s="5"/>
      <c r="G167" s="5"/>
      <c r="H167" s="5"/>
      <c r="I167" s="5"/>
      <c r="J167" s="5"/>
      <c r="K167" s="5"/>
      <c r="L167" s="5"/>
      <c r="M167" s="6"/>
    </row>
    <row r="168" spans="1:13" ht="12.75">
      <c r="A168" s="4"/>
      <c r="B168" s="22" t="s">
        <v>283</v>
      </c>
      <c r="C168" s="5"/>
      <c r="D168" s="5"/>
      <c r="E168" s="147" t="s">
        <v>181</v>
      </c>
      <c r="F168" s="26"/>
      <c r="G168" s="22" t="s">
        <v>182</v>
      </c>
      <c r="H168" s="5"/>
      <c r="I168" s="5"/>
      <c r="J168" s="5"/>
      <c r="K168" s="22" t="s">
        <v>183</v>
      </c>
      <c r="L168" s="5"/>
      <c r="M168" s="6"/>
    </row>
    <row r="169" spans="1:13" ht="12.75">
      <c r="A169" s="4"/>
      <c r="B169" s="26" t="str">
        <f aca="true" t="shared" si="0" ref="B169:C171">J93</f>
        <v>i_gi_p1 = </v>
      </c>
      <c r="C169" s="152">
        <f t="shared" si="0"/>
        <v>-0.4362549067036831</v>
      </c>
      <c r="D169" s="26" t="str">
        <f aca="true" t="shared" si="1" ref="D169:E171">J101</f>
        <v>i_gi_p2 = </v>
      </c>
      <c r="E169" s="152">
        <f t="shared" si="1"/>
        <v>-0.43228026050519436</v>
      </c>
      <c r="F169" s="70"/>
      <c r="G169" s="46"/>
      <c r="H169" s="70" t="s">
        <v>127</v>
      </c>
      <c r="I169" s="72">
        <f>IF((I170*I171)=0,"",C169*E169+C170*E170+C171*E171)</f>
        <v>0.9999285482305453</v>
      </c>
      <c r="J169" s="5"/>
      <c r="K169" s="269">
        <f>IF(I172="","",I172*$K$73)</f>
        <v>76152.85595548016</v>
      </c>
      <c r="L169" s="5" t="s">
        <v>167</v>
      </c>
      <c r="M169" s="6"/>
    </row>
    <row r="170" spans="1:13" ht="12.75">
      <c r="A170" s="4"/>
      <c r="B170" s="26" t="str">
        <f t="shared" si="0"/>
        <v>j_gi_p1 = </v>
      </c>
      <c r="C170" s="152">
        <f t="shared" si="0"/>
        <v>-0.662177607613972</v>
      </c>
      <c r="D170" s="26" t="str">
        <f t="shared" si="1"/>
        <v>j_gi_p2 = </v>
      </c>
      <c r="E170" s="152">
        <f t="shared" si="1"/>
        <v>-0.6560068250512441</v>
      </c>
      <c r="F170" s="46"/>
      <c r="G170" s="46"/>
      <c r="H170" s="70" t="s">
        <v>128</v>
      </c>
      <c r="I170" s="72">
        <f>IF(C169="","0",SQRT(C169^2+C170^2+C171^2))</f>
        <v>1</v>
      </c>
      <c r="J170" s="5"/>
      <c r="K170" s="5"/>
      <c r="L170" s="5"/>
      <c r="M170" s="6"/>
    </row>
    <row r="171" spans="1:13" ht="12.75">
      <c r="A171" s="4"/>
      <c r="B171" s="26" t="str">
        <f t="shared" si="0"/>
        <v>k_gi_p1 = </v>
      </c>
      <c r="C171" s="152">
        <f t="shared" si="0"/>
        <v>0.6092638774386655</v>
      </c>
      <c r="D171" s="26" t="str">
        <f t="shared" si="1"/>
        <v>k_gi_p2 = </v>
      </c>
      <c r="E171" s="152">
        <f t="shared" si="1"/>
        <v>0.6186992984186647</v>
      </c>
      <c r="F171" s="46"/>
      <c r="G171" s="46"/>
      <c r="H171" s="70" t="s">
        <v>129</v>
      </c>
      <c r="I171" s="72">
        <f>IF(E169="","0",SQRT(E169^2+E170^2+E171^2))</f>
        <v>1</v>
      </c>
      <c r="J171" s="5"/>
      <c r="K171" s="5"/>
      <c r="L171" s="5"/>
      <c r="M171" s="6"/>
    </row>
    <row r="172" spans="1:13" ht="12.75">
      <c r="A172" s="4"/>
      <c r="B172" s="5"/>
      <c r="C172" s="5"/>
      <c r="D172" s="5"/>
      <c r="E172" s="5"/>
      <c r="F172" s="5"/>
      <c r="G172" s="5"/>
      <c r="H172" s="70" t="s">
        <v>21</v>
      </c>
      <c r="I172" s="72">
        <f>IF((I170*I171)=0,"",ACOS(I169/(I170*I171)))</f>
        <v>0.011954298002261776</v>
      </c>
      <c r="J172" s="5" t="s">
        <v>599</v>
      </c>
      <c r="K172" s="5"/>
      <c r="L172" s="5"/>
      <c r="M172" s="6"/>
    </row>
    <row r="173" spans="1:13" ht="12.75">
      <c r="A173" s="4"/>
      <c r="B173" s="5"/>
      <c r="C173" s="5"/>
      <c r="D173" s="5"/>
      <c r="E173" s="5"/>
      <c r="F173" s="5"/>
      <c r="G173" s="5"/>
      <c r="H173" s="5"/>
      <c r="I173" s="68">
        <f>IF(I172="","",DEGREES(I172))</f>
        <v>0.6849308225712712</v>
      </c>
      <c r="J173" s="5" t="s">
        <v>1233</v>
      </c>
      <c r="K173" s="5"/>
      <c r="L173" s="5"/>
      <c r="M173" s="6"/>
    </row>
    <row r="174" spans="1:13" ht="12.75">
      <c r="A174" s="4"/>
      <c r="B174" s="22" t="s">
        <v>376</v>
      </c>
      <c r="C174" s="5"/>
      <c r="D174" s="5"/>
      <c r="E174" s="5"/>
      <c r="F174" s="5"/>
      <c r="G174" s="5"/>
      <c r="H174" s="5"/>
      <c r="I174" s="5"/>
      <c r="J174" s="5"/>
      <c r="K174" s="5"/>
      <c r="L174" s="5"/>
      <c r="M174" s="6"/>
    </row>
    <row r="175" spans="1:13" ht="12.75">
      <c r="A175" s="4"/>
      <c r="B175" s="5"/>
      <c r="C175" s="5"/>
      <c r="D175" s="5"/>
      <c r="E175" s="5"/>
      <c r="F175" s="5"/>
      <c r="G175" s="5"/>
      <c r="H175" s="5"/>
      <c r="I175" s="5"/>
      <c r="J175" s="5"/>
      <c r="K175" s="5"/>
      <c r="L175" s="5"/>
      <c r="M175" s="6"/>
    </row>
    <row r="176" spans="1:13" ht="12.75">
      <c r="A176" s="4"/>
      <c r="B176" s="22" t="s">
        <v>181</v>
      </c>
      <c r="C176" s="5"/>
      <c r="D176" s="5"/>
      <c r="E176" s="147" t="s">
        <v>377</v>
      </c>
      <c r="F176" s="26"/>
      <c r="G176" s="22" t="s">
        <v>182</v>
      </c>
      <c r="H176" s="5"/>
      <c r="I176" s="5"/>
      <c r="J176" s="5"/>
      <c r="K176" s="22" t="s">
        <v>183</v>
      </c>
      <c r="L176" s="5"/>
      <c r="M176" s="6"/>
    </row>
    <row r="177" spans="1:13" ht="12.75">
      <c r="A177" s="4"/>
      <c r="B177" s="26" t="str">
        <f aca="true" t="shared" si="2" ref="B177:C179">J101</f>
        <v>i_gi_p2 = </v>
      </c>
      <c r="C177" s="152">
        <f t="shared" si="2"/>
        <v>-0.43228026050519436</v>
      </c>
      <c r="D177" s="26" t="str">
        <f aca="true" t="shared" si="3" ref="D177:E179">J109</f>
        <v>i_gi_p3 = </v>
      </c>
      <c r="E177" s="152">
        <f t="shared" si="3"/>
        <v>-0.42880058570685475</v>
      </c>
      <c r="F177" s="70"/>
      <c r="G177" s="46"/>
      <c r="H177" s="70" t="s">
        <v>127</v>
      </c>
      <c r="I177" s="72">
        <f>IF((I178*I179)=0,"",C177*E177+C178*E178+C179*E179)</f>
        <v>0.9999456982163365</v>
      </c>
      <c r="J177" s="5"/>
      <c r="K177" s="269">
        <f>IF(I180="","",I180*$K$73)</f>
        <v>66387.47151212729</v>
      </c>
      <c r="L177" s="5" t="s">
        <v>167</v>
      </c>
      <c r="M177" s="6"/>
    </row>
    <row r="178" spans="1:13" ht="12.75">
      <c r="A178" s="4"/>
      <c r="B178" s="26" t="str">
        <f t="shared" si="2"/>
        <v>j_gi_p2 = </v>
      </c>
      <c r="C178" s="152">
        <f t="shared" si="2"/>
        <v>-0.6560068250512441</v>
      </c>
      <c r="D178" s="26" t="str">
        <f t="shared" si="3"/>
        <v>j_gi_p3 = </v>
      </c>
      <c r="E178" s="152">
        <f t="shared" si="3"/>
        <v>-0.6505275686188574</v>
      </c>
      <c r="F178" s="46"/>
      <c r="G178" s="46"/>
      <c r="H178" s="70" t="s">
        <v>128</v>
      </c>
      <c r="I178" s="72">
        <f>IF(C177="","0",SQRT(C177^2+C178^2+C179^2))</f>
        <v>1</v>
      </c>
      <c r="J178" s="5"/>
      <c r="K178" s="5"/>
      <c r="L178" s="5"/>
      <c r="M178" s="6"/>
    </row>
    <row r="179" spans="1:13" ht="12.75">
      <c r="A179" s="4"/>
      <c r="B179" s="26" t="str">
        <f t="shared" si="2"/>
        <v>k_gi_p2 = </v>
      </c>
      <c r="C179" s="152">
        <f t="shared" si="2"/>
        <v>0.6186992984186647</v>
      </c>
      <c r="D179" s="26" t="str">
        <f t="shared" si="3"/>
        <v>k_gi_p3 = </v>
      </c>
      <c r="E179" s="152">
        <f t="shared" si="3"/>
        <v>0.6268524070020757</v>
      </c>
      <c r="F179" s="46"/>
      <c r="G179" s="46"/>
      <c r="H179" s="70" t="s">
        <v>129</v>
      </c>
      <c r="I179" s="72">
        <f>IF(E177="","0",SQRT(E177^2+E178^2+E179^2))</f>
        <v>0.9999999999999999</v>
      </c>
      <c r="J179" s="5"/>
      <c r="K179" s="5"/>
      <c r="L179" s="5"/>
      <c r="M179" s="6"/>
    </row>
    <row r="180" spans="1:13" ht="12.75">
      <c r="A180" s="4"/>
      <c r="B180" s="5"/>
      <c r="C180" s="5"/>
      <c r="D180" s="5"/>
      <c r="E180" s="5"/>
      <c r="F180" s="5"/>
      <c r="G180" s="5"/>
      <c r="H180" s="70" t="s">
        <v>21</v>
      </c>
      <c r="I180" s="72">
        <f>IF((I178*I179)=0,"",ACOS(I177/(I178*I179)))</f>
        <v>0.01042135069151695</v>
      </c>
      <c r="J180" s="5" t="s">
        <v>599</v>
      </c>
      <c r="K180" s="5"/>
      <c r="L180" s="5"/>
      <c r="M180" s="6"/>
    </row>
    <row r="181" spans="1:13" ht="12.75">
      <c r="A181" s="4"/>
      <c r="B181" s="5"/>
      <c r="C181" s="5"/>
      <c r="D181" s="5"/>
      <c r="E181" s="5"/>
      <c r="F181" s="5"/>
      <c r="G181" s="5"/>
      <c r="H181" s="5"/>
      <c r="I181" s="68">
        <f>IF(I180="","",DEGREES(I180))</f>
        <v>0.5970994114496632</v>
      </c>
      <c r="J181" s="5" t="s">
        <v>1233</v>
      </c>
      <c r="K181" s="5"/>
      <c r="L181" s="5"/>
      <c r="M181" s="6"/>
    </row>
    <row r="182" spans="1:13" ht="12.75">
      <c r="A182" s="4"/>
      <c r="B182" s="22" t="s">
        <v>378</v>
      </c>
      <c r="C182" s="5"/>
      <c r="D182" s="5"/>
      <c r="E182" s="5"/>
      <c r="F182" s="5"/>
      <c r="G182" s="5"/>
      <c r="H182" s="5"/>
      <c r="I182" s="5"/>
      <c r="J182" s="5"/>
      <c r="K182" s="5"/>
      <c r="L182" s="5"/>
      <c r="M182" s="6"/>
    </row>
    <row r="183" spans="1:13" ht="12.75">
      <c r="A183" s="4"/>
      <c r="B183" s="5"/>
      <c r="C183" s="5"/>
      <c r="D183" s="5"/>
      <c r="E183" s="5"/>
      <c r="F183" s="5"/>
      <c r="G183" s="5"/>
      <c r="H183" s="5"/>
      <c r="I183" s="5"/>
      <c r="J183" s="5"/>
      <c r="K183" s="5"/>
      <c r="L183" s="5"/>
      <c r="M183" s="6"/>
    </row>
    <row r="184" spans="1:13" ht="12.75">
      <c r="A184" s="4"/>
      <c r="B184" s="22" t="s">
        <v>377</v>
      </c>
      <c r="C184" s="5"/>
      <c r="D184" s="5"/>
      <c r="E184" s="147" t="s">
        <v>379</v>
      </c>
      <c r="F184" s="26"/>
      <c r="G184" s="22" t="s">
        <v>182</v>
      </c>
      <c r="H184" s="5"/>
      <c r="I184" s="5"/>
      <c r="J184" s="5"/>
      <c r="K184" s="22" t="s">
        <v>183</v>
      </c>
      <c r="L184" s="5"/>
      <c r="M184" s="6"/>
    </row>
    <row r="185" spans="1:13" ht="12.75">
      <c r="A185" s="4"/>
      <c r="B185" s="26" t="str">
        <f aca="true" t="shared" si="4" ref="B185:C187">J109</f>
        <v>i_gi_p3 = </v>
      </c>
      <c r="C185" s="152">
        <f t="shared" si="4"/>
        <v>-0.42880058570685475</v>
      </c>
      <c r="D185" s="26" t="str">
        <f aca="true" t="shared" si="5" ref="D185:E187">J133</f>
        <v>i_gi_p5 = </v>
      </c>
      <c r="E185" s="152">
        <f t="shared" si="5"/>
        <v>-0.41890816753143223</v>
      </c>
      <c r="F185" s="70"/>
      <c r="G185" s="46"/>
      <c r="H185" s="70" t="s">
        <v>127</v>
      </c>
      <c r="I185" s="72">
        <f>IF((I186*I187)=0,"",C185*E185+C186*E186+C187*E187)</f>
        <v>0.999934696577347</v>
      </c>
      <c r="J185" s="5"/>
      <c r="K185" s="269">
        <f>IF(I188="","",I188*$K$73)</f>
        <v>72802.69404987339</v>
      </c>
      <c r="L185" s="5"/>
      <c r="M185" s="6"/>
    </row>
    <row r="186" spans="1:13" ht="12.75">
      <c r="A186" s="4"/>
      <c r="B186" s="26" t="str">
        <f t="shared" si="4"/>
        <v>j_gi_p3 = </v>
      </c>
      <c r="C186" s="152">
        <f t="shared" si="4"/>
        <v>-0.6505275686188574</v>
      </c>
      <c r="D186" s="26" t="str">
        <f t="shared" si="5"/>
        <v>j_gi_p5 = </v>
      </c>
      <c r="E186" s="152">
        <f t="shared" si="5"/>
        <v>-0.6561967209155365</v>
      </c>
      <c r="F186" s="46"/>
      <c r="G186" s="46"/>
      <c r="H186" s="70" t="s">
        <v>128</v>
      </c>
      <c r="I186" s="72">
        <f>IF(C185="","0",SQRT(C185^2+C186^2+C187^2))</f>
        <v>0.9999999999999999</v>
      </c>
      <c r="J186" s="5"/>
      <c r="K186" s="5"/>
      <c r="L186" s="5"/>
      <c r="M186" s="6"/>
    </row>
    <row r="187" spans="1:13" ht="12.75">
      <c r="A187" s="4"/>
      <c r="B187" s="26" t="str">
        <f t="shared" si="4"/>
        <v>k_gi_p3 = </v>
      </c>
      <c r="C187" s="152">
        <f t="shared" si="4"/>
        <v>0.6268524070020757</v>
      </c>
      <c r="D187" s="26" t="str">
        <f t="shared" si="5"/>
        <v>k_gi_p5 = </v>
      </c>
      <c r="E187" s="152">
        <f t="shared" si="5"/>
        <v>0.6276319069607242</v>
      </c>
      <c r="F187" s="46"/>
      <c r="G187" s="46"/>
      <c r="H187" s="70" t="s">
        <v>129</v>
      </c>
      <c r="I187" s="72">
        <f>IF(E185="","0",SQRT(E185^2+E186^2+E187^2))</f>
        <v>1</v>
      </c>
      <c r="J187" s="5"/>
      <c r="K187" s="5"/>
      <c r="L187" s="5"/>
      <c r="M187" s="6"/>
    </row>
    <row r="188" spans="1:13" ht="12.75">
      <c r="A188" s="4"/>
      <c r="B188" s="5"/>
      <c r="C188" s="5"/>
      <c r="D188" s="5"/>
      <c r="E188" s="5"/>
      <c r="F188" s="5"/>
      <c r="G188" s="5"/>
      <c r="H188" s="70" t="s">
        <v>21</v>
      </c>
      <c r="I188" s="72">
        <f>IF((I186*I187)=0,"",ACOS(I185/(I186*I187)))</f>
        <v>0.011428397387334588</v>
      </c>
      <c r="J188" s="5" t="s">
        <v>599</v>
      </c>
      <c r="K188" s="5"/>
      <c r="L188" s="5"/>
      <c r="M188" s="6"/>
    </row>
    <row r="189" spans="1:13" ht="12.75">
      <c r="A189" s="4"/>
      <c r="B189" s="5"/>
      <c r="C189" s="5"/>
      <c r="D189" s="5"/>
      <c r="E189" s="5"/>
      <c r="F189" s="5"/>
      <c r="G189" s="5"/>
      <c r="H189" s="5"/>
      <c r="I189" s="68">
        <f>IF(I188="","",DEGREES(I188))</f>
        <v>0.6547989368926086</v>
      </c>
      <c r="J189" s="5" t="s">
        <v>1233</v>
      </c>
      <c r="K189" s="5"/>
      <c r="L189" s="5"/>
      <c r="M189" s="6"/>
    </row>
    <row r="190" spans="1:13" ht="12.75">
      <c r="A190" s="4"/>
      <c r="B190" s="22" t="s">
        <v>472</v>
      </c>
      <c r="C190" s="5"/>
      <c r="D190" s="5"/>
      <c r="E190" s="5"/>
      <c r="F190" s="5"/>
      <c r="G190" s="5"/>
      <c r="H190" s="5"/>
      <c r="I190" s="5"/>
      <c r="J190" s="5"/>
      <c r="K190" s="5"/>
      <c r="L190" s="5"/>
      <c r="M190" s="6"/>
    </row>
    <row r="191" spans="1:13" ht="12.75">
      <c r="A191" s="4"/>
      <c r="B191" s="5"/>
      <c r="C191" s="5"/>
      <c r="D191" s="5"/>
      <c r="E191" s="5"/>
      <c r="F191" s="5"/>
      <c r="G191" s="5"/>
      <c r="H191" s="5"/>
      <c r="I191" s="5"/>
      <c r="J191" s="5"/>
      <c r="K191" s="5"/>
      <c r="L191" s="5"/>
      <c r="M191" s="6"/>
    </row>
    <row r="192" spans="1:13" ht="12.75">
      <c r="A192" s="4"/>
      <c r="B192" s="22" t="s">
        <v>473</v>
      </c>
      <c r="C192" s="5"/>
      <c r="D192" s="5"/>
      <c r="E192" s="147" t="s">
        <v>474</v>
      </c>
      <c r="F192" s="26"/>
      <c r="G192" s="22" t="s">
        <v>182</v>
      </c>
      <c r="H192" s="5"/>
      <c r="I192" s="5"/>
      <c r="J192" s="5"/>
      <c r="K192" s="22" t="s">
        <v>183</v>
      </c>
      <c r="L192" s="5"/>
      <c r="M192" s="6"/>
    </row>
    <row r="193" spans="1:13" ht="12.75">
      <c r="A193" s="4"/>
      <c r="B193" s="26" t="str">
        <f aca="true" t="shared" si="6" ref="B193:C195">J117</f>
        <v>i_gi_p4 = </v>
      </c>
      <c r="C193" s="152">
        <f t="shared" si="6"/>
        <v>-0.4247607821778162</v>
      </c>
      <c r="D193" s="26" t="str">
        <f aca="true" t="shared" si="7" ref="D193:E195">J125</f>
        <v>i_gi_pp = </v>
      </c>
      <c r="E193" s="152">
        <f t="shared" si="7"/>
        <v>-0.4216600365272675</v>
      </c>
      <c r="F193" s="70"/>
      <c r="G193" s="46"/>
      <c r="H193" s="70" t="s">
        <v>127</v>
      </c>
      <c r="I193" s="72">
        <f>IF((I194*I195)=0,"",C193*E193+C194*E194+C195*E195)</f>
        <v>0.9999339112067148</v>
      </c>
      <c r="J193" s="5"/>
      <c r="K193" s="269">
        <f>IF(I196="","",I196*$K$73)</f>
        <v>73239.17071330774</v>
      </c>
      <c r="L193" s="5"/>
      <c r="M193" s="6"/>
    </row>
    <row r="194" spans="1:13" ht="12.75">
      <c r="A194" s="4"/>
      <c r="B194" s="26" t="str">
        <f t="shared" si="6"/>
        <v>j_gi_p4 = </v>
      </c>
      <c r="C194" s="152">
        <f t="shared" si="6"/>
        <v>-0.6682638576576345</v>
      </c>
      <c r="D194" s="26" t="str">
        <f t="shared" si="7"/>
        <v>j_gi_pp = </v>
      </c>
      <c r="E194" s="152">
        <f t="shared" si="7"/>
        <v>-0.6618736777836854</v>
      </c>
      <c r="F194" s="46"/>
      <c r="G194" s="46"/>
      <c r="H194" s="70" t="s">
        <v>128</v>
      </c>
      <c r="I194" s="72">
        <f>IF(C193="","0",SQRT(C193^2+C194^2+C195^2))</f>
        <v>0.9999999999999999</v>
      </c>
      <c r="J194" s="5"/>
      <c r="K194" s="5"/>
      <c r="L194" s="5"/>
      <c r="M194" s="6"/>
    </row>
    <row r="195" spans="1:13" ht="12.75">
      <c r="A195" s="4"/>
      <c r="B195" s="26" t="str">
        <f t="shared" si="6"/>
        <v>k_gi_p4 = </v>
      </c>
      <c r="C195" s="152">
        <f t="shared" si="6"/>
        <v>0.6107386466175416</v>
      </c>
      <c r="D195" s="26" t="str">
        <f t="shared" si="7"/>
        <v>k_gi_pp = </v>
      </c>
      <c r="E195" s="152">
        <f t="shared" si="7"/>
        <v>0.6197790317951403</v>
      </c>
      <c r="F195" s="46"/>
      <c r="G195" s="46"/>
      <c r="H195" s="70" t="s">
        <v>129</v>
      </c>
      <c r="I195" s="72">
        <f>IF(E193="","0",SQRT(E193^2+E194^2+E195^2))</f>
        <v>1</v>
      </c>
      <c r="J195" s="5"/>
      <c r="K195" s="5"/>
      <c r="L195" s="5"/>
      <c r="M195" s="6"/>
    </row>
    <row r="196" spans="1:13" ht="12.75">
      <c r="A196" s="4"/>
      <c r="B196" s="5"/>
      <c r="C196" s="5"/>
      <c r="D196" s="5"/>
      <c r="E196" s="5"/>
      <c r="F196" s="5"/>
      <c r="G196" s="5"/>
      <c r="H196" s="70" t="s">
        <v>21</v>
      </c>
      <c r="I196" s="72">
        <f>IF((I194*I195)=0,"",ACOS(I193/(I194*I195)))</f>
        <v>0.01149691447760337</v>
      </c>
      <c r="J196" s="5" t="s">
        <v>599</v>
      </c>
      <c r="K196" s="5"/>
      <c r="L196" s="5"/>
      <c r="M196" s="6"/>
    </row>
    <row r="197" spans="1:13" ht="12.75">
      <c r="A197" s="4"/>
      <c r="B197" s="5"/>
      <c r="C197" s="5"/>
      <c r="D197" s="5"/>
      <c r="E197" s="5"/>
      <c r="F197" s="5"/>
      <c r="G197" s="5"/>
      <c r="H197" s="5"/>
      <c r="I197" s="68">
        <f>IF(I196="","",DEGREES(I196))</f>
        <v>0.6587246769895267</v>
      </c>
      <c r="J197" s="5" t="s">
        <v>1233</v>
      </c>
      <c r="K197" s="5"/>
      <c r="L197" s="5"/>
      <c r="M197" s="6"/>
    </row>
    <row r="198" spans="1:13" ht="12.75">
      <c r="A198" s="4"/>
      <c r="B198" s="22" t="s">
        <v>475</v>
      </c>
      <c r="C198" s="5"/>
      <c r="D198" s="5"/>
      <c r="E198" s="5"/>
      <c r="F198" s="5"/>
      <c r="G198" s="5"/>
      <c r="H198" s="5"/>
      <c r="I198" s="5"/>
      <c r="J198" s="5"/>
      <c r="K198" s="5"/>
      <c r="L198" s="5"/>
      <c r="M198" s="6"/>
    </row>
    <row r="199" spans="1:13" ht="12.75">
      <c r="A199" s="4"/>
      <c r="B199" s="5"/>
      <c r="C199" s="5"/>
      <c r="D199" s="5"/>
      <c r="E199" s="5"/>
      <c r="F199" s="5"/>
      <c r="G199" s="5"/>
      <c r="H199" s="5"/>
      <c r="I199" s="5"/>
      <c r="J199" s="5"/>
      <c r="K199" s="5"/>
      <c r="L199" s="5"/>
      <c r="M199" s="6"/>
    </row>
    <row r="200" spans="1:13" ht="12.75">
      <c r="A200" s="4"/>
      <c r="B200" s="22" t="s">
        <v>474</v>
      </c>
      <c r="C200" s="5"/>
      <c r="D200" s="5"/>
      <c r="E200" s="147" t="s">
        <v>379</v>
      </c>
      <c r="F200" s="26"/>
      <c r="G200" s="22" t="s">
        <v>182</v>
      </c>
      <c r="H200" s="5"/>
      <c r="I200" s="5"/>
      <c r="J200" s="5"/>
      <c r="K200" s="22" t="s">
        <v>183</v>
      </c>
      <c r="L200" s="5"/>
      <c r="M200" s="6"/>
    </row>
    <row r="201" spans="1:13" ht="12.75">
      <c r="A201" s="4"/>
      <c r="B201" s="26" t="str">
        <f aca="true" t="shared" si="8" ref="B201:C203">J125</f>
        <v>i_gi_pp = </v>
      </c>
      <c r="C201" s="152">
        <f t="shared" si="8"/>
        <v>-0.4216600365272675</v>
      </c>
      <c r="D201" s="26" t="str">
        <f aca="true" t="shared" si="9" ref="D201:E203">J133</f>
        <v>i_gi_p5 = </v>
      </c>
      <c r="E201" s="152">
        <f t="shared" si="9"/>
        <v>-0.41890816753143223</v>
      </c>
      <c r="F201" s="70"/>
      <c r="G201" s="46"/>
      <c r="H201" s="70" t="s">
        <v>127</v>
      </c>
      <c r="I201" s="72">
        <f>IF((I202*I203)=0,"",C201*E201+C202*E202+C203*E203)</f>
        <v>0.9999492658646905</v>
      </c>
      <c r="J201" s="5"/>
      <c r="K201" s="269">
        <f>IF(I204="","",I204*$K$73)</f>
        <v>64169.56315528842</v>
      </c>
      <c r="L201" s="5"/>
      <c r="M201" s="6"/>
    </row>
    <row r="202" spans="1:13" ht="12.75">
      <c r="A202" s="4"/>
      <c r="B202" s="26" t="str">
        <f t="shared" si="8"/>
        <v>j_gi_pp = </v>
      </c>
      <c r="C202" s="152">
        <f t="shared" si="8"/>
        <v>-0.6618736777836854</v>
      </c>
      <c r="D202" s="26" t="str">
        <f t="shared" si="9"/>
        <v>j_gi_p5 = </v>
      </c>
      <c r="E202" s="152">
        <f t="shared" si="9"/>
        <v>-0.6561967209155365</v>
      </c>
      <c r="F202" s="46"/>
      <c r="G202" s="46"/>
      <c r="H202" s="70" t="s">
        <v>128</v>
      </c>
      <c r="I202" s="72">
        <f>IF(C201="","0",SQRT(C201^2+C202^2+C203^2))</f>
        <v>1</v>
      </c>
      <c r="J202" s="5"/>
      <c r="K202" s="5"/>
      <c r="L202" s="5"/>
      <c r="M202" s="6"/>
    </row>
    <row r="203" spans="1:13" ht="12.75">
      <c r="A203" s="4"/>
      <c r="B203" s="26" t="str">
        <f t="shared" si="8"/>
        <v>k_gi_pp = </v>
      </c>
      <c r="C203" s="152">
        <f t="shared" si="8"/>
        <v>0.6197790317951403</v>
      </c>
      <c r="D203" s="26" t="str">
        <f t="shared" si="9"/>
        <v>k_gi_p5 = </v>
      </c>
      <c r="E203" s="152">
        <f t="shared" si="9"/>
        <v>0.6276319069607242</v>
      </c>
      <c r="F203" s="46"/>
      <c r="G203" s="46"/>
      <c r="H203" s="70" t="s">
        <v>129</v>
      </c>
      <c r="I203" s="72">
        <f>IF(E201="","0",SQRT(E201^2+E202^2+E203^2))</f>
        <v>1</v>
      </c>
      <c r="J203" s="5"/>
      <c r="K203" s="5"/>
      <c r="L203" s="5"/>
      <c r="M203" s="6"/>
    </row>
    <row r="204" spans="1:13" ht="12.75">
      <c r="A204" s="4"/>
      <c r="B204" s="5"/>
      <c r="C204" s="5"/>
      <c r="D204" s="5"/>
      <c r="E204" s="5"/>
      <c r="F204" s="5"/>
      <c r="G204" s="5"/>
      <c r="H204" s="70" t="s">
        <v>21</v>
      </c>
      <c r="I204" s="72">
        <f>IF((I202*I203)=0,"",ACOS(I201/(I202*I203)))</f>
        <v>0.010073188602167882</v>
      </c>
      <c r="J204" s="5" t="s">
        <v>599</v>
      </c>
      <c r="K204" s="5"/>
      <c r="L204" s="5"/>
      <c r="M204" s="6"/>
    </row>
    <row r="205" spans="1:13" ht="12.75">
      <c r="A205" s="4"/>
      <c r="B205" s="5"/>
      <c r="C205" s="5"/>
      <c r="D205" s="5"/>
      <c r="E205" s="5"/>
      <c r="F205" s="5"/>
      <c r="G205" s="5"/>
      <c r="H205" s="5"/>
      <c r="I205" s="68">
        <f>IF(I204="","",DEGREES(I204))</f>
        <v>0.5771511931435049</v>
      </c>
      <c r="J205" s="5" t="s">
        <v>1233</v>
      </c>
      <c r="K205" s="5"/>
      <c r="L205" s="5"/>
      <c r="M205" s="6"/>
    </row>
    <row r="206" spans="1:13" ht="12.75">
      <c r="A206" s="4"/>
      <c r="B206" s="22" t="s">
        <v>476</v>
      </c>
      <c r="C206" s="5"/>
      <c r="D206" s="5"/>
      <c r="E206" s="5"/>
      <c r="F206" s="5"/>
      <c r="G206" s="5"/>
      <c r="H206" s="5"/>
      <c r="I206" s="5"/>
      <c r="J206" s="5"/>
      <c r="K206" s="5"/>
      <c r="L206" s="5"/>
      <c r="M206" s="6"/>
    </row>
    <row r="207" spans="1:13" ht="12.75">
      <c r="A207" s="4"/>
      <c r="B207" s="5"/>
      <c r="C207" s="5"/>
      <c r="D207" s="5"/>
      <c r="E207" s="5"/>
      <c r="F207" s="5"/>
      <c r="G207" s="5"/>
      <c r="H207" s="5"/>
      <c r="I207" s="5"/>
      <c r="J207" s="5"/>
      <c r="K207" s="5"/>
      <c r="L207" s="5"/>
      <c r="M207" s="6"/>
    </row>
    <row r="208" spans="1:13" ht="12.75">
      <c r="A208" s="4"/>
      <c r="B208" s="22" t="s">
        <v>379</v>
      </c>
      <c r="C208" s="5"/>
      <c r="D208" s="5"/>
      <c r="E208" s="147" t="s">
        <v>477</v>
      </c>
      <c r="F208" s="26"/>
      <c r="G208" s="22" t="s">
        <v>182</v>
      </c>
      <c r="H208" s="5"/>
      <c r="I208" s="5"/>
      <c r="J208" s="5"/>
      <c r="K208" s="22" t="s">
        <v>183</v>
      </c>
      <c r="L208" s="5"/>
      <c r="M208" s="6"/>
    </row>
    <row r="209" spans="1:13" ht="12.75">
      <c r="A209" s="4"/>
      <c r="B209" s="26" t="str">
        <f aca="true" t="shared" si="10" ref="B209:C211">J133</f>
        <v>i_gi_p5 = </v>
      </c>
      <c r="C209" s="152">
        <f t="shared" si="10"/>
        <v>-0.41890816753143223</v>
      </c>
      <c r="D209" s="26" t="str">
        <f aca="true" t="shared" si="11" ref="D209:E211">J157</f>
        <v>i_gi_p8 = </v>
      </c>
      <c r="E209" s="152">
        <f t="shared" si="11"/>
        <v>-0.4094988907190777</v>
      </c>
      <c r="F209" s="70"/>
      <c r="G209" s="46"/>
      <c r="H209" s="70" t="s">
        <v>127</v>
      </c>
      <c r="I209" s="72">
        <f>IF((I210*I211)=0,"",C209*E209+C210*E210+C211*E211)</f>
        <v>0.9999415190866661</v>
      </c>
      <c r="J209" s="5"/>
      <c r="K209" s="269">
        <f>IF(I212="","",I212*$K$73)</f>
        <v>68894.7780000946</v>
      </c>
      <c r="L209" s="5"/>
      <c r="M209" s="6"/>
    </row>
    <row r="210" spans="1:13" ht="12.75">
      <c r="A210" s="4"/>
      <c r="B210" s="26" t="str">
        <f t="shared" si="10"/>
        <v>j_gi_p5 = </v>
      </c>
      <c r="C210" s="152">
        <f t="shared" si="10"/>
        <v>-0.6561967209155365</v>
      </c>
      <c r="D210" s="26" t="str">
        <f t="shared" si="11"/>
        <v>j_gi_p8 = </v>
      </c>
      <c r="E210" s="152">
        <f t="shared" si="11"/>
        <v>-0.6614880909174058</v>
      </c>
      <c r="F210" s="46"/>
      <c r="G210" s="46"/>
      <c r="H210" s="70" t="s">
        <v>128</v>
      </c>
      <c r="I210" s="72">
        <f>IF(C209="","0",SQRT(C209^2+C210^2+C211^2))</f>
        <v>1</v>
      </c>
      <c r="J210" s="5"/>
      <c r="K210" s="5"/>
      <c r="L210" s="5"/>
      <c r="M210" s="6"/>
    </row>
    <row r="211" spans="1:13" ht="12.75">
      <c r="A211" s="4"/>
      <c r="B211" s="26" t="str">
        <f t="shared" si="10"/>
        <v>k_gi_p5 = </v>
      </c>
      <c r="C211" s="152">
        <f t="shared" si="10"/>
        <v>0.6276319069607242</v>
      </c>
      <c r="D211" s="26" t="str">
        <f t="shared" si="11"/>
        <v>k_gi_p8 = </v>
      </c>
      <c r="E211" s="152">
        <f t="shared" si="11"/>
        <v>0.6282866893976752</v>
      </c>
      <c r="F211" s="46"/>
      <c r="G211" s="46"/>
      <c r="H211" s="70" t="s">
        <v>129</v>
      </c>
      <c r="I211" s="72">
        <f>IF(E209="","0",SQRT(E209^2+E210^2+E211^2))</f>
        <v>1</v>
      </c>
      <c r="J211" s="5"/>
      <c r="K211" s="5"/>
      <c r="L211" s="5"/>
      <c r="M211" s="6"/>
    </row>
    <row r="212" spans="1:13" ht="12.75">
      <c r="A212" s="4"/>
      <c r="B212" s="5"/>
      <c r="C212" s="5"/>
      <c r="D212" s="5"/>
      <c r="E212" s="5"/>
      <c r="F212" s="5"/>
      <c r="G212" s="5"/>
      <c r="H212" s="70" t="s">
        <v>21</v>
      </c>
      <c r="I212" s="72">
        <f>IF((I210*I211)=0,"",ACOS(I209/(I210*I211)))</f>
        <v>0.010814941825612934</v>
      </c>
      <c r="J212" s="5" t="s">
        <v>599</v>
      </c>
      <c r="K212" s="5"/>
      <c r="L212" s="5"/>
      <c r="M212" s="6"/>
    </row>
    <row r="213" spans="1:13" ht="12.75">
      <c r="A213" s="4"/>
      <c r="B213" s="5"/>
      <c r="C213" s="5"/>
      <c r="D213" s="5"/>
      <c r="E213" s="5"/>
      <c r="F213" s="5"/>
      <c r="G213" s="5"/>
      <c r="H213" s="5"/>
      <c r="I213" s="68">
        <f>IF(I212="","",DEGREES(I212))</f>
        <v>0.6196505222871307</v>
      </c>
      <c r="J213" s="5" t="s">
        <v>1233</v>
      </c>
      <c r="K213" s="5"/>
      <c r="L213" s="5"/>
      <c r="M213" s="6"/>
    </row>
    <row r="214" spans="1:13" ht="12.75">
      <c r="A214" s="4"/>
      <c r="B214" s="22" t="s">
        <v>161</v>
      </c>
      <c r="C214" s="5"/>
      <c r="D214" s="5"/>
      <c r="E214" s="5"/>
      <c r="F214" s="5"/>
      <c r="G214" s="5"/>
      <c r="H214" s="5"/>
      <c r="I214" s="5"/>
      <c r="J214" s="5"/>
      <c r="K214" s="5"/>
      <c r="L214" s="5"/>
      <c r="M214" s="6"/>
    </row>
    <row r="215" spans="1:13" ht="12.75">
      <c r="A215" s="4"/>
      <c r="B215" s="5"/>
      <c r="C215" s="5"/>
      <c r="D215" s="5"/>
      <c r="E215" s="5"/>
      <c r="F215" s="5"/>
      <c r="G215" s="5"/>
      <c r="H215" s="5"/>
      <c r="I215" s="5"/>
      <c r="J215" s="5"/>
      <c r="K215" s="5"/>
      <c r="L215" s="5"/>
      <c r="M215" s="6"/>
    </row>
    <row r="216" spans="1:13" ht="12.75">
      <c r="A216" s="4"/>
      <c r="B216" s="22" t="s">
        <v>162</v>
      </c>
      <c r="C216" s="5"/>
      <c r="D216" s="5"/>
      <c r="E216" s="147" t="s">
        <v>163</v>
      </c>
      <c r="F216" s="26"/>
      <c r="G216" s="22" t="s">
        <v>182</v>
      </c>
      <c r="H216" s="5"/>
      <c r="I216" s="5"/>
      <c r="J216" s="5"/>
      <c r="K216" s="22" t="s">
        <v>183</v>
      </c>
      <c r="L216" s="5"/>
      <c r="M216" s="6"/>
    </row>
    <row r="217" spans="1:13" ht="12.75">
      <c r="A217" s="4"/>
      <c r="B217" s="26" t="str">
        <f aca="true" t="shared" si="12" ref="B217:C219">J141</f>
        <v>i_gi_p6 = </v>
      </c>
      <c r="C217" s="152">
        <f t="shared" si="12"/>
        <v>-0.4139283841363129</v>
      </c>
      <c r="D217" s="26" t="str">
        <f aca="true" t="shared" si="13" ref="D217:E219">J149</f>
        <v>i_gi_p7 = </v>
      </c>
      <c r="E217" s="152">
        <f t="shared" si="13"/>
        <v>-0.4115999407215931</v>
      </c>
      <c r="F217" s="70"/>
      <c r="G217" s="46"/>
      <c r="H217" s="70" t="s">
        <v>127</v>
      </c>
      <c r="I217" s="72">
        <f>IF((I218*I219)=0,"",C217*E217+C218*E218+C219*E219)</f>
        <v>0.9999375878178607</v>
      </c>
      <c r="J217" s="5"/>
      <c r="K217" s="269">
        <f>IF(I220="","",I220*$K$73)</f>
        <v>71172.80097196477</v>
      </c>
      <c r="L217" s="5"/>
      <c r="M217" s="6"/>
    </row>
    <row r="218" spans="1:13" ht="12.75">
      <c r="A218" s="4"/>
      <c r="B218" s="26" t="str">
        <f t="shared" si="12"/>
        <v>j_gi_p6 = </v>
      </c>
      <c r="C218" s="152">
        <f t="shared" si="12"/>
        <v>-0.6739213229869224</v>
      </c>
      <c r="D218" s="26" t="str">
        <f t="shared" si="13"/>
        <v>j_gi_p7 = </v>
      </c>
      <c r="E218" s="152">
        <f t="shared" si="13"/>
        <v>-0.6673388021501463</v>
      </c>
      <c r="F218" s="46"/>
      <c r="G218" s="46"/>
      <c r="H218" s="70" t="s">
        <v>128</v>
      </c>
      <c r="I218" s="72">
        <f>IF(C217="","0",SQRT(C217^2+C218^2+C219^2))</f>
        <v>0.9999999999999999</v>
      </c>
      <c r="J218" s="5"/>
      <c r="K218" s="5"/>
      <c r="L218" s="5"/>
      <c r="M218" s="6"/>
    </row>
    <row r="219" spans="1:13" ht="12.75">
      <c r="A219" s="4"/>
      <c r="B219" s="26" t="str">
        <f t="shared" si="12"/>
        <v>k_gi_p6 = </v>
      </c>
      <c r="C219" s="152">
        <f t="shared" si="12"/>
        <v>0.6119586123504244</v>
      </c>
      <c r="D219" s="26" t="str">
        <f t="shared" si="13"/>
        <v>k_gi_p7 = </v>
      </c>
      <c r="E219" s="152">
        <f t="shared" si="13"/>
        <v>0.6206806038074567</v>
      </c>
      <c r="F219" s="46"/>
      <c r="G219" s="46"/>
      <c r="H219" s="70" t="s">
        <v>129</v>
      </c>
      <c r="I219" s="72">
        <f>IF(E217="","0",SQRT(E217^2+E218^2+E219^2))</f>
        <v>1</v>
      </c>
      <c r="J219" s="5"/>
      <c r="K219" s="5"/>
      <c r="L219" s="5"/>
      <c r="M219" s="6"/>
    </row>
    <row r="220" spans="1:13" ht="12.75">
      <c r="A220" s="4"/>
      <c r="B220" s="5"/>
      <c r="C220" s="5"/>
      <c r="D220" s="5"/>
      <c r="E220" s="5"/>
      <c r="F220" s="5"/>
      <c r="G220" s="5"/>
      <c r="H220" s="70" t="s">
        <v>21</v>
      </c>
      <c r="I220" s="72">
        <f>IF((I218*I219)=0,"",ACOS(I217/(I218*I219)))</f>
        <v>0.011172540567249811</v>
      </c>
      <c r="J220" s="5" t="s">
        <v>599</v>
      </c>
      <c r="K220" s="5"/>
      <c r="L220" s="5"/>
      <c r="M220" s="6"/>
    </row>
    <row r="221" spans="1:13" ht="12.75">
      <c r="A221" s="4"/>
      <c r="B221" s="5"/>
      <c r="C221" s="5"/>
      <c r="D221" s="5"/>
      <c r="E221" s="5"/>
      <c r="F221" s="5"/>
      <c r="G221" s="5"/>
      <c r="H221" s="5"/>
      <c r="I221" s="68">
        <f>IF(I220="","",DEGREES(I220))</f>
        <v>0.6401394209421128</v>
      </c>
      <c r="J221" s="5" t="s">
        <v>1233</v>
      </c>
      <c r="K221" s="5"/>
      <c r="L221" s="5"/>
      <c r="M221" s="6"/>
    </row>
    <row r="222" spans="1:13" ht="12.75">
      <c r="A222" s="4"/>
      <c r="B222" s="22" t="s">
        <v>1354</v>
      </c>
      <c r="C222" s="5"/>
      <c r="D222" s="5"/>
      <c r="E222" s="5"/>
      <c r="F222" s="5"/>
      <c r="G222" s="5"/>
      <c r="H222" s="5"/>
      <c r="I222" s="5"/>
      <c r="J222" s="5"/>
      <c r="K222" s="5"/>
      <c r="L222" s="5"/>
      <c r="M222" s="6"/>
    </row>
    <row r="223" spans="1:13" ht="12.75">
      <c r="A223" s="4"/>
      <c r="B223" s="5"/>
      <c r="C223" s="5"/>
      <c r="D223" s="5"/>
      <c r="E223" s="5"/>
      <c r="F223" s="5"/>
      <c r="G223" s="5"/>
      <c r="H223" s="5"/>
      <c r="I223" s="5"/>
      <c r="J223" s="5"/>
      <c r="K223" s="5"/>
      <c r="L223" s="5"/>
      <c r="M223" s="6"/>
    </row>
    <row r="224" spans="1:13" ht="12.75">
      <c r="A224" s="4"/>
      <c r="B224" s="22" t="s">
        <v>163</v>
      </c>
      <c r="C224" s="5"/>
      <c r="D224" s="5"/>
      <c r="E224" s="147" t="s">
        <v>477</v>
      </c>
      <c r="F224" s="26"/>
      <c r="G224" s="22" t="s">
        <v>182</v>
      </c>
      <c r="H224" s="5"/>
      <c r="I224" s="5"/>
      <c r="J224" s="5"/>
      <c r="K224" s="22" t="s">
        <v>183</v>
      </c>
      <c r="L224" s="5"/>
      <c r="M224" s="6"/>
    </row>
    <row r="225" spans="1:13" ht="12.75">
      <c r="A225" s="4"/>
      <c r="B225" s="26" t="str">
        <f aca="true" t="shared" si="14" ref="B225:C227">J149</f>
        <v>i_gi_p7 = </v>
      </c>
      <c r="C225" s="152">
        <f t="shared" si="14"/>
        <v>-0.4115999407215931</v>
      </c>
      <c r="D225" s="26" t="str">
        <f aca="true" t="shared" si="15" ref="D225:E227">J157</f>
        <v>i_gi_p8 = </v>
      </c>
      <c r="E225" s="152">
        <f t="shared" si="15"/>
        <v>-0.4094988907190777</v>
      </c>
      <c r="F225" s="70"/>
      <c r="G225" s="46"/>
      <c r="H225" s="70" t="s">
        <v>127</v>
      </c>
      <c r="I225" s="72">
        <f>IF((I226*I227)=0,"",C225*E225+C226*E226+C227*E227)</f>
        <v>0.9999517511144762</v>
      </c>
      <c r="J225" s="5"/>
      <c r="K225" s="269">
        <f>IF(I228="","",I228*$K$73)</f>
        <v>62578.118961162596</v>
      </c>
      <c r="L225" s="5"/>
      <c r="M225" s="6"/>
    </row>
    <row r="226" spans="1:13" ht="12.75">
      <c r="A226" s="4"/>
      <c r="B226" s="26" t="str">
        <f t="shared" si="14"/>
        <v>j_gi_p7 = </v>
      </c>
      <c r="C226" s="152">
        <f t="shared" si="14"/>
        <v>-0.6673388021501463</v>
      </c>
      <c r="D226" s="26" t="str">
        <f t="shared" si="15"/>
        <v>j_gi_p8 = </v>
      </c>
      <c r="E226" s="152">
        <f t="shared" si="15"/>
        <v>-0.6614880909174058</v>
      </c>
      <c r="F226" s="46"/>
      <c r="G226" s="46"/>
      <c r="H226" s="70" t="s">
        <v>128</v>
      </c>
      <c r="I226" s="72">
        <f>IF(C225="","0",SQRT(C225^2+C226^2+C227^2))</f>
        <v>1</v>
      </c>
      <c r="J226" s="5"/>
      <c r="K226" s="5"/>
      <c r="L226" s="5"/>
      <c r="M226" s="6"/>
    </row>
    <row r="227" spans="1:13" ht="12.75">
      <c r="A227" s="4"/>
      <c r="B227" s="26" t="str">
        <f t="shared" si="14"/>
        <v>k_gi_p7 = </v>
      </c>
      <c r="C227" s="152">
        <f t="shared" si="14"/>
        <v>0.6206806038074567</v>
      </c>
      <c r="D227" s="26" t="str">
        <f t="shared" si="15"/>
        <v>k_gi_p8 = </v>
      </c>
      <c r="E227" s="152">
        <f t="shared" si="15"/>
        <v>0.6282866893976752</v>
      </c>
      <c r="F227" s="46"/>
      <c r="G227" s="46"/>
      <c r="H227" s="70" t="s">
        <v>129</v>
      </c>
      <c r="I227" s="72">
        <f>IF(E225="","0",SQRT(E225^2+E226^2+E227^2))</f>
        <v>1</v>
      </c>
      <c r="J227" s="5"/>
      <c r="K227" s="5"/>
      <c r="L227" s="5"/>
      <c r="M227" s="6"/>
    </row>
    <row r="228" spans="1:13" ht="12.75">
      <c r="A228" s="4"/>
      <c r="B228" s="5"/>
      <c r="C228" s="5"/>
      <c r="D228" s="5"/>
      <c r="E228" s="5"/>
      <c r="F228" s="5"/>
      <c r="G228" s="5"/>
      <c r="H228" s="70" t="s">
        <v>21</v>
      </c>
      <c r="I228" s="72">
        <f>IF((I226*I227)=0,"",ACOS(I225/(I226*I227)))</f>
        <v>0.00982336739832923</v>
      </c>
      <c r="J228" s="5" t="s">
        <v>599</v>
      </c>
      <c r="K228" s="5"/>
      <c r="L228" s="5"/>
      <c r="M228" s="6"/>
    </row>
    <row r="229" spans="1:13" ht="12.75">
      <c r="A229" s="4"/>
      <c r="B229" s="5"/>
      <c r="C229" s="5"/>
      <c r="D229" s="5"/>
      <c r="E229" s="5"/>
      <c r="F229" s="5"/>
      <c r="G229" s="5"/>
      <c r="H229" s="5"/>
      <c r="I229" s="68">
        <f>IF(I228="","",DEGREES(I228))</f>
        <v>0.5628374925306727</v>
      </c>
      <c r="J229" s="5" t="s">
        <v>1233</v>
      </c>
      <c r="K229" s="5"/>
      <c r="L229" s="5"/>
      <c r="M229" s="6"/>
    </row>
    <row r="230" spans="1:13" ht="12.75">
      <c r="A230" s="4"/>
      <c r="B230" s="22" t="s">
        <v>113</v>
      </c>
      <c r="C230" s="5"/>
      <c r="D230" s="5"/>
      <c r="E230" s="5"/>
      <c r="F230" s="5"/>
      <c r="G230" s="5"/>
      <c r="H230" s="5"/>
      <c r="I230" s="5"/>
      <c r="J230" s="5"/>
      <c r="K230" s="5"/>
      <c r="L230" s="5"/>
      <c r="M230" s="6"/>
    </row>
    <row r="231" spans="1:13" ht="12.75">
      <c r="A231" s="4"/>
      <c r="B231" s="5"/>
      <c r="C231" s="5"/>
      <c r="D231" s="5"/>
      <c r="E231" s="5"/>
      <c r="F231" s="5"/>
      <c r="G231" s="5"/>
      <c r="H231" s="5"/>
      <c r="I231" s="5"/>
      <c r="J231" s="5"/>
      <c r="K231" s="5"/>
      <c r="L231" s="5"/>
      <c r="M231" s="6"/>
    </row>
    <row r="232" spans="1:13" ht="12.75">
      <c r="A232" s="4"/>
      <c r="B232" s="22" t="s">
        <v>283</v>
      </c>
      <c r="C232" s="5"/>
      <c r="D232" s="5"/>
      <c r="E232" s="147" t="s">
        <v>114</v>
      </c>
      <c r="F232" s="26"/>
      <c r="G232" s="22" t="s">
        <v>182</v>
      </c>
      <c r="H232" s="5"/>
      <c r="I232" s="5"/>
      <c r="J232" s="5"/>
      <c r="K232" s="22" t="s">
        <v>183</v>
      </c>
      <c r="L232" s="5"/>
      <c r="M232" s="6"/>
    </row>
    <row r="233" spans="1:13" ht="12.75">
      <c r="A233" s="4"/>
      <c r="B233" s="26" t="str">
        <f aca="true" t="shared" si="16" ref="B233:C235">J93</f>
        <v>i_gi_p1 = </v>
      </c>
      <c r="C233" s="270">
        <f t="shared" si="16"/>
        <v>-0.4362549067036831</v>
      </c>
      <c r="D233" s="26" t="str">
        <f aca="true" t="shared" si="17" ref="D233:E235">J117</f>
        <v>i_gi_p4 = </v>
      </c>
      <c r="E233" s="270">
        <f t="shared" si="17"/>
        <v>-0.4247607821778162</v>
      </c>
      <c r="F233" s="70"/>
      <c r="G233" s="46"/>
      <c r="H233" s="70" t="s">
        <v>127</v>
      </c>
      <c r="I233" s="72">
        <f>IF((I234*I235)=0,"",C233*E233+C234*E234+C235*E235)</f>
        <v>0.9999143338588294</v>
      </c>
      <c r="J233" s="5"/>
      <c r="K233" s="269">
        <f>IF(I236="","",I236*$K$73)</f>
        <v>83384.4018792361</v>
      </c>
      <c r="L233" s="5"/>
      <c r="M233" s="6"/>
    </row>
    <row r="234" spans="1:13" ht="12.75">
      <c r="A234" s="4"/>
      <c r="B234" s="26" t="str">
        <f t="shared" si="16"/>
        <v>j_gi_p1 = </v>
      </c>
      <c r="C234" s="270">
        <f t="shared" si="16"/>
        <v>-0.662177607613972</v>
      </c>
      <c r="D234" s="26" t="str">
        <f t="shared" si="17"/>
        <v>j_gi_p4 = </v>
      </c>
      <c r="E234" s="270">
        <f t="shared" si="17"/>
        <v>-0.6682638576576345</v>
      </c>
      <c r="F234" s="46"/>
      <c r="G234" s="46"/>
      <c r="H234" s="70" t="s">
        <v>128</v>
      </c>
      <c r="I234" s="72">
        <f>IF(C233="","0",SQRT(C233^2+C234^2+C235^2))</f>
        <v>1</v>
      </c>
      <c r="J234" s="5"/>
      <c r="K234" s="5"/>
      <c r="L234" s="5"/>
      <c r="M234" s="6"/>
    </row>
    <row r="235" spans="1:13" ht="12.75">
      <c r="A235" s="4"/>
      <c r="B235" s="26" t="str">
        <f t="shared" si="16"/>
        <v>k_gi_p1 = </v>
      </c>
      <c r="C235" s="270">
        <f t="shared" si="16"/>
        <v>0.6092638774386655</v>
      </c>
      <c r="D235" s="26" t="str">
        <f t="shared" si="17"/>
        <v>k_gi_p4 = </v>
      </c>
      <c r="E235" s="270">
        <f t="shared" si="17"/>
        <v>0.6107386466175416</v>
      </c>
      <c r="F235" s="46"/>
      <c r="G235" s="46"/>
      <c r="H235" s="70" t="s">
        <v>129</v>
      </c>
      <c r="I235" s="72">
        <f>IF(E233="","0",SQRT(E233^2+E234^2+E235^2))</f>
        <v>0.9999999999999999</v>
      </c>
      <c r="J235" s="5"/>
      <c r="K235" s="5"/>
      <c r="L235" s="5"/>
      <c r="M235" s="6"/>
    </row>
    <row r="236" spans="1:13" ht="12.75">
      <c r="A236" s="4"/>
      <c r="B236" s="5"/>
      <c r="C236" s="5"/>
      <c r="D236" s="5"/>
      <c r="E236" s="5"/>
      <c r="F236" s="5"/>
      <c r="G236" s="5"/>
      <c r="H236" s="70" t="s">
        <v>21</v>
      </c>
      <c r="I236" s="72">
        <f>IF((I234*I235)=0,"",ACOS(I233/(I234*I235)))</f>
        <v>0.013089489242366525</v>
      </c>
      <c r="J236" s="5" t="s">
        <v>599</v>
      </c>
      <c r="K236" s="5"/>
      <c r="L236" s="5"/>
      <c r="M236" s="6"/>
    </row>
    <row r="237" spans="1:13" ht="12.75">
      <c r="A237" s="4"/>
      <c r="B237" s="5"/>
      <c r="C237" s="5"/>
      <c r="D237" s="5"/>
      <c r="E237" s="5"/>
      <c r="F237" s="5"/>
      <c r="G237" s="5"/>
      <c r="H237" s="5"/>
      <c r="I237" s="68">
        <f>IF(I236="","",DEGREES(I236))</f>
        <v>0.7499724895694955</v>
      </c>
      <c r="J237" s="5" t="s">
        <v>1233</v>
      </c>
      <c r="K237" s="5"/>
      <c r="L237" s="5"/>
      <c r="M237" s="6"/>
    </row>
    <row r="238" spans="1:13" ht="12.75">
      <c r="A238" s="4"/>
      <c r="B238" s="22" t="s">
        <v>112</v>
      </c>
      <c r="C238" s="5"/>
      <c r="D238" s="5"/>
      <c r="E238" s="5"/>
      <c r="F238" s="5"/>
      <c r="G238" s="5"/>
      <c r="H238" s="5"/>
      <c r="I238" s="5"/>
      <c r="J238" s="5"/>
      <c r="K238" s="5"/>
      <c r="L238" s="5"/>
      <c r="M238" s="6"/>
    </row>
    <row r="239" spans="1:13" ht="12.75">
      <c r="A239" s="4"/>
      <c r="B239" s="5"/>
      <c r="C239" s="5"/>
      <c r="D239" s="5"/>
      <c r="E239" s="5"/>
      <c r="F239" s="5"/>
      <c r="G239" s="5"/>
      <c r="H239" s="5"/>
      <c r="I239" s="5"/>
      <c r="J239" s="5"/>
      <c r="K239" s="5"/>
      <c r="L239" s="5"/>
      <c r="M239" s="6"/>
    </row>
    <row r="240" spans="1:13" ht="12.75">
      <c r="A240" s="4"/>
      <c r="B240" s="22" t="s">
        <v>473</v>
      </c>
      <c r="C240" s="5"/>
      <c r="D240" s="5"/>
      <c r="E240" s="147" t="s">
        <v>209</v>
      </c>
      <c r="F240" s="26"/>
      <c r="G240" s="22" t="s">
        <v>182</v>
      </c>
      <c r="H240" s="5"/>
      <c r="I240" s="5"/>
      <c r="J240" s="5"/>
      <c r="K240" s="22" t="s">
        <v>183</v>
      </c>
      <c r="L240" s="5"/>
      <c r="M240" s="6"/>
    </row>
    <row r="241" spans="1:13" ht="12.75">
      <c r="A241" s="4"/>
      <c r="B241" s="26" t="str">
        <f aca="true" t="shared" si="18" ref="B241:C243">J117</f>
        <v>i_gi_p4 = </v>
      </c>
      <c r="C241" s="152">
        <f t="shared" si="18"/>
        <v>-0.4247607821778162</v>
      </c>
      <c r="D241" s="26" t="str">
        <f aca="true" t="shared" si="19" ref="D241:E243">J141</f>
        <v>i_gi_p6 = </v>
      </c>
      <c r="E241" s="152">
        <f t="shared" si="19"/>
        <v>-0.4139283841363129</v>
      </c>
      <c r="F241" s="70"/>
      <c r="G241" s="46"/>
      <c r="H241" s="70" t="s">
        <v>127</v>
      </c>
      <c r="I241" s="72">
        <f>IF((I242*I243)=0,"",C241*E241+C242*E242+C243*E243)</f>
        <v>0.9999245819611642</v>
      </c>
      <c r="J241" s="5"/>
      <c r="K241" s="269">
        <f>IF(I244="","",I244*$K$73)</f>
        <v>78237.94993588516</v>
      </c>
      <c r="L241" s="5"/>
      <c r="M241" s="6"/>
    </row>
    <row r="242" spans="1:13" ht="12.75">
      <c r="A242" s="4"/>
      <c r="B242" s="26" t="str">
        <f t="shared" si="18"/>
        <v>j_gi_p4 = </v>
      </c>
      <c r="C242" s="152">
        <f t="shared" si="18"/>
        <v>-0.6682638576576345</v>
      </c>
      <c r="D242" s="26" t="str">
        <f t="shared" si="19"/>
        <v>j_gi_p6 = </v>
      </c>
      <c r="E242" s="152">
        <f t="shared" si="19"/>
        <v>-0.6739213229869224</v>
      </c>
      <c r="F242" s="46"/>
      <c r="G242" s="46"/>
      <c r="H242" s="70" t="s">
        <v>128</v>
      </c>
      <c r="I242" s="72">
        <f>IF(C241="","0",SQRT(C241^2+C242^2+C243^2))</f>
        <v>0.9999999999999999</v>
      </c>
      <c r="J242" s="5"/>
      <c r="K242" s="5"/>
      <c r="L242" s="5"/>
      <c r="M242" s="6"/>
    </row>
    <row r="243" spans="1:13" ht="12.75">
      <c r="A243" s="4"/>
      <c r="B243" s="26" t="str">
        <f t="shared" si="18"/>
        <v>k_gi_p4 = </v>
      </c>
      <c r="C243" s="152">
        <f t="shared" si="18"/>
        <v>0.6107386466175416</v>
      </c>
      <c r="D243" s="26" t="str">
        <f t="shared" si="19"/>
        <v>k_gi_p6 = </v>
      </c>
      <c r="E243" s="152">
        <f t="shared" si="19"/>
        <v>0.6119586123504244</v>
      </c>
      <c r="F243" s="46"/>
      <c r="G243" s="46"/>
      <c r="H243" s="70" t="s">
        <v>129</v>
      </c>
      <c r="I243" s="72">
        <f>IF(E241="","0",SQRT(E241^2+E242^2+E243^2))</f>
        <v>0.9999999999999999</v>
      </c>
      <c r="J243" s="5"/>
      <c r="K243" s="5"/>
      <c r="L243" s="5"/>
      <c r="M243" s="6"/>
    </row>
    <row r="244" spans="1:13" ht="12.75">
      <c r="A244" s="4"/>
      <c r="B244" s="5"/>
      <c r="C244" s="5"/>
      <c r="D244" s="5"/>
      <c r="E244" s="5"/>
      <c r="F244" s="5"/>
      <c r="G244" s="5"/>
      <c r="H244" s="70" t="s">
        <v>21</v>
      </c>
      <c r="I244" s="72">
        <f>IF((I242*I243)=0,"",ACOS(I241/(I242*I243)))</f>
        <v>0.012281611200062992</v>
      </c>
      <c r="J244" s="5" t="s">
        <v>599</v>
      </c>
      <c r="K244" s="5"/>
      <c r="L244" s="5"/>
      <c r="M244" s="6"/>
    </row>
    <row r="245" spans="1:13" ht="12.75">
      <c r="A245" s="4"/>
      <c r="B245" s="5"/>
      <c r="C245" s="5"/>
      <c r="D245" s="5"/>
      <c r="E245" s="5"/>
      <c r="F245" s="5"/>
      <c r="G245" s="5"/>
      <c r="H245" s="5"/>
      <c r="I245" s="68">
        <f>IF(I244="","",DEGREES(I244))</f>
        <v>0.7036844873842115</v>
      </c>
      <c r="J245" s="5" t="s">
        <v>1233</v>
      </c>
      <c r="K245" s="5"/>
      <c r="L245" s="5"/>
      <c r="M245" s="6"/>
    </row>
    <row r="246" spans="1:13" ht="12.75">
      <c r="A246" s="4"/>
      <c r="B246" s="5"/>
      <c r="C246" s="5"/>
      <c r="D246" s="5"/>
      <c r="E246" s="5"/>
      <c r="F246" s="5"/>
      <c r="G246" s="5"/>
      <c r="H246" s="5"/>
      <c r="I246" s="52"/>
      <c r="J246" s="5"/>
      <c r="K246" s="5"/>
      <c r="L246" s="5"/>
      <c r="M246" s="6"/>
    </row>
    <row r="247" spans="1:13" ht="12.75">
      <c r="A247" s="4"/>
      <c r="B247" s="22" t="s">
        <v>1442</v>
      </c>
      <c r="C247" s="5"/>
      <c r="D247" s="5"/>
      <c r="E247" s="5"/>
      <c r="F247" s="5"/>
      <c r="G247" s="5"/>
      <c r="H247" s="5"/>
      <c r="I247" s="5"/>
      <c r="J247" s="5"/>
      <c r="K247" s="5"/>
      <c r="L247" s="5"/>
      <c r="M247" s="6"/>
    </row>
    <row r="248" spans="1:13" ht="12.75">
      <c r="A248" s="4"/>
      <c r="B248" s="5"/>
      <c r="C248" s="5"/>
      <c r="D248" s="5"/>
      <c r="E248" s="5"/>
      <c r="F248" s="5"/>
      <c r="G248" s="5"/>
      <c r="H248" s="5"/>
      <c r="I248" s="5"/>
      <c r="J248" s="5"/>
      <c r="K248" s="5"/>
      <c r="L248" s="5"/>
      <c r="M248" s="6"/>
    </row>
    <row r="249" spans="1:13" ht="12.75">
      <c r="A249" s="4"/>
      <c r="B249" s="22" t="s">
        <v>181</v>
      </c>
      <c r="C249" s="5"/>
      <c r="D249" s="5"/>
      <c r="E249" s="147" t="s">
        <v>474</v>
      </c>
      <c r="F249" s="26"/>
      <c r="G249" s="22" t="s">
        <v>182</v>
      </c>
      <c r="H249" s="5"/>
      <c r="I249" s="5"/>
      <c r="J249" s="5"/>
      <c r="K249" s="22" t="s">
        <v>183</v>
      </c>
      <c r="L249" s="5"/>
      <c r="M249" s="6"/>
    </row>
    <row r="250" spans="1:13" ht="12.75">
      <c r="A250" s="4"/>
      <c r="B250" s="26" t="str">
        <f aca="true" t="shared" si="20" ref="B250:C252">J101</f>
        <v>i_gi_p2 = </v>
      </c>
      <c r="C250" s="406">
        <f t="shared" si="20"/>
        <v>-0.43228026050519436</v>
      </c>
      <c r="D250" s="26" t="str">
        <f aca="true" t="shared" si="21" ref="D250:E252">J125</f>
        <v>i_gi_pp = </v>
      </c>
      <c r="E250" s="406">
        <f t="shared" si="21"/>
        <v>-0.4216600365272675</v>
      </c>
      <c r="F250" s="70"/>
      <c r="G250" s="46"/>
      <c r="H250" s="70" t="s">
        <v>127</v>
      </c>
      <c r="I250" s="72">
        <f>IF((I251*I252)=0,"",C250*E250+C251*E251+C252*E252)</f>
        <v>0.9999258125287551</v>
      </c>
      <c r="J250" s="5"/>
      <c r="K250" s="269">
        <f>IF(I253="","",I253*$K$73)</f>
        <v>77597.02732912442</v>
      </c>
      <c r="L250" s="5"/>
      <c r="M250" s="6"/>
    </row>
    <row r="251" spans="1:13" ht="12.75">
      <c r="A251" s="4"/>
      <c r="B251" s="26" t="str">
        <f t="shared" si="20"/>
        <v>j_gi_p2 = </v>
      </c>
      <c r="C251" s="406">
        <f t="shared" si="20"/>
        <v>-0.6560068250512441</v>
      </c>
      <c r="D251" s="26" t="str">
        <f t="shared" si="21"/>
        <v>j_gi_pp = </v>
      </c>
      <c r="E251" s="406">
        <f t="shared" si="21"/>
        <v>-0.6618736777836854</v>
      </c>
      <c r="F251" s="46"/>
      <c r="G251" s="46"/>
      <c r="H251" s="70" t="s">
        <v>128</v>
      </c>
      <c r="I251" s="72">
        <f>IF(C250="","0",SQRT(C250^2+C251^2+C252^2))</f>
        <v>1</v>
      </c>
      <c r="J251" s="5"/>
      <c r="K251" s="5"/>
      <c r="L251" s="5"/>
      <c r="M251" s="6"/>
    </row>
    <row r="252" spans="1:13" ht="12.75">
      <c r="A252" s="4"/>
      <c r="B252" s="26" t="str">
        <f t="shared" si="20"/>
        <v>k_gi_p2 = </v>
      </c>
      <c r="C252" s="406">
        <f t="shared" si="20"/>
        <v>0.6186992984186647</v>
      </c>
      <c r="D252" s="26" t="str">
        <f t="shared" si="21"/>
        <v>k_gi_pp = </v>
      </c>
      <c r="E252" s="406">
        <f t="shared" si="21"/>
        <v>0.6197790317951403</v>
      </c>
      <c r="F252" s="46"/>
      <c r="G252" s="46"/>
      <c r="H252" s="70" t="s">
        <v>129</v>
      </c>
      <c r="I252" s="72">
        <f>IF(E250="","0",SQRT(E250^2+E251^2+E252^2))</f>
        <v>1</v>
      </c>
      <c r="J252" s="5"/>
      <c r="K252" s="5"/>
      <c r="L252" s="5"/>
      <c r="M252" s="6"/>
    </row>
    <row r="253" spans="1:13" ht="12.75">
      <c r="A253" s="4"/>
      <c r="B253" s="5"/>
      <c r="C253" s="5"/>
      <c r="D253" s="5"/>
      <c r="E253" s="5"/>
      <c r="F253" s="5"/>
      <c r="G253" s="5"/>
      <c r="H253" s="70" t="s">
        <v>21</v>
      </c>
      <c r="I253" s="72">
        <f>IF((I251*I252)=0,"",ACOS(I250/(I251*I252)))</f>
        <v>0.012181000661673158</v>
      </c>
      <c r="J253" s="5" t="s">
        <v>599</v>
      </c>
      <c r="K253" s="5"/>
      <c r="L253" s="5"/>
      <c r="M253" s="6"/>
    </row>
    <row r="254" spans="1:13" ht="12.75">
      <c r="A254" s="4"/>
      <c r="B254" s="5"/>
      <c r="C254" s="5"/>
      <c r="D254" s="5"/>
      <c r="E254" s="5"/>
      <c r="F254" s="5"/>
      <c r="G254" s="5"/>
      <c r="H254" s="5"/>
      <c r="I254" s="68">
        <f>IF(I253="","",DEGREES(I253))</f>
        <v>0.6979199281599352</v>
      </c>
      <c r="J254" s="5" t="s">
        <v>1233</v>
      </c>
      <c r="K254" s="5"/>
      <c r="L254" s="5"/>
      <c r="M254" s="6"/>
    </row>
    <row r="255" spans="1:13" ht="12.75">
      <c r="A255" s="4"/>
      <c r="B255" s="22" t="s">
        <v>1443</v>
      </c>
      <c r="C255" s="5"/>
      <c r="D255" s="5"/>
      <c r="E255" s="5"/>
      <c r="F255" s="5"/>
      <c r="G255" s="5"/>
      <c r="H255" s="5"/>
      <c r="I255" s="5"/>
      <c r="J255" s="5"/>
      <c r="K255" s="5"/>
      <c r="L255" s="5"/>
      <c r="M255" s="6"/>
    </row>
    <row r="256" spans="1:13" ht="12.75">
      <c r="A256" s="4"/>
      <c r="B256" s="5"/>
      <c r="C256" s="5"/>
      <c r="D256" s="5"/>
      <c r="E256" s="5"/>
      <c r="F256" s="5"/>
      <c r="G256" s="5"/>
      <c r="H256" s="5"/>
      <c r="I256" s="5"/>
      <c r="J256" s="5"/>
      <c r="K256" s="5"/>
      <c r="L256" s="5"/>
      <c r="M256" s="6"/>
    </row>
    <row r="257" spans="1:13" ht="12.75">
      <c r="A257" s="4"/>
      <c r="B257" s="22" t="s">
        <v>474</v>
      </c>
      <c r="C257" s="5"/>
      <c r="D257" s="5"/>
      <c r="E257" s="147" t="s">
        <v>1444</v>
      </c>
      <c r="F257" s="26"/>
      <c r="G257" s="22" t="s">
        <v>182</v>
      </c>
      <c r="H257" s="5"/>
      <c r="I257" s="5"/>
      <c r="J257" s="5"/>
      <c r="K257" s="22" t="s">
        <v>183</v>
      </c>
      <c r="L257" s="5"/>
      <c r="M257" s="6"/>
    </row>
    <row r="258" spans="1:13" ht="12.75">
      <c r="A258" s="4"/>
      <c r="B258" s="26" t="str">
        <f aca="true" t="shared" si="22" ref="B258:C260">J125</f>
        <v>i_gi_pp = </v>
      </c>
      <c r="C258" s="406">
        <f t="shared" si="22"/>
        <v>-0.4216600365272675</v>
      </c>
      <c r="D258" s="26" t="str">
        <f aca="true" t="shared" si="23" ref="D258:E260">J149</f>
        <v>i_gi_p7 = </v>
      </c>
      <c r="E258" s="406">
        <f t="shared" si="23"/>
        <v>-0.4115999407215931</v>
      </c>
      <c r="F258" s="70"/>
      <c r="G258" s="46"/>
      <c r="H258" s="70" t="s">
        <v>127</v>
      </c>
      <c r="I258" s="72">
        <f>IF((I259*I260)=0,"",C258*E258+C259*E259+C260*E260)</f>
        <v>0.9999340570279732</v>
      </c>
      <c r="J258" s="5"/>
      <c r="K258" s="269">
        <f>IF(I261="","",I261*$K$73)</f>
        <v>73158.32612054264</v>
      </c>
      <c r="L258" s="5"/>
      <c r="M258" s="6"/>
    </row>
    <row r="259" spans="1:13" ht="12.75">
      <c r="A259" s="4"/>
      <c r="B259" s="26" t="str">
        <f t="shared" si="22"/>
        <v>j_gi_pp = </v>
      </c>
      <c r="C259" s="406">
        <f t="shared" si="22"/>
        <v>-0.6618736777836854</v>
      </c>
      <c r="D259" s="26" t="str">
        <f t="shared" si="23"/>
        <v>j_gi_p7 = </v>
      </c>
      <c r="E259" s="406">
        <f t="shared" si="23"/>
        <v>-0.6673388021501463</v>
      </c>
      <c r="F259" s="46"/>
      <c r="G259" s="46"/>
      <c r="H259" s="70" t="s">
        <v>128</v>
      </c>
      <c r="I259" s="72">
        <f>IF(C258="","0",SQRT(C258^2+C259^2+C260^2))</f>
        <v>1</v>
      </c>
      <c r="J259" s="5"/>
      <c r="K259" s="5"/>
      <c r="L259" s="5"/>
      <c r="M259" s="6"/>
    </row>
    <row r="260" spans="1:13" ht="12.75">
      <c r="A260" s="4"/>
      <c r="B260" s="26" t="str">
        <f t="shared" si="22"/>
        <v>k_gi_pp = </v>
      </c>
      <c r="C260" s="406">
        <f t="shared" si="22"/>
        <v>0.6197790317951403</v>
      </c>
      <c r="D260" s="26" t="str">
        <f t="shared" si="23"/>
        <v>k_gi_p7 = </v>
      </c>
      <c r="E260" s="406">
        <f t="shared" si="23"/>
        <v>0.6206806038074567</v>
      </c>
      <c r="F260" s="46"/>
      <c r="G260" s="46"/>
      <c r="H260" s="70" t="s">
        <v>129</v>
      </c>
      <c r="I260" s="72">
        <f>IF(E258="","0",SQRT(E258^2+E259^2+E260^2))</f>
        <v>1</v>
      </c>
      <c r="J260" s="5"/>
      <c r="K260" s="5"/>
      <c r="L260" s="5"/>
      <c r="M260" s="6"/>
    </row>
    <row r="261" spans="1:13" ht="12.75">
      <c r="A261" s="4"/>
      <c r="B261" s="5"/>
      <c r="C261" s="5"/>
      <c r="D261" s="5"/>
      <c r="E261" s="5"/>
      <c r="F261" s="5"/>
      <c r="G261" s="5"/>
      <c r="H261" s="70" t="s">
        <v>21</v>
      </c>
      <c r="I261" s="72">
        <f>IF((I259*I260)=0,"",ACOS(I258/(I259*I260)))</f>
        <v>0.011484223681681671</v>
      </c>
      <c r="J261" s="5" t="s">
        <v>599</v>
      </c>
      <c r="K261" s="5"/>
      <c r="L261" s="5"/>
      <c r="M261" s="6"/>
    </row>
    <row r="262" spans="1:13" ht="12.75">
      <c r="A262" s="4"/>
      <c r="B262" s="5"/>
      <c r="C262" s="5"/>
      <c r="D262" s="5"/>
      <c r="E262" s="5"/>
      <c r="F262" s="5"/>
      <c r="G262" s="5"/>
      <c r="H262" s="5"/>
      <c r="I262" s="68">
        <f>IF(I261="","",DEGREES(I261))</f>
        <v>0.6579975479445516</v>
      </c>
      <c r="J262" s="5" t="s">
        <v>1233</v>
      </c>
      <c r="K262" s="5"/>
      <c r="L262" s="5"/>
      <c r="M262" s="6"/>
    </row>
    <row r="263" spans="1:13" ht="12.75">
      <c r="A263" s="4"/>
      <c r="B263" s="5"/>
      <c r="C263" s="5"/>
      <c r="D263" s="5"/>
      <c r="E263" s="5"/>
      <c r="F263" s="5"/>
      <c r="G263" s="5"/>
      <c r="H263" s="5"/>
      <c r="I263" s="5"/>
      <c r="J263" s="5"/>
      <c r="K263" s="5"/>
      <c r="L263" s="5"/>
      <c r="M263" s="6"/>
    </row>
    <row r="264" spans="1:13" ht="13.5" thickBot="1">
      <c r="A264" s="7"/>
      <c r="B264" s="8"/>
      <c r="C264" s="8"/>
      <c r="D264" s="8"/>
      <c r="E264" s="8"/>
      <c r="F264" s="8"/>
      <c r="G264" s="8"/>
      <c r="H264" s="8"/>
      <c r="I264" s="8"/>
      <c r="J264" s="8"/>
      <c r="K264" s="8"/>
      <c r="L264" s="8"/>
      <c r="M264" s="9"/>
    </row>
    <row r="267" spans="2:5" ht="15.75">
      <c r="B267" s="225" t="s">
        <v>655</v>
      </c>
      <c r="C267" s="226"/>
      <c r="D267" s="226"/>
      <c r="E267" s="226"/>
    </row>
    <row r="268" ht="13.5" thickBot="1"/>
    <row r="269" spans="3:5" ht="15.75">
      <c r="C269" s="219" t="s">
        <v>656</v>
      </c>
      <c r="D269" s="219" t="s">
        <v>657</v>
      </c>
      <c r="E269" s="223" t="s">
        <v>656</v>
      </c>
    </row>
    <row r="270" spans="3:5" ht="16.5" thickBot="1">
      <c r="C270" s="220" t="s">
        <v>658</v>
      </c>
      <c r="D270" s="228"/>
      <c r="E270" s="224" t="s">
        <v>659</v>
      </c>
    </row>
    <row r="271" spans="3:5" ht="15.75">
      <c r="C271" s="229">
        <v>1</v>
      </c>
      <c r="D271" s="231"/>
      <c r="E271" s="237"/>
    </row>
    <row r="272" spans="3:5" ht="15.75">
      <c r="C272" s="221">
        <v>2</v>
      </c>
      <c r="D272" s="232"/>
      <c r="E272" s="238"/>
    </row>
    <row r="273" spans="3:5" ht="15.75">
      <c r="C273" s="221">
        <v>3</v>
      </c>
      <c r="D273" s="232"/>
      <c r="E273" s="238"/>
    </row>
    <row r="274" spans="3:5" ht="15.75">
      <c r="C274" s="221">
        <v>4</v>
      </c>
      <c r="D274" s="232"/>
      <c r="E274" s="238"/>
    </row>
    <row r="275" spans="3:5" ht="16.5" thickBot="1">
      <c r="C275" s="230">
        <v>5</v>
      </c>
      <c r="D275" s="233"/>
      <c r="E275" s="239"/>
    </row>
    <row r="276" ht="13.5" thickBot="1"/>
    <row r="277" spans="3:5" ht="16.5" thickBot="1">
      <c r="C277" s="234" t="s">
        <v>660</v>
      </c>
      <c r="D277" s="235"/>
      <c r="E277" s="236">
        <f>SUM(E271:E275)</f>
        <v>0</v>
      </c>
    </row>
    <row r="278" ht="13.5" thickBot="1"/>
    <row r="279" spans="1:14" ht="12.75">
      <c r="A279" s="1"/>
      <c r="B279" s="2"/>
      <c r="C279" s="2"/>
      <c r="D279" s="2"/>
      <c r="E279" s="2"/>
      <c r="F279" s="2"/>
      <c r="G279" s="2"/>
      <c r="H279" s="2"/>
      <c r="I279" s="2"/>
      <c r="J279" s="2"/>
      <c r="K279" s="2"/>
      <c r="L279" s="2"/>
      <c r="M279" s="2"/>
      <c r="N279" s="3"/>
    </row>
    <row r="280" spans="1:14" ht="12.75">
      <c r="A280" s="4"/>
      <c r="B280" s="5" t="s">
        <v>964</v>
      </c>
      <c r="C280" s="5"/>
      <c r="D280" s="5"/>
      <c r="E280" s="5"/>
      <c r="F280" s="5"/>
      <c r="G280" s="5"/>
      <c r="H280" s="5"/>
      <c r="I280" s="5"/>
      <c r="J280" s="5"/>
      <c r="K280" s="5"/>
      <c r="L280" s="5"/>
      <c r="M280" s="5"/>
      <c r="N280" s="6"/>
    </row>
    <row r="281" spans="1:14" ht="12.75">
      <c r="A281" s="4"/>
      <c r="B281" s="5"/>
      <c r="C281" s="5"/>
      <c r="D281" s="5"/>
      <c r="E281" s="5"/>
      <c r="F281" s="5"/>
      <c r="G281" s="5"/>
      <c r="H281" s="5"/>
      <c r="I281" s="5"/>
      <c r="J281" s="5"/>
      <c r="K281" s="5"/>
      <c r="L281" s="5"/>
      <c r="M281" s="5"/>
      <c r="N281" s="6"/>
    </row>
    <row r="282" spans="1:14" ht="12.75">
      <c r="A282" s="4"/>
      <c r="B282" s="5"/>
      <c r="C282" s="5"/>
      <c r="D282" s="5"/>
      <c r="E282" s="5"/>
      <c r="F282" s="5"/>
      <c r="G282" s="5"/>
      <c r="H282" s="5"/>
      <c r="I282" s="5"/>
      <c r="J282" s="5"/>
      <c r="K282" s="5"/>
      <c r="L282" s="5"/>
      <c r="M282" s="5"/>
      <c r="N282" s="6"/>
    </row>
    <row r="283" spans="1:14" ht="12.75">
      <c r="A283" s="4"/>
      <c r="B283" s="5"/>
      <c r="C283" s="5"/>
      <c r="D283" s="5"/>
      <c r="E283" s="5"/>
      <c r="F283" s="5"/>
      <c r="G283" s="5"/>
      <c r="H283" s="5"/>
      <c r="I283" s="5"/>
      <c r="J283" s="5"/>
      <c r="K283" s="5"/>
      <c r="L283" s="5"/>
      <c r="M283" s="5"/>
      <c r="N283" s="6"/>
    </row>
    <row r="284" spans="1:14" ht="12.75">
      <c r="A284" s="4"/>
      <c r="B284" s="22" t="s">
        <v>1811</v>
      </c>
      <c r="C284" s="5"/>
      <c r="D284" s="5"/>
      <c r="E284" s="5"/>
      <c r="F284" s="5"/>
      <c r="G284" s="5"/>
      <c r="H284" s="5"/>
      <c r="I284" s="5"/>
      <c r="J284" s="5"/>
      <c r="K284" s="5"/>
      <c r="L284" s="5"/>
      <c r="M284" s="5" t="s">
        <v>183</v>
      </c>
      <c r="N284" s="6"/>
    </row>
    <row r="285" spans="1:14" ht="12.75">
      <c r="A285" s="4"/>
      <c r="B285" s="5"/>
      <c r="C285" s="5"/>
      <c r="D285" s="5"/>
      <c r="E285" s="5"/>
      <c r="F285" s="5"/>
      <c r="G285" s="5"/>
      <c r="H285" s="5"/>
      <c r="I285" s="5"/>
      <c r="J285" s="5"/>
      <c r="K285" s="5"/>
      <c r="L285" s="5"/>
      <c r="M285" s="5"/>
      <c r="N285" s="6"/>
    </row>
    <row r="286" spans="1:14" ht="12.75">
      <c r="A286" s="4"/>
      <c r="B286" s="22" t="s">
        <v>181</v>
      </c>
      <c r="C286" s="5"/>
      <c r="D286" s="5"/>
      <c r="E286" s="147" t="s">
        <v>1444</v>
      </c>
      <c r="F286" s="26"/>
      <c r="G286" s="22" t="s">
        <v>182</v>
      </c>
      <c r="H286" s="5"/>
      <c r="I286" s="5"/>
      <c r="J286" s="5"/>
      <c r="K286" s="22" t="s">
        <v>183</v>
      </c>
      <c r="L286" s="5"/>
      <c r="M286" s="5"/>
      <c r="N286" s="6"/>
    </row>
    <row r="287" spans="1:14" ht="12.75">
      <c r="A287" s="4"/>
      <c r="B287" s="26" t="str">
        <f aca="true" t="shared" si="24" ref="B287:C289">J101</f>
        <v>i_gi_p2 = </v>
      </c>
      <c r="C287" s="406">
        <f t="shared" si="24"/>
        <v>-0.43228026050519436</v>
      </c>
      <c r="D287" s="26" t="str">
        <f aca="true" t="shared" si="25" ref="D287:E289">J149</f>
        <v>i_gi_p7 = </v>
      </c>
      <c r="E287" s="406">
        <f t="shared" si="25"/>
        <v>-0.4115999407215931</v>
      </c>
      <c r="F287" s="70"/>
      <c r="G287" s="46"/>
      <c r="H287" s="70" t="s">
        <v>127</v>
      </c>
      <c r="I287" s="72">
        <f>IF((I288*I289)=0,"",C287*E287+C288*E288+C289*E289)</f>
        <v>0.9997199925488174</v>
      </c>
      <c r="J287" s="5"/>
      <c r="K287" s="269">
        <f>IF(I290="","",I290*$K$73)</f>
        <v>150755.11061998902</v>
      </c>
      <c r="L287" s="497" t="s">
        <v>973</v>
      </c>
      <c r="M287" s="485">
        <f>IF(K250="","",K250)</f>
        <v>77597.02732912442</v>
      </c>
      <c r="N287" s="6" t="s">
        <v>167</v>
      </c>
    </row>
    <row r="288" spans="1:14" ht="12.75">
      <c r="A288" s="4"/>
      <c r="B288" s="26" t="str">
        <f t="shared" si="24"/>
        <v>j_gi_p2 = </v>
      </c>
      <c r="C288" s="406">
        <f t="shared" si="24"/>
        <v>-0.6560068250512441</v>
      </c>
      <c r="D288" s="26" t="str">
        <f t="shared" si="25"/>
        <v>j_gi_p7 = </v>
      </c>
      <c r="E288" s="406">
        <f t="shared" si="25"/>
        <v>-0.6673388021501463</v>
      </c>
      <c r="F288" s="46"/>
      <c r="G288" s="46"/>
      <c r="H288" s="70" t="s">
        <v>128</v>
      </c>
      <c r="I288" s="72">
        <f>IF(C287="","0",SQRT(C287^2+C288^2+C289^2))</f>
        <v>1</v>
      </c>
      <c r="J288" s="5"/>
      <c r="K288" s="5"/>
      <c r="L288" s="26" t="s">
        <v>972</v>
      </c>
      <c r="M288" s="485">
        <f>IF(K258="","",K258)</f>
        <v>73158.32612054264</v>
      </c>
      <c r="N288" s="6" t="s">
        <v>167</v>
      </c>
    </row>
    <row r="289" spans="1:14" ht="12.75">
      <c r="A289" s="4"/>
      <c r="B289" s="26" t="str">
        <f t="shared" si="24"/>
        <v>k_gi_p2 = </v>
      </c>
      <c r="C289" s="406">
        <f t="shared" si="24"/>
        <v>0.6186992984186647</v>
      </c>
      <c r="D289" s="26" t="str">
        <f t="shared" si="25"/>
        <v>k_gi_p7 = </v>
      </c>
      <c r="E289" s="406">
        <f t="shared" si="25"/>
        <v>0.6206806038074567</v>
      </c>
      <c r="F289" s="46"/>
      <c r="G289" s="46"/>
      <c r="H289" s="70" t="s">
        <v>129</v>
      </c>
      <c r="I289" s="72">
        <f>IF(E287="","0",SQRT(E287^2+E288^2+E289^2))</f>
        <v>1</v>
      </c>
      <c r="J289" s="5"/>
      <c r="K289" s="5"/>
      <c r="L289" s="26" t="s">
        <v>974</v>
      </c>
      <c r="M289" s="498">
        <f>IF(M287="","",IF(M288="","",SUM(M287,M288)))</f>
        <v>150755.35344966705</v>
      </c>
      <c r="N289" s="6" t="s">
        <v>167</v>
      </c>
    </row>
    <row r="290" spans="1:14" ht="12.75">
      <c r="A290" s="4"/>
      <c r="B290" s="5"/>
      <c r="C290" s="5"/>
      <c r="D290" s="5"/>
      <c r="E290" s="5"/>
      <c r="F290" s="5"/>
      <c r="G290" s="5"/>
      <c r="H290" s="70" t="s">
        <v>21</v>
      </c>
      <c r="I290" s="72">
        <f>IF((I288*I289)=0,"",ACOS(I287/(I288*I289)))</f>
        <v>0.02366518622451741</v>
      </c>
      <c r="J290" s="5" t="s">
        <v>599</v>
      </c>
      <c r="K290" s="5"/>
      <c r="L290" s="26" t="s">
        <v>795</v>
      </c>
      <c r="M290" s="499">
        <f>IF(M289="","",K287-M289)</f>
        <v>-0.24282967802719213</v>
      </c>
      <c r="N290" s="6" t="s">
        <v>167</v>
      </c>
    </row>
    <row r="291" spans="1:14" ht="12.75">
      <c r="A291" s="4"/>
      <c r="B291" s="5"/>
      <c r="C291" s="5"/>
      <c r="D291" s="5"/>
      <c r="E291" s="5"/>
      <c r="F291" s="5"/>
      <c r="G291" s="5"/>
      <c r="H291" s="5"/>
      <c r="I291" s="68">
        <f>IF(I290="","",DEGREES(I290))</f>
        <v>1.3559152920559825</v>
      </c>
      <c r="J291" s="5" t="s">
        <v>1233</v>
      </c>
      <c r="K291" s="5"/>
      <c r="L291" s="5"/>
      <c r="M291" s="5"/>
      <c r="N291" s="6"/>
    </row>
    <row r="292" spans="1:14" ht="12.75">
      <c r="A292" s="4"/>
      <c r="B292" s="5"/>
      <c r="C292" s="5"/>
      <c r="D292" s="5"/>
      <c r="E292" s="5"/>
      <c r="F292" s="5"/>
      <c r="G292" s="5"/>
      <c r="H292" s="5"/>
      <c r="I292" s="5"/>
      <c r="J292" s="5"/>
      <c r="K292" s="5"/>
      <c r="L292" s="5"/>
      <c r="M292" s="5"/>
      <c r="N292" s="6"/>
    </row>
    <row r="293" spans="1:14" ht="12.75">
      <c r="A293" s="4"/>
      <c r="B293" s="5"/>
      <c r="C293" s="5"/>
      <c r="D293" s="5"/>
      <c r="E293" s="5"/>
      <c r="F293" s="5"/>
      <c r="G293" s="5"/>
      <c r="H293" s="5"/>
      <c r="I293" s="5"/>
      <c r="J293" s="5"/>
      <c r="K293" s="5"/>
      <c r="L293" s="5"/>
      <c r="M293" s="5"/>
      <c r="N293" s="6"/>
    </row>
    <row r="294" spans="1:14" ht="12.75">
      <c r="A294" s="4"/>
      <c r="B294" s="5"/>
      <c r="C294" s="5"/>
      <c r="D294" s="5"/>
      <c r="E294" s="5"/>
      <c r="F294" s="5"/>
      <c r="G294" s="5"/>
      <c r="H294" s="5"/>
      <c r="I294" s="5"/>
      <c r="J294" s="5"/>
      <c r="K294" s="5"/>
      <c r="L294" s="5"/>
      <c r="M294" s="5"/>
      <c r="N294" s="6"/>
    </row>
    <row r="295" spans="1:14" ht="12.75">
      <c r="A295" s="4"/>
      <c r="B295" s="22" t="s">
        <v>1814</v>
      </c>
      <c r="C295" s="5"/>
      <c r="D295" s="5"/>
      <c r="E295" s="5"/>
      <c r="F295" s="5"/>
      <c r="G295" s="5"/>
      <c r="H295" s="5"/>
      <c r="I295" s="5"/>
      <c r="J295" s="5"/>
      <c r="K295" s="5"/>
      <c r="L295" s="5"/>
      <c r="M295" s="5"/>
      <c r="N295" s="6"/>
    </row>
    <row r="296" spans="1:14" ht="12.75">
      <c r="A296" s="4"/>
      <c r="B296" s="5"/>
      <c r="C296" s="5"/>
      <c r="D296" s="5"/>
      <c r="E296" s="5"/>
      <c r="F296" s="5"/>
      <c r="G296" s="5"/>
      <c r="H296" s="5"/>
      <c r="I296" s="5"/>
      <c r="J296" s="5"/>
      <c r="K296" s="5"/>
      <c r="L296" s="5"/>
      <c r="M296" s="5"/>
      <c r="N296" s="6"/>
    </row>
    <row r="297" spans="1:14" ht="12.75">
      <c r="A297" s="4"/>
      <c r="B297" s="22" t="s">
        <v>473</v>
      </c>
      <c r="C297" s="5"/>
      <c r="D297" s="5"/>
      <c r="E297" s="147" t="s">
        <v>1815</v>
      </c>
      <c r="F297" s="26"/>
      <c r="G297" s="22" t="s">
        <v>182</v>
      </c>
      <c r="H297" s="5"/>
      <c r="I297" s="5"/>
      <c r="J297" s="5"/>
      <c r="K297" s="22" t="s">
        <v>183</v>
      </c>
      <c r="L297" s="5"/>
      <c r="M297" s="5"/>
      <c r="N297" s="6"/>
    </row>
    <row r="298" spans="1:14" ht="12.75">
      <c r="A298" s="4"/>
      <c r="B298" s="26" t="str">
        <f aca="true" t="shared" si="26" ref="B298:C300">J117</f>
        <v>i_gi_p4 = </v>
      </c>
      <c r="C298" s="406">
        <f t="shared" si="26"/>
        <v>-0.4247607821778162</v>
      </c>
      <c r="D298" s="26" t="str">
        <f aca="true" t="shared" si="27" ref="D298:E300">J133</f>
        <v>i_gi_p5 = </v>
      </c>
      <c r="E298" s="406">
        <f t="shared" si="27"/>
        <v>-0.41890816753143223</v>
      </c>
      <c r="F298" s="70"/>
      <c r="G298" s="46"/>
      <c r="H298" s="70" t="s">
        <v>127</v>
      </c>
      <c r="I298" s="72">
        <f>IF((I299*I300)=0,"",C298*E298+C299*E299+C300*E300)</f>
        <v>0.9997673744338129</v>
      </c>
      <c r="J298" s="5"/>
      <c r="K298" s="269">
        <f>IF(I301="","",I301*$K$73)</f>
        <v>137408.7080033146</v>
      </c>
      <c r="L298" s="497" t="s">
        <v>975</v>
      </c>
      <c r="M298" s="485">
        <f>IF(K193="","",K193)</f>
        <v>73239.17071330774</v>
      </c>
      <c r="N298" s="6" t="s">
        <v>167</v>
      </c>
    </row>
    <row r="299" spans="1:14" ht="12.75">
      <c r="A299" s="4"/>
      <c r="B299" s="26" t="str">
        <f t="shared" si="26"/>
        <v>j_gi_p4 = </v>
      </c>
      <c r="C299" s="406">
        <f t="shared" si="26"/>
        <v>-0.6682638576576345</v>
      </c>
      <c r="D299" s="26" t="str">
        <f t="shared" si="27"/>
        <v>j_gi_p5 = </v>
      </c>
      <c r="E299" s="406">
        <f t="shared" si="27"/>
        <v>-0.6561967209155365</v>
      </c>
      <c r="F299" s="46"/>
      <c r="G299" s="46"/>
      <c r="H299" s="70" t="s">
        <v>128</v>
      </c>
      <c r="I299" s="72">
        <f>IF(C298="","0",SQRT(C298^2+C299^2+C300^2))</f>
        <v>0.9999999999999999</v>
      </c>
      <c r="J299" s="5"/>
      <c r="K299" s="5"/>
      <c r="L299" s="26" t="s">
        <v>976</v>
      </c>
      <c r="M299" s="485">
        <f>IF(K201="","",K201)</f>
        <v>64169.56315528842</v>
      </c>
      <c r="N299" s="6" t="s">
        <v>167</v>
      </c>
    </row>
    <row r="300" spans="1:14" ht="12.75">
      <c r="A300" s="4"/>
      <c r="B300" s="26" t="str">
        <f t="shared" si="26"/>
        <v>k_gi_p4 = </v>
      </c>
      <c r="C300" s="406">
        <f t="shared" si="26"/>
        <v>0.6107386466175416</v>
      </c>
      <c r="D300" s="26" t="str">
        <f t="shared" si="27"/>
        <v>k_gi_p5 = </v>
      </c>
      <c r="E300" s="406">
        <f t="shared" si="27"/>
        <v>0.6276319069607242</v>
      </c>
      <c r="F300" s="46"/>
      <c r="G300" s="46"/>
      <c r="H300" s="70" t="s">
        <v>129</v>
      </c>
      <c r="I300" s="72">
        <f>IF(E298="","0",SQRT(E298^2+E299^2+E300^2))</f>
        <v>1</v>
      </c>
      <c r="J300" s="5"/>
      <c r="K300" s="5"/>
      <c r="L300" s="26" t="s">
        <v>974</v>
      </c>
      <c r="M300" s="498">
        <f>IF(M298="","",IF(M299="","",SUM(M298,M299)))</f>
        <v>137408.73386859617</v>
      </c>
      <c r="N300" s="6" t="s">
        <v>167</v>
      </c>
    </row>
    <row r="301" spans="1:14" ht="12.75">
      <c r="A301" s="4"/>
      <c r="B301" s="5"/>
      <c r="C301" s="5"/>
      <c r="D301" s="5"/>
      <c r="E301" s="5"/>
      <c r="F301" s="5"/>
      <c r="G301" s="5"/>
      <c r="H301" s="70" t="s">
        <v>21</v>
      </c>
      <c r="I301" s="72">
        <f>IF((I299*I300)=0,"",ACOS(I298/(I299*I300)))</f>
        <v>0.021570099019499578</v>
      </c>
      <c r="J301" s="5" t="s">
        <v>599</v>
      </c>
      <c r="K301" s="5"/>
      <c r="L301" s="26" t="s">
        <v>795</v>
      </c>
      <c r="M301" s="499">
        <f>IF(M300="","",K298-M300)</f>
        <v>-0.025865281582809985</v>
      </c>
      <c r="N301" s="6" t="s">
        <v>167</v>
      </c>
    </row>
    <row r="302" spans="1:14" ht="12.75">
      <c r="A302" s="4"/>
      <c r="B302" s="5"/>
      <c r="C302" s="5"/>
      <c r="D302" s="5"/>
      <c r="E302" s="5"/>
      <c r="F302" s="5"/>
      <c r="G302" s="5"/>
      <c r="H302" s="5"/>
      <c r="I302" s="68">
        <f>IF(I301="","",DEGREES(I301))</f>
        <v>1.2358756374966011</v>
      </c>
      <c r="J302" s="5" t="s">
        <v>1233</v>
      </c>
      <c r="K302" s="5"/>
      <c r="L302" s="5"/>
      <c r="M302" s="5"/>
      <c r="N302" s="6"/>
    </row>
    <row r="303" spans="1:14" ht="12.75">
      <c r="A303" s="4"/>
      <c r="B303" s="5"/>
      <c r="C303" s="5"/>
      <c r="D303" s="5"/>
      <c r="E303" s="5"/>
      <c r="F303" s="5"/>
      <c r="G303" s="5"/>
      <c r="H303" s="5"/>
      <c r="I303" s="5"/>
      <c r="J303" s="5"/>
      <c r="K303" s="5"/>
      <c r="L303" s="5"/>
      <c r="M303" s="5"/>
      <c r="N303" s="6"/>
    </row>
    <row r="304" spans="1:14" ht="13.5" thickBot="1">
      <c r="A304" s="7"/>
      <c r="B304" s="8"/>
      <c r="C304" s="8"/>
      <c r="D304" s="8"/>
      <c r="E304" s="8"/>
      <c r="F304" s="8"/>
      <c r="G304" s="8"/>
      <c r="H304" s="8"/>
      <c r="I304" s="8"/>
      <c r="J304" s="8"/>
      <c r="K304" s="8"/>
      <c r="L304" s="8"/>
      <c r="M304" s="8"/>
      <c r="N304" s="9"/>
    </row>
  </sheetData>
  <sheetProtection password="CFF3" sheet="1" objects="1" scenarios="1"/>
  <printOptions/>
  <pageMargins left="0.75" right="0.42" top="0.53" bottom="1" header="0.5" footer="0.5"/>
  <pageSetup orientation="portrait" paperSize="9" scale="55"/>
  <headerFooter alignWithMargins="0">
    <oddFooter>&amp;C&amp;A&amp;RPage &amp;P</oddFooter>
  </headerFooter>
  <drawing r:id="rId1"/>
</worksheet>
</file>

<file path=xl/worksheets/sheet13.xml><?xml version="1.0" encoding="utf-8"?>
<worksheet xmlns="http://schemas.openxmlformats.org/spreadsheetml/2006/main" xmlns:r="http://schemas.openxmlformats.org/officeDocument/2006/relationships">
  <dimension ref="A1:U669"/>
  <sheetViews>
    <sheetView workbookViewId="0" topLeftCell="A1">
      <selection activeCell="A1" sqref="A1"/>
    </sheetView>
  </sheetViews>
  <sheetFormatPr defaultColWidth="9.00390625" defaultRowHeight="12.75"/>
  <cols>
    <col min="1" max="2" width="11.375" style="0" customWidth="1"/>
    <col min="3" max="3" width="12.625" style="0" customWidth="1"/>
    <col min="4" max="4" width="11.625" style="0" bestFit="1" customWidth="1"/>
    <col min="5" max="5" width="14.625" style="0" customWidth="1"/>
    <col min="6" max="6" width="15.00390625" style="0" customWidth="1"/>
    <col min="7" max="7" width="14.375" style="0" bestFit="1" customWidth="1"/>
    <col min="8" max="8" width="11.625" style="0" bestFit="1" customWidth="1"/>
    <col min="9" max="9" width="14.25390625" style="0" bestFit="1" customWidth="1"/>
    <col min="10" max="10" width="11.375" style="0" bestFit="1" customWidth="1"/>
    <col min="11" max="11" width="13.375" style="0" customWidth="1"/>
    <col min="12" max="12" width="11.375" style="0" customWidth="1"/>
    <col min="13" max="13" width="14.25390625" style="0" customWidth="1"/>
    <col min="14" max="14" width="13.00390625" style="0" customWidth="1"/>
    <col min="15" max="15" width="15.00390625" style="0" customWidth="1"/>
    <col min="16" max="16384" width="11.375" style="0" customWidth="1"/>
  </cols>
  <sheetData>
    <row r="1" spans="1:12" ht="23.25">
      <c r="A1" s="458" t="s">
        <v>343</v>
      </c>
      <c r="B1" s="298"/>
      <c r="C1" s="298"/>
      <c r="D1" s="298"/>
      <c r="E1" s="298"/>
      <c r="F1" s="298"/>
      <c r="G1" s="298"/>
      <c r="H1" s="298"/>
      <c r="I1" s="298"/>
      <c r="J1" s="298"/>
      <c r="K1" s="298"/>
      <c r="L1" s="298"/>
    </row>
    <row r="2" ht="23.25">
      <c r="A2" s="472"/>
    </row>
    <row r="3" spans="1:13" ht="22.5" customHeight="1">
      <c r="A3" s="458"/>
      <c r="B3" s="298"/>
      <c r="C3" s="491" t="s">
        <v>950</v>
      </c>
      <c r="D3" s="298"/>
      <c r="E3" s="298"/>
      <c r="F3" s="298"/>
      <c r="G3" s="298"/>
      <c r="H3" s="298"/>
      <c r="I3" s="298"/>
      <c r="J3" s="298"/>
      <c r="K3" s="298"/>
      <c r="L3" s="298"/>
      <c r="M3" s="298"/>
    </row>
    <row r="4" spans="1:13" ht="18" customHeight="1">
      <c r="A4" s="458"/>
      <c r="B4" s="298"/>
      <c r="C4" s="492" t="s">
        <v>947</v>
      </c>
      <c r="D4" s="298"/>
      <c r="E4" s="298"/>
      <c r="F4" s="298"/>
      <c r="G4" s="298"/>
      <c r="H4" s="298"/>
      <c r="I4" s="298"/>
      <c r="J4" s="298"/>
      <c r="K4" s="298"/>
      <c r="L4" s="298"/>
      <c r="M4" s="298"/>
    </row>
    <row r="5" spans="1:12" ht="19.5" customHeight="1">
      <c r="A5" s="458"/>
      <c r="B5" s="298"/>
      <c r="C5" s="298"/>
      <c r="D5" s="298"/>
      <c r="E5" s="298"/>
      <c r="F5" s="298"/>
      <c r="G5" s="298"/>
      <c r="H5" s="298"/>
      <c r="I5" s="298"/>
      <c r="J5" s="298"/>
      <c r="K5" s="298"/>
      <c r="L5" s="298"/>
    </row>
    <row r="6" ht="23.25">
      <c r="A6" s="472"/>
    </row>
    <row r="7" ht="18">
      <c r="A7" s="12" t="s">
        <v>200</v>
      </c>
    </row>
    <row r="8" ht="18">
      <c r="A8" s="12" t="s">
        <v>1515</v>
      </c>
    </row>
    <row r="9" ht="18">
      <c r="A9" s="12" t="s">
        <v>1698</v>
      </c>
    </row>
    <row r="10" ht="13.5" thickBot="1"/>
    <row r="11" spans="1:12" ht="12.75">
      <c r="A11" s="1"/>
      <c r="B11" s="149"/>
      <c r="C11" s="149"/>
      <c r="D11" s="149"/>
      <c r="E11" s="149"/>
      <c r="F11" s="149"/>
      <c r="G11" s="150"/>
      <c r="H11" s="151"/>
      <c r="I11" s="149"/>
      <c r="J11" s="2"/>
      <c r="K11" s="2"/>
      <c r="L11" s="3"/>
    </row>
    <row r="12" spans="1:12" ht="15.75">
      <c r="A12" s="14" t="s">
        <v>500</v>
      </c>
      <c r="B12" s="46"/>
      <c r="C12" s="46"/>
      <c r="D12" s="46"/>
      <c r="E12" s="46"/>
      <c r="F12" s="46"/>
      <c r="G12" s="26"/>
      <c r="H12" s="52"/>
      <c r="I12" s="46"/>
      <c r="J12" s="5"/>
      <c r="K12" s="5"/>
      <c r="L12" s="6"/>
    </row>
    <row r="13" spans="1:12" ht="12.75">
      <c r="A13" s="4"/>
      <c r="B13" s="46"/>
      <c r="C13" s="46"/>
      <c r="D13" s="46"/>
      <c r="E13" s="46"/>
      <c r="F13" s="46"/>
      <c r="G13" s="98"/>
      <c r="H13" s="98"/>
      <c r="I13" s="145"/>
      <c r="J13" s="5"/>
      <c r="K13" s="5"/>
      <c r="L13" s="6"/>
    </row>
    <row r="14" spans="1:12" ht="12.75">
      <c r="A14" s="4" t="s">
        <v>1689</v>
      </c>
      <c r="B14" s="46"/>
      <c r="C14" s="46"/>
      <c r="D14" s="46"/>
      <c r="E14" s="46"/>
      <c r="F14" s="46"/>
      <c r="G14" s="52"/>
      <c r="H14" s="52"/>
      <c r="I14" s="146"/>
      <c r="J14" s="5"/>
      <c r="K14" s="5"/>
      <c r="L14" s="6"/>
    </row>
    <row r="15" spans="1:12" ht="12.75">
      <c r="A15" s="4"/>
      <c r="B15" s="46"/>
      <c r="C15" s="46"/>
      <c r="D15" s="46"/>
      <c r="E15" s="46"/>
      <c r="F15" s="46"/>
      <c r="G15" s="52"/>
      <c r="H15" s="52"/>
      <c r="I15" s="146"/>
      <c r="J15" s="5"/>
      <c r="K15" s="5"/>
      <c r="L15" s="6"/>
    </row>
    <row r="16" spans="1:12" ht="12.75">
      <c r="A16" s="4"/>
      <c r="B16" s="46" t="s">
        <v>1690</v>
      </c>
      <c r="C16" s="46"/>
      <c r="D16" s="46"/>
      <c r="E16" s="46"/>
      <c r="F16" s="46"/>
      <c r="G16" s="26"/>
      <c r="H16" s="52"/>
      <c r="I16" s="46"/>
      <c r="J16" s="5"/>
      <c r="K16" s="5"/>
      <c r="L16" s="6"/>
    </row>
    <row r="17" spans="1:12" ht="13.5" thickBot="1">
      <c r="A17" s="4"/>
      <c r="B17" s="46"/>
      <c r="C17" s="46" t="s">
        <v>1056</v>
      </c>
      <c r="D17" s="183">
        <f>SPH_REC!G356/1000</f>
        <v>0.105</v>
      </c>
      <c r="E17" s="46" t="s">
        <v>167</v>
      </c>
      <c r="F17" s="46"/>
      <c r="G17" s="117" t="s">
        <v>438</v>
      </c>
      <c r="H17" s="117"/>
      <c r="I17" s="117"/>
      <c r="J17" s="117"/>
      <c r="K17" s="117"/>
      <c r="L17" s="6"/>
    </row>
    <row r="18" spans="1:12" ht="13.5" thickBot="1">
      <c r="A18" s="4"/>
      <c r="B18" s="46"/>
      <c r="C18" s="46" t="s">
        <v>1057</v>
      </c>
      <c r="D18" s="183">
        <f>SPH_REC!H356/1000</f>
        <v>0.12</v>
      </c>
      <c r="E18" s="46" t="s">
        <v>167</v>
      </c>
      <c r="F18" s="46"/>
      <c r="G18" s="86" t="str">
        <f>IF(AND(D17&gt;0,D18&gt;0)=TRUE,"None","Error: Invalid Image Size")</f>
        <v>None</v>
      </c>
      <c r="H18" s="116"/>
      <c r="I18" s="116"/>
      <c r="J18" s="116"/>
      <c r="K18" s="87"/>
      <c r="L18" s="6"/>
    </row>
    <row r="19" spans="1:12" ht="12.75">
      <c r="A19" s="4"/>
      <c r="B19" s="46"/>
      <c r="C19" s="46"/>
      <c r="D19" s="46"/>
      <c r="E19" s="46"/>
      <c r="F19" s="46"/>
      <c r="G19" s="26"/>
      <c r="H19" s="52"/>
      <c r="I19" s="46"/>
      <c r="J19" s="5"/>
      <c r="K19" s="5"/>
      <c r="L19" s="6"/>
    </row>
    <row r="20" spans="1:12" ht="12.75">
      <c r="A20" s="4"/>
      <c r="B20" s="473" t="s">
        <v>245</v>
      </c>
      <c r="C20" s="135" t="s">
        <v>1792</v>
      </c>
      <c r="D20" s="130">
        <f>0</f>
        <v>0</v>
      </c>
      <c r="E20" s="46"/>
      <c r="F20" s="46"/>
      <c r="G20" s="26"/>
      <c r="H20" s="52"/>
      <c r="I20" s="46"/>
      <c r="J20" s="5"/>
      <c r="K20" s="5"/>
      <c r="L20" s="6"/>
    </row>
    <row r="21" spans="1:12" ht="12.75">
      <c r="A21" s="4"/>
      <c r="B21" s="147"/>
      <c r="C21" s="135" t="s">
        <v>832</v>
      </c>
      <c r="D21" s="130">
        <f>0</f>
        <v>0</v>
      </c>
      <c r="E21" s="136" t="s">
        <v>720</v>
      </c>
      <c r="F21" s="19"/>
      <c r="G21" s="26"/>
      <c r="H21" s="52"/>
      <c r="I21" s="46"/>
      <c r="J21" s="5"/>
      <c r="K21" s="5"/>
      <c r="L21" s="6"/>
    </row>
    <row r="22" spans="1:12" ht="12.75">
      <c r="A22" s="4"/>
      <c r="B22" s="70"/>
      <c r="C22" s="46"/>
      <c r="D22" s="46"/>
      <c r="E22" s="46"/>
      <c r="F22" s="46"/>
      <c r="G22" s="26"/>
      <c r="H22" s="52"/>
      <c r="I22" s="46"/>
      <c r="J22" s="5"/>
      <c r="K22" s="5"/>
      <c r="L22" s="6"/>
    </row>
    <row r="23" spans="1:12" ht="12.75">
      <c r="A23" s="4"/>
      <c r="B23" s="70" t="s">
        <v>721</v>
      </c>
      <c r="C23" s="474">
        <f>-D17/2</f>
        <v>-0.0525</v>
      </c>
      <c r="D23" s="46" t="s">
        <v>167</v>
      </c>
      <c r="E23" s="70" t="s">
        <v>1783</v>
      </c>
      <c r="F23" s="475">
        <f>0</f>
        <v>0</v>
      </c>
      <c r="G23" s="148" t="s">
        <v>167</v>
      </c>
      <c r="H23" s="113" t="s">
        <v>1784</v>
      </c>
      <c r="I23" s="474">
        <f>D17/2</f>
        <v>0.0525</v>
      </c>
      <c r="J23" s="5" t="s">
        <v>167</v>
      </c>
      <c r="K23" s="5"/>
      <c r="L23" s="6"/>
    </row>
    <row r="24" spans="1:12" ht="12.75">
      <c r="A24" s="4"/>
      <c r="B24" s="70" t="s">
        <v>1785</v>
      </c>
      <c r="C24" s="474">
        <f>D18/2</f>
        <v>0.06</v>
      </c>
      <c r="D24" s="46" t="s">
        <v>167</v>
      </c>
      <c r="E24" s="70" t="s">
        <v>1786</v>
      </c>
      <c r="F24" s="474">
        <f>D18/2</f>
        <v>0.06</v>
      </c>
      <c r="G24" s="148" t="s">
        <v>167</v>
      </c>
      <c r="H24" s="113" t="s">
        <v>1787</v>
      </c>
      <c r="I24" s="474">
        <f>D18/2</f>
        <v>0.06</v>
      </c>
      <c r="J24" s="5" t="s">
        <v>167</v>
      </c>
      <c r="K24" s="5"/>
      <c r="L24" s="6"/>
    </row>
    <row r="25" spans="1:12" ht="12.75">
      <c r="A25" s="4"/>
      <c r="B25" s="46"/>
      <c r="C25" s="46"/>
      <c r="D25" s="70"/>
      <c r="E25" s="46"/>
      <c r="F25" s="70"/>
      <c r="G25" s="113"/>
      <c r="H25" s="52"/>
      <c r="I25" s="46"/>
      <c r="J25" s="5"/>
      <c r="K25" s="5"/>
      <c r="L25" s="6"/>
    </row>
    <row r="26" spans="1:12" ht="12.75">
      <c r="A26" s="4"/>
      <c r="B26" s="46"/>
      <c r="C26" s="46"/>
      <c r="D26" s="46"/>
      <c r="E26" s="46"/>
      <c r="F26" s="70"/>
      <c r="G26" s="113"/>
      <c r="H26" s="52"/>
      <c r="I26" s="46"/>
      <c r="J26" s="5"/>
      <c r="K26" s="5"/>
      <c r="L26" s="6"/>
    </row>
    <row r="27" spans="1:12" ht="12.75">
      <c r="A27" s="4"/>
      <c r="B27" s="46"/>
      <c r="C27" s="46"/>
      <c r="D27" s="46" t="s">
        <v>1788</v>
      </c>
      <c r="E27" s="46"/>
      <c r="F27" s="70"/>
      <c r="G27" s="113"/>
      <c r="H27" s="52"/>
      <c r="I27" s="143"/>
      <c r="J27" s="5"/>
      <c r="K27" s="5"/>
      <c r="L27" s="6"/>
    </row>
    <row r="28" spans="1:12" ht="12.75">
      <c r="A28" s="4"/>
      <c r="B28" s="46"/>
      <c r="C28" s="46"/>
      <c r="D28" s="85"/>
      <c r="E28" s="5"/>
      <c r="F28" s="70"/>
      <c r="G28" s="113"/>
      <c r="H28" s="5"/>
      <c r="I28" s="144"/>
      <c r="J28" s="5"/>
      <c r="K28" s="5"/>
      <c r="L28" s="6"/>
    </row>
    <row r="29" spans="1:12" ht="12.75">
      <c r="A29" s="4"/>
      <c r="B29" s="46"/>
      <c r="C29" s="46"/>
      <c r="D29" s="46"/>
      <c r="E29" s="46"/>
      <c r="F29" s="46"/>
      <c r="G29" s="113"/>
      <c r="H29" s="52"/>
      <c r="I29" s="46"/>
      <c r="J29" s="5"/>
      <c r="K29" s="5"/>
      <c r="L29" s="6"/>
    </row>
    <row r="30" spans="1:12" ht="15.75">
      <c r="A30" s="4"/>
      <c r="B30" s="46"/>
      <c r="C30" s="5"/>
      <c r="D30" s="16"/>
      <c r="E30" s="113"/>
      <c r="F30" s="52"/>
      <c r="G30" s="142"/>
      <c r="H30" s="46"/>
      <c r="I30" s="5"/>
      <c r="J30" s="5"/>
      <c r="K30" s="5"/>
      <c r="L30" s="6"/>
    </row>
    <row r="31" spans="1:12" ht="12.75">
      <c r="A31" s="4"/>
      <c r="B31" s="46"/>
      <c r="C31" s="46"/>
      <c r="D31" s="46"/>
      <c r="E31" s="46"/>
      <c r="F31" s="46"/>
      <c r="G31" s="26"/>
      <c r="H31" s="52"/>
      <c r="I31" s="46"/>
      <c r="J31" s="5"/>
      <c r="K31" s="5"/>
      <c r="L31" s="6"/>
    </row>
    <row r="32" spans="1:12" ht="13.5" thickBot="1">
      <c r="A32" s="4"/>
      <c r="B32" s="5"/>
      <c r="C32" s="5"/>
      <c r="D32" s="5"/>
      <c r="E32" s="5"/>
      <c r="F32" s="5"/>
      <c r="G32" s="5"/>
      <c r="H32" s="5"/>
      <c r="I32" s="5"/>
      <c r="J32" s="5"/>
      <c r="K32" s="5"/>
      <c r="L32" s="6"/>
    </row>
    <row r="33" spans="1:12" ht="13.5" thickBot="1">
      <c r="A33" s="4"/>
      <c r="B33" s="5"/>
      <c r="C33" s="5"/>
      <c r="D33" s="5"/>
      <c r="E33" s="501" t="s">
        <v>504</v>
      </c>
      <c r="F33" s="479">
        <v>0</v>
      </c>
      <c r="G33" s="5" t="s">
        <v>167</v>
      </c>
      <c r="H33" s="5"/>
      <c r="I33" s="5"/>
      <c r="J33" s="5"/>
      <c r="K33" s="5"/>
      <c r="L33" s="6"/>
    </row>
    <row r="34" spans="1:12" ht="13.5" thickBot="1">
      <c r="A34" s="4"/>
      <c r="B34" s="5"/>
      <c r="C34" s="5"/>
      <c r="D34" s="5"/>
      <c r="E34" s="501" t="s">
        <v>505</v>
      </c>
      <c r="F34" s="480">
        <f>(K38/K39)/2</f>
        <v>9.999999999999999E-06</v>
      </c>
      <c r="G34" s="5" t="s">
        <v>167</v>
      </c>
      <c r="H34" s="5"/>
      <c r="I34" s="5"/>
      <c r="J34" s="5"/>
      <c r="K34" s="5"/>
      <c r="L34" s="6"/>
    </row>
    <row r="35" spans="1:12" ht="12.75">
      <c r="A35" s="4"/>
      <c r="B35" s="5"/>
      <c r="C35" s="5"/>
      <c r="D35" s="5"/>
      <c r="E35" s="5"/>
      <c r="F35" s="5"/>
      <c r="G35" s="5"/>
      <c r="H35" s="5"/>
      <c r="I35" s="5"/>
      <c r="J35" s="5"/>
      <c r="K35" s="5"/>
      <c r="L35" s="6"/>
    </row>
    <row r="36" spans="1:12" ht="13.5" thickBot="1">
      <c r="A36" s="4"/>
      <c r="B36" s="5"/>
      <c r="C36" s="5"/>
      <c r="D36" s="5"/>
      <c r="E36" s="5"/>
      <c r="F36" s="5"/>
      <c r="G36" s="5"/>
      <c r="H36" s="5"/>
      <c r="I36" s="5"/>
      <c r="J36" s="5"/>
      <c r="K36" s="5"/>
      <c r="L36" s="6"/>
    </row>
    <row r="37" spans="1:12" ht="13.5" thickBot="1">
      <c r="A37" s="4"/>
      <c r="B37" s="5"/>
      <c r="C37" s="274"/>
      <c r="D37" s="478">
        <f>-(E64/E66)/2</f>
        <v>-8.75E-06</v>
      </c>
      <c r="E37" s="503" t="s">
        <v>977</v>
      </c>
      <c r="F37" s="500" t="s">
        <v>502</v>
      </c>
      <c r="G37" s="478">
        <f>(E64/E66)/2</f>
        <v>8.75E-06</v>
      </c>
      <c r="H37" s="5" t="s">
        <v>167</v>
      </c>
      <c r="I37" s="5"/>
      <c r="J37" s="5"/>
      <c r="K37" s="132" t="s">
        <v>441</v>
      </c>
      <c r="L37" s="6"/>
    </row>
    <row r="38" spans="1:12" ht="13.5" thickBot="1">
      <c r="A38" s="133" t="s">
        <v>42</v>
      </c>
      <c r="B38" s="5"/>
      <c r="C38" s="274"/>
      <c r="D38" s="479">
        <v>0</v>
      </c>
      <c r="E38" s="503" t="s">
        <v>977</v>
      </c>
      <c r="F38" s="500" t="s">
        <v>503</v>
      </c>
      <c r="G38" s="479">
        <v>0</v>
      </c>
      <c r="H38" s="5" t="s">
        <v>167</v>
      </c>
      <c r="I38" s="134" t="s">
        <v>1790</v>
      </c>
      <c r="J38" s="5"/>
      <c r="K38" s="476">
        <f>D18</f>
        <v>0.12</v>
      </c>
      <c r="L38" s="6" t="s">
        <v>167</v>
      </c>
    </row>
    <row r="39" spans="1:12" ht="13.5" thickBot="1">
      <c r="A39" s="26" t="s">
        <v>1791</v>
      </c>
      <c r="B39" s="475">
        <f>-D17/2</f>
        <v>-0.0525</v>
      </c>
      <c r="C39" s="5" t="s">
        <v>167</v>
      </c>
      <c r="H39" s="17" t="s">
        <v>392</v>
      </c>
      <c r="I39" s="475">
        <f>D17/2</f>
        <v>0.0525</v>
      </c>
      <c r="J39" s="5" t="s">
        <v>167</v>
      </c>
      <c r="K39" s="477">
        <f>'Input-Output'!E40</f>
        <v>6000</v>
      </c>
      <c r="L39" s="6" t="s">
        <v>501</v>
      </c>
    </row>
    <row r="40" spans="1:12" ht="13.5" thickBot="1">
      <c r="A40" s="26" t="s">
        <v>831</v>
      </c>
      <c r="B40" s="475">
        <v>0</v>
      </c>
      <c r="C40" s="5" t="s">
        <v>167</v>
      </c>
      <c r="H40" s="17" t="s">
        <v>393</v>
      </c>
      <c r="I40" s="475">
        <v>0</v>
      </c>
      <c r="J40" s="5" t="s">
        <v>167</v>
      </c>
      <c r="K40" s="5"/>
      <c r="L40" s="6"/>
    </row>
    <row r="41" spans="1:12" ht="13.5" thickBot="1">
      <c r="A41" s="4"/>
      <c r="B41" s="5"/>
      <c r="C41" s="5"/>
      <c r="D41" s="5"/>
      <c r="E41" s="501" t="s">
        <v>507</v>
      </c>
      <c r="F41" s="479">
        <v>0</v>
      </c>
      <c r="G41" s="5" t="s">
        <v>167</v>
      </c>
      <c r="H41" s="5"/>
      <c r="I41" s="5"/>
      <c r="J41" s="5"/>
      <c r="K41" s="5"/>
      <c r="L41" s="6"/>
    </row>
    <row r="42" spans="1:12" ht="13.5" thickBot="1">
      <c r="A42" s="4"/>
      <c r="B42" s="5"/>
      <c r="C42" s="5"/>
      <c r="D42" s="5"/>
      <c r="E42" s="502" t="s">
        <v>506</v>
      </c>
      <c r="F42" s="480">
        <f>-(K38/K39)/2</f>
        <v>-9.999999999999999E-06</v>
      </c>
      <c r="G42" s="5" t="s">
        <v>167</v>
      </c>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26"/>
      <c r="E46" s="5"/>
      <c r="F46" s="26"/>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4"/>
      <c r="B52" s="26" t="s">
        <v>834</v>
      </c>
      <c r="C52" s="475">
        <f>-D17/2</f>
        <v>-0.0525</v>
      </c>
      <c r="D52" s="5" t="s">
        <v>167</v>
      </c>
      <c r="E52" s="26" t="s">
        <v>835</v>
      </c>
      <c r="F52" s="475">
        <f>0</f>
        <v>0</v>
      </c>
      <c r="G52" s="5" t="s">
        <v>167</v>
      </c>
      <c r="H52" s="26" t="s">
        <v>836</v>
      </c>
      <c r="I52" s="475">
        <f>D17/2</f>
        <v>0.0525</v>
      </c>
      <c r="J52" s="5" t="s">
        <v>167</v>
      </c>
      <c r="K52" s="5"/>
      <c r="L52" s="6"/>
    </row>
    <row r="53" spans="1:12" ht="12.75">
      <c r="A53" s="4"/>
      <c r="B53" s="26" t="s">
        <v>837</v>
      </c>
      <c r="C53" s="475">
        <f>-D18/2</f>
        <v>-0.06</v>
      </c>
      <c r="D53" s="5" t="s">
        <v>167</v>
      </c>
      <c r="E53" s="26" t="s">
        <v>838</v>
      </c>
      <c r="F53" s="266">
        <f>-D18/2</f>
        <v>-0.06</v>
      </c>
      <c r="G53" s="5" t="s">
        <v>167</v>
      </c>
      <c r="H53" s="26" t="s">
        <v>839</v>
      </c>
      <c r="I53" s="475">
        <f>-D18/2</f>
        <v>-0.06</v>
      </c>
      <c r="J53" s="5" t="s">
        <v>167</v>
      </c>
      <c r="K53" s="5"/>
      <c r="L53" s="6"/>
    </row>
    <row r="54" spans="1:12" ht="12.75">
      <c r="A54" s="4"/>
      <c r="B54" s="5"/>
      <c r="C54" s="5"/>
      <c r="D54" s="5"/>
      <c r="E54" s="5"/>
      <c r="F54" s="5"/>
      <c r="G54" s="5"/>
      <c r="H54" s="5"/>
      <c r="I54" s="5"/>
      <c r="J54" s="5"/>
      <c r="K54" s="5"/>
      <c r="L54" s="6"/>
    </row>
    <row r="55" spans="1:12" ht="12.75">
      <c r="A55" s="4"/>
      <c r="B55" s="5"/>
      <c r="C55" s="5"/>
      <c r="D55" s="5"/>
      <c r="E55" s="136" t="s">
        <v>1789</v>
      </c>
      <c r="F55" s="15"/>
      <c r="G55" s="5"/>
      <c r="H55" s="5"/>
      <c r="I55" s="5"/>
      <c r="J55" s="5"/>
      <c r="K55" s="5"/>
      <c r="L55" s="6"/>
    </row>
    <row r="56" spans="1:12" ht="12.75">
      <c r="A56" s="4"/>
      <c r="B56" s="5"/>
      <c r="C56" s="5"/>
      <c r="D56" s="5"/>
      <c r="E56" s="5"/>
      <c r="F56" s="5"/>
      <c r="G56" s="5"/>
      <c r="H56" s="5"/>
      <c r="I56" s="5"/>
      <c r="J56" s="5"/>
      <c r="K56" s="5"/>
      <c r="L56" s="6"/>
    </row>
    <row r="57" spans="1:12" ht="12.75">
      <c r="A57" s="4"/>
      <c r="B57" s="5"/>
      <c r="C57" s="5"/>
      <c r="D57" s="5"/>
      <c r="E57" s="5"/>
      <c r="F57" s="5"/>
      <c r="G57" s="5"/>
      <c r="H57" s="5"/>
      <c r="I57" s="5"/>
      <c r="J57" s="5"/>
      <c r="K57" s="5"/>
      <c r="L57" s="6"/>
    </row>
    <row r="58" spans="1:12" ht="12.75">
      <c r="A58" s="4"/>
      <c r="B58" s="5"/>
      <c r="C58" s="5"/>
      <c r="D58" s="5"/>
      <c r="E58" s="5"/>
      <c r="F58" s="5"/>
      <c r="G58" s="5"/>
      <c r="H58" s="5"/>
      <c r="I58" s="5"/>
      <c r="J58" s="5"/>
      <c r="K58" s="5"/>
      <c r="L58" s="6"/>
    </row>
    <row r="59" spans="1:12" ht="12.75">
      <c r="A59" s="4"/>
      <c r="B59" s="5"/>
      <c r="C59" s="5"/>
      <c r="D59" s="5"/>
      <c r="E59" s="5"/>
      <c r="F59" s="5"/>
      <c r="G59" s="5"/>
      <c r="H59" s="5"/>
      <c r="I59" s="5"/>
      <c r="J59" s="5"/>
      <c r="K59" s="5"/>
      <c r="L59" s="6"/>
    </row>
    <row r="60" spans="1:12" ht="12.75">
      <c r="A60" s="4"/>
      <c r="B60" s="5"/>
      <c r="C60" s="5"/>
      <c r="D60" s="5"/>
      <c r="E60" s="5"/>
      <c r="F60" s="5"/>
      <c r="G60" s="5"/>
      <c r="H60" s="5"/>
      <c r="I60" s="5"/>
      <c r="J60" s="5"/>
      <c r="K60" s="5"/>
      <c r="L60" s="6"/>
    </row>
    <row r="61" spans="1:12" ht="12.75">
      <c r="A61" s="4"/>
      <c r="B61" s="5"/>
      <c r="C61" s="5"/>
      <c r="D61" s="5"/>
      <c r="E61" s="5"/>
      <c r="F61" s="5"/>
      <c r="G61" s="5"/>
      <c r="H61" s="5"/>
      <c r="I61" s="5"/>
      <c r="J61" s="5"/>
      <c r="K61" s="5"/>
      <c r="L61" s="6"/>
    </row>
    <row r="62" spans="1:12" ht="12.75">
      <c r="A62" s="4"/>
      <c r="B62" s="5"/>
      <c r="C62" s="5"/>
      <c r="D62" s="5"/>
      <c r="E62" s="5"/>
      <c r="F62" s="5"/>
      <c r="G62" s="5"/>
      <c r="H62" s="5"/>
      <c r="I62" s="5"/>
      <c r="J62" s="5"/>
      <c r="K62" s="5"/>
      <c r="L62" s="6"/>
    </row>
    <row r="63" spans="1:12" ht="12.75">
      <c r="A63" s="4"/>
      <c r="B63" s="5"/>
      <c r="C63" s="5"/>
      <c r="D63" s="5"/>
      <c r="E63" s="5"/>
      <c r="F63" s="5"/>
      <c r="G63" s="5"/>
      <c r="H63" s="5"/>
      <c r="I63" s="5"/>
      <c r="J63" s="5"/>
      <c r="K63" s="5"/>
      <c r="L63" s="6"/>
    </row>
    <row r="64" spans="1:12" ht="12.75">
      <c r="A64" s="4"/>
      <c r="B64" s="5"/>
      <c r="C64" s="5"/>
      <c r="D64" s="5"/>
      <c r="E64" s="184">
        <f>D17</f>
        <v>0.105</v>
      </c>
      <c r="F64" s="129"/>
      <c r="G64" s="5" t="s">
        <v>167</v>
      </c>
      <c r="H64" s="5"/>
      <c r="I64" s="5"/>
      <c r="J64" s="5"/>
      <c r="K64" s="5"/>
      <c r="L64" s="6"/>
    </row>
    <row r="65" spans="1:12" ht="12.75">
      <c r="A65" s="4"/>
      <c r="B65" s="5"/>
      <c r="C65" s="5"/>
      <c r="D65" s="5"/>
      <c r="E65" s="19" t="s">
        <v>1383</v>
      </c>
      <c r="F65" s="15"/>
      <c r="G65" s="5"/>
      <c r="H65" s="5"/>
      <c r="I65" s="5"/>
      <c r="J65" s="5"/>
      <c r="K65" s="5"/>
      <c r="L65" s="6"/>
    </row>
    <row r="66" spans="1:12" ht="12.75">
      <c r="A66" s="4"/>
      <c r="B66" s="5"/>
      <c r="C66" s="5"/>
      <c r="D66" s="5"/>
      <c r="E66" s="770">
        <f>'Input-Output'!E39</f>
        <v>6000</v>
      </c>
      <c r="F66" s="771"/>
      <c r="G66" s="5" t="s">
        <v>501</v>
      </c>
      <c r="H66" s="5"/>
      <c r="I66" s="5"/>
      <c r="J66" s="5"/>
      <c r="K66" s="5"/>
      <c r="L66" s="6"/>
    </row>
    <row r="67" spans="1:12" ht="13.5" thickBot="1">
      <c r="A67" s="7"/>
      <c r="B67" s="8"/>
      <c r="C67" s="8"/>
      <c r="D67" s="8"/>
      <c r="E67" s="8"/>
      <c r="F67" s="8"/>
      <c r="G67" s="8"/>
      <c r="H67" s="8"/>
      <c r="I67" s="8"/>
      <c r="J67" s="8"/>
      <c r="K67" s="8"/>
      <c r="L67" s="9"/>
    </row>
    <row r="68" ht="13.5" thickBot="1"/>
    <row r="69" spans="1:12" ht="12.75">
      <c r="A69" s="1"/>
      <c r="B69" s="2"/>
      <c r="C69" s="2"/>
      <c r="D69" s="2"/>
      <c r="E69" s="2"/>
      <c r="F69" s="2"/>
      <c r="G69" s="2"/>
      <c r="H69" s="2"/>
      <c r="I69" s="2"/>
      <c r="J69" s="2"/>
      <c r="K69" s="2"/>
      <c r="L69" s="3"/>
    </row>
    <row r="70" spans="1:12" ht="15.75">
      <c r="A70" s="14" t="s">
        <v>508</v>
      </c>
      <c r="B70" s="5"/>
      <c r="C70" s="5"/>
      <c r="D70" s="5"/>
      <c r="E70" s="5"/>
      <c r="F70" s="5"/>
      <c r="G70" s="5"/>
      <c r="H70" s="5"/>
      <c r="I70" s="5"/>
      <c r="J70" s="5"/>
      <c r="K70" s="5"/>
      <c r="L70" s="6"/>
    </row>
    <row r="71" spans="1:12" ht="15.75">
      <c r="A71" s="14" t="s">
        <v>733</v>
      </c>
      <c r="B71" s="5"/>
      <c r="C71" s="5"/>
      <c r="D71" s="5"/>
      <c r="E71" s="5"/>
      <c r="F71" s="5"/>
      <c r="G71" s="5"/>
      <c r="H71" s="5"/>
      <c r="I71" s="5"/>
      <c r="J71" s="5"/>
      <c r="K71" s="5"/>
      <c r="L71" s="6"/>
    </row>
    <row r="72" spans="1:12" ht="12.75">
      <c r="A72" s="4"/>
      <c r="B72" s="5"/>
      <c r="C72" s="5"/>
      <c r="D72" s="5"/>
      <c r="E72" s="5"/>
      <c r="F72" s="5"/>
      <c r="G72" s="5"/>
      <c r="H72" s="5"/>
      <c r="I72" s="5"/>
      <c r="J72" s="5"/>
      <c r="K72" s="5"/>
      <c r="L72" s="6"/>
    </row>
    <row r="73" spans="1:12" ht="12.75">
      <c r="A73" s="4"/>
      <c r="B73" s="5" t="s">
        <v>1728</v>
      </c>
      <c r="C73" s="5"/>
      <c r="D73" s="5"/>
      <c r="E73" s="5"/>
      <c r="F73" s="5"/>
      <c r="G73" s="5"/>
      <c r="H73" s="5"/>
      <c r="I73" s="5"/>
      <c r="J73" s="5"/>
      <c r="K73" s="5"/>
      <c r="L73" s="6"/>
    </row>
    <row r="74" spans="1:12" ht="12.75">
      <c r="A74" s="4"/>
      <c r="B74" s="5"/>
      <c r="C74" s="5"/>
      <c r="D74" s="5"/>
      <c r="E74" s="5"/>
      <c r="F74" s="5"/>
      <c r="G74" s="5"/>
      <c r="H74" s="5"/>
      <c r="I74" s="5"/>
      <c r="J74" s="5"/>
      <c r="K74" s="5"/>
      <c r="L74" s="6"/>
    </row>
    <row r="75" spans="1:12" ht="12.75">
      <c r="A75" s="4"/>
      <c r="B75" s="5" t="s">
        <v>269</v>
      </c>
      <c r="C75" s="5"/>
      <c r="D75" s="5"/>
      <c r="E75" s="5"/>
      <c r="F75" s="5"/>
      <c r="G75" s="5"/>
      <c r="H75" s="5"/>
      <c r="I75" s="5"/>
      <c r="J75" s="5"/>
      <c r="K75" s="5"/>
      <c r="L75" s="6"/>
    </row>
    <row r="76" spans="1:12" ht="12.75">
      <c r="A76" s="4"/>
      <c r="B76" s="5"/>
      <c r="C76" s="5"/>
      <c r="D76" s="5"/>
      <c r="E76" s="5"/>
      <c r="F76" s="5"/>
      <c r="G76" s="5"/>
      <c r="H76" s="5"/>
      <c r="I76" s="5"/>
      <c r="J76" s="5"/>
      <c r="K76" s="5"/>
      <c r="L76" s="6"/>
    </row>
    <row r="77" spans="1:12" ht="12.75">
      <c r="A77" s="4"/>
      <c r="B77" s="5"/>
      <c r="C77" s="5"/>
      <c r="D77" s="5"/>
      <c r="E77" s="5"/>
      <c r="F77" s="5"/>
      <c r="G77" s="5"/>
      <c r="H77" s="5"/>
      <c r="I77" s="5"/>
      <c r="J77" s="5"/>
      <c r="K77" s="5"/>
      <c r="L77" s="6"/>
    </row>
    <row r="78" spans="1:12" ht="12.75">
      <c r="A78" s="4"/>
      <c r="B78" s="22" t="s">
        <v>397</v>
      </c>
      <c r="C78" s="5"/>
      <c r="D78" s="5"/>
      <c r="E78" s="5"/>
      <c r="F78" s="5"/>
      <c r="G78" s="5"/>
      <c r="H78" s="5"/>
      <c r="I78" s="5"/>
      <c r="J78" s="5"/>
      <c r="K78" s="5"/>
      <c r="L78" s="6"/>
    </row>
    <row r="79" spans="1:12" ht="12.75">
      <c r="A79" s="4"/>
      <c r="B79" s="5"/>
      <c r="C79" s="5"/>
      <c r="D79" s="5"/>
      <c r="E79" s="5"/>
      <c r="F79" s="5"/>
      <c r="G79" s="5"/>
      <c r="H79" s="5"/>
      <c r="I79" s="5"/>
      <c r="J79" s="5"/>
      <c r="K79" s="5"/>
      <c r="L79" s="6"/>
    </row>
    <row r="80" spans="1:12" ht="12.75">
      <c r="A80" s="4"/>
      <c r="B80" s="5" t="s">
        <v>1615</v>
      </c>
      <c r="C80" s="5"/>
      <c r="D80" s="15" t="s">
        <v>640</v>
      </c>
      <c r="E80" s="15"/>
      <c r="F80" s="15"/>
      <c r="G80" s="5"/>
      <c r="H80" s="5" t="s">
        <v>1616</v>
      </c>
      <c r="I80" s="5"/>
      <c r="J80" s="5" t="s">
        <v>1544</v>
      </c>
      <c r="K80" s="5"/>
      <c r="L80" s="6"/>
    </row>
    <row r="81" spans="1:12" ht="12.75">
      <c r="A81" s="4"/>
      <c r="B81" s="5"/>
      <c r="C81" s="5"/>
      <c r="D81" s="5"/>
      <c r="E81" s="5"/>
      <c r="F81" s="5"/>
      <c r="G81" s="5"/>
      <c r="H81" s="5"/>
      <c r="I81" s="5"/>
      <c r="J81" s="5"/>
      <c r="K81" s="5"/>
      <c r="L81" s="6"/>
    </row>
    <row r="82" spans="1:12" ht="12.75">
      <c r="A82" s="4"/>
      <c r="B82" s="104" t="s">
        <v>636</v>
      </c>
      <c r="C82" s="5" t="s">
        <v>167</v>
      </c>
      <c r="D82" s="152">
        <f>Photo_Setup!D159</f>
        <v>0.8893290941618068</v>
      </c>
      <c r="E82" s="152">
        <f>Photo_Setup!E159</f>
        <v>-0.34693545320348956</v>
      </c>
      <c r="F82" s="152">
        <f>Photo_Setup!F159</f>
        <v>-0.29787506372274514</v>
      </c>
      <c r="G82" s="5"/>
      <c r="H82" s="94" t="s">
        <v>1429</v>
      </c>
      <c r="I82" s="5" t="s">
        <v>167</v>
      </c>
      <c r="J82" s="391">
        <f>Photo_Setup!J159</f>
        <v>-0.07446876593068605</v>
      </c>
      <c r="K82" s="52" t="s">
        <v>167</v>
      </c>
      <c r="L82" s="6"/>
    </row>
    <row r="83" spans="1:12" ht="12.75">
      <c r="A83" s="4"/>
      <c r="B83" s="104" t="s">
        <v>638</v>
      </c>
      <c r="C83" s="5" t="s">
        <v>1545</v>
      </c>
      <c r="D83" s="152">
        <f>Photo_Setup!D160</f>
        <v>0.3634335695108401</v>
      </c>
      <c r="E83" s="152">
        <f>Photo_Setup!E160</f>
        <v>0.9316201160089929</v>
      </c>
      <c r="F83" s="152">
        <f>Photo_Setup!F160</f>
        <v>0</v>
      </c>
      <c r="G83" s="5" t="s">
        <v>1823</v>
      </c>
      <c r="H83" s="94" t="s">
        <v>1430</v>
      </c>
      <c r="I83" s="5" t="s">
        <v>1546</v>
      </c>
      <c r="J83" s="391">
        <f>Photo_Setup!J160</f>
        <v>9.354615035242412E-17</v>
      </c>
      <c r="K83" s="52" t="s">
        <v>167</v>
      </c>
      <c r="L83" s="6"/>
    </row>
    <row r="84" spans="1:12" ht="12.75">
      <c r="A84" s="4"/>
      <c r="B84" s="104" t="s">
        <v>643</v>
      </c>
      <c r="C84" s="5" t="s">
        <v>167</v>
      </c>
      <c r="D84" s="152">
        <f>Photo_Setup!D161</f>
        <v>0.27750640142156996</v>
      </c>
      <c r="E84" s="152">
        <f>Photo_Setup!E161</f>
        <v>-0.10825779767702622</v>
      </c>
      <c r="F84" s="152">
        <f>Photo_Setup!F161</f>
        <v>0.9546048640208002</v>
      </c>
      <c r="G84" s="5"/>
      <c r="H84" s="82">
        <v>0</v>
      </c>
      <c r="I84" s="5" t="s">
        <v>167</v>
      </c>
      <c r="J84" s="391">
        <f>Photo_Setup!J161</f>
        <v>0.23865121600520012</v>
      </c>
      <c r="K84" s="52" t="s">
        <v>167</v>
      </c>
      <c r="L84" s="6"/>
    </row>
    <row r="85" spans="1:12" ht="12.75">
      <c r="A85" s="4"/>
      <c r="B85" s="5"/>
      <c r="C85" s="5"/>
      <c r="D85" s="5"/>
      <c r="E85" s="5"/>
      <c r="F85" s="5"/>
      <c r="G85" s="5"/>
      <c r="H85" s="5"/>
      <c r="I85" s="5"/>
      <c r="J85" s="5"/>
      <c r="K85" s="5"/>
      <c r="L85" s="6"/>
    </row>
    <row r="86" spans="1:12" ht="12.75">
      <c r="A86" s="4"/>
      <c r="B86" s="5"/>
      <c r="C86" s="5"/>
      <c r="D86" s="5"/>
      <c r="E86" s="5"/>
      <c r="F86" s="5"/>
      <c r="G86" s="5"/>
      <c r="H86" s="5"/>
      <c r="I86" s="5"/>
      <c r="J86" s="5"/>
      <c r="K86" s="5"/>
      <c r="L86" s="6"/>
    </row>
    <row r="87" spans="1:12" ht="13.5" thickBot="1">
      <c r="A87" s="4"/>
      <c r="B87" s="5"/>
      <c r="C87" s="5" t="s">
        <v>1431</v>
      </c>
      <c r="D87" s="5"/>
      <c r="E87" s="5"/>
      <c r="F87" s="22" t="s">
        <v>1615</v>
      </c>
      <c r="G87" s="5"/>
      <c r="H87" s="5"/>
      <c r="I87" s="5"/>
      <c r="J87" s="22" t="s">
        <v>734</v>
      </c>
      <c r="K87" s="5"/>
      <c r="L87" s="6"/>
    </row>
    <row r="88" spans="1:18" ht="13.5" thickBot="1">
      <c r="A88" s="4"/>
      <c r="B88" s="26" t="s">
        <v>401</v>
      </c>
      <c r="C88" s="481">
        <f>F33</f>
        <v>0</v>
      </c>
      <c r="D88" s="5" t="s">
        <v>167</v>
      </c>
      <c r="E88" s="26" t="s">
        <v>349</v>
      </c>
      <c r="F88" s="185">
        <f>(D$82*C88+E$82*C89+F$82*C90)+J$82</f>
        <v>-0.07447223528521808</v>
      </c>
      <c r="G88" s="5" t="s">
        <v>167</v>
      </c>
      <c r="H88" s="5"/>
      <c r="I88" s="5"/>
      <c r="J88" s="26" t="s">
        <v>1824</v>
      </c>
      <c r="K88" s="185">
        <f>F88/H90</f>
        <v>-0.29788894090256124</v>
      </c>
      <c r="L88" s="514">
        <f>K88-Photo_Setup!K173</f>
        <v>0.07272633967053571</v>
      </c>
      <c r="M88" s="504" t="s">
        <v>978</v>
      </c>
      <c r="N88" s="505"/>
      <c r="O88" s="517" t="s">
        <v>985</v>
      </c>
      <c r="P88" s="518"/>
      <c r="Q88" s="518"/>
      <c r="R88" s="519"/>
    </row>
    <row r="89" spans="1:18" ht="13.5" thickBot="1">
      <c r="A89" s="4"/>
      <c r="B89" s="26" t="s">
        <v>402</v>
      </c>
      <c r="C89" s="481">
        <f>F34</f>
        <v>9.999999999999999E-06</v>
      </c>
      <c r="D89" s="5" t="s">
        <v>167</v>
      </c>
      <c r="E89" s="26" t="s">
        <v>463</v>
      </c>
      <c r="F89" s="185">
        <f>(D$83*C88+E$83*C89+F$83*C90)+J$83</f>
        <v>9.316201160183475E-06</v>
      </c>
      <c r="G89" s="5" t="s">
        <v>167</v>
      </c>
      <c r="H89" s="22" t="s">
        <v>1522</v>
      </c>
      <c r="I89" s="5"/>
      <c r="J89" s="26" t="s">
        <v>1825</v>
      </c>
      <c r="K89" s="185">
        <f>F89/H90</f>
        <v>3.726480461092206E-05</v>
      </c>
      <c r="L89" s="514">
        <f>K89-Photo_Setup!K174</f>
        <v>-0.21737767225381213</v>
      </c>
      <c r="M89" s="504" t="s">
        <v>979</v>
      </c>
      <c r="N89" s="505"/>
      <c r="O89" s="520" t="str">
        <f>IF($E$66=1,IF($K$39=1,IF(SUM(L88:L90)&lt;&gt;0,"Sum of Comparison Not Equal to Zero","None"),"None"),"None")</f>
        <v>None</v>
      </c>
      <c r="P89" s="116"/>
      <c r="Q89" s="116"/>
      <c r="R89" s="87"/>
    </row>
    <row r="90" spans="1:14" ht="12.75">
      <c r="A90" s="4"/>
      <c r="B90" s="26" t="s">
        <v>403</v>
      </c>
      <c r="C90" s="482">
        <v>0</v>
      </c>
      <c r="D90" s="5" t="s">
        <v>167</v>
      </c>
      <c r="E90" s="26" t="s">
        <v>462</v>
      </c>
      <c r="F90" s="185">
        <f>(D$84*C88+E$84*C89+F$84*C90)+J$84</f>
        <v>0.23865013342722335</v>
      </c>
      <c r="G90" s="5" t="s">
        <v>167</v>
      </c>
      <c r="H90" s="185">
        <f>SQRT(F88^2+F89^2+F90^2)</f>
        <v>0.25000000019999996</v>
      </c>
      <c r="I90" s="5" t="s">
        <v>167</v>
      </c>
      <c r="J90" s="26" t="s">
        <v>344</v>
      </c>
      <c r="K90" s="185">
        <f>F90/H90</f>
        <v>0.9546005329452132</v>
      </c>
      <c r="L90" s="514">
        <f>K90-Photo_Setup!K175</f>
        <v>0.0516193266349122</v>
      </c>
      <c r="M90" s="504" t="s">
        <v>980</v>
      </c>
      <c r="N90" s="505"/>
    </row>
    <row r="91" spans="1:12" ht="12.75">
      <c r="A91" s="4"/>
      <c r="B91" s="5"/>
      <c r="C91" s="5"/>
      <c r="D91" s="5"/>
      <c r="E91" s="5"/>
      <c r="F91" s="5"/>
      <c r="G91" s="5"/>
      <c r="H91" s="5"/>
      <c r="I91" s="5"/>
      <c r="J91" s="5"/>
      <c r="K91" s="5"/>
      <c r="L91" s="6"/>
    </row>
    <row r="92" spans="1:12" ht="12.75">
      <c r="A92" s="4"/>
      <c r="B92" s="5"/>
      <c r="C92" s="5"/>
      <c r="D92" s="5"/>
      <c r="E92" s="5"/>
      <c r="F92" s="5"/>
      <c r="G92" s="5"/>
      <c r="H92" s="5"/>
      <c r="I92" s="5"/>
      <c r="J92" s="5"/>
      <c r="K92" s="5"/>
      <c r="L92" s="6"/>
    </row>
    <row r="93" spans="1:12" ht="12.75">
      <c r="A93" s="4"/>
      <c r="B93" s="22" t="s">
        <v>398</v>
      </c>
      <c r="C93" s="5"/>
      <c r="D93" s="5"/>
      <c r="E93" s="5"/>
      <c r="F93" s="5"/>
      <c r="G93" s="5"/>
      <c r="H93" s="5"/>
      <c r="I93" s="5"/>
      <c r="J93" s="5"/>
      <c r="K93" s="5"/>
      <c r="L93" s="6"/>
    </row>
    <row r="94" spans="1:12" ht="12.75">
      <c r="A94" s="4"/>
      <c r="B94" s="5"/>
      <c r="C94" s="5"/>
      <c r="D94" s="5"/>
      <c r="E94" s="5"/>
      <c r="F94" s="5"/>
      <c r="G94" s="5"/>
      <c r="H94" s="5"/>
      <c r="I94" s="5"/>
      <c r="J94" s="5"/>
      <c r="K94" s="5"/>
      <c r="L94" s="6"/>
    </row>
    <row r="95" spans="1:12" ht="13.5" thickBot="1">
      <c r="A95" s="4"/>
      <c r="B95" s="5"/>
      <c r="C95" s="5" t="s">
        <v>1431</v>
      </c>
      <c r="D95" s="5"/>
      <c r="E95" s="5"/>
      <c r="F95" s="22" t="s">
        <v>1615</v>
      </c>
      <c r="G95" s="5"/>
      <c r="H95" s="5"/>
      <c r="I95" s="5"/>
      <c r="J95" s="22" t="s">
        <v>734</v>
      </c>
      <c r="K95" s="5"/>
      <c r="L95" s="6"/>
    </row>
    <row r="96" spans="1:18" ht="13.5" thickBot="1">
      <c r="A96" s="4"/>
      <c r="B96" s="26" t="s">
        <v>404</v>
      </c>
      <c r="C96" s="167">
        <f>D37</f>
        <v>-8.75E-06</v>
      </c>
      <c r="D96" s="5" t="s">
        <v>167</v>
      </c>
      <c r="E96" s="26" t="s">
        <v>458</v>
      </c>
      <c r="F96" s="185">
        <f>(D$82*C96+E$82*C97+F$82*C98)+J$82</f>
        <v>-0.07447654756025997</v>
      </c>
      <c r="G96" s="5" t="s">
        <v>167</v>
      </c>
      <c r="H96" s="5"/>
      <c r="I96" s="5"/>
      <c r="J96" s="26" t="s">
        <v>345</v>
      </c>
      <c r="K96" s="185">
        <f>F96/H98</f>
        <v>-0.2979061900585724</v>
      </c>
      <c r="L96" s="514">
        <f>K96-Photo_Setup!K189</f>
        <v>0.1763827384068024</v>
      </c>
      <c r="M96" s="504" t="s">
        <v>978</v>
      </c>
      <c r="N96" s="505"/>
      <c r="O96" s="517" t="s">
        <v>986</v>
      </c>
      <c r="P96" s="518"/>
      <c r="Q96" s="518"/>
      <c r="R96" s="519"/>
    </row>
    <row r="97" spans="1:18" ht="13.5" thickBot="1">
      <c r="A97" s="4"/>
      <c r="B97" s="26" t="s">
        <v>405</v>
      </c>
      <c r="C97" s="167">
        <f>D38</f>
        <v>0</v>
      </c>
      <c r="D97" s="5" t="s">
        <v>167</v>
      </c>
      <c r="E97" s="26" t="s">
        <v>457</v>
      </c>
      <c r="F97" s="185">
        <f>(D$83*C96+E$83*C97+F$83*C98)+J$83</f>
        <v>-3.1800437331263042E-06</v>
      </c>
      <c r="G97" s="5" t="s">
        <v>167</v>
      </c>
      <c r="H97" s="22" t="s">
        <v>1522</v>
      </c>
      <c r="I97" s="5"/>
      <c r="J97" s="26" t="s">
        <v>445</v>
      </c>
      <c r="K97" s="185">
        <f>F97/H98</f>
        <v>-1.2720174924714111E-05</v>
      </c>
      <c r="L97" s="514">
        <f>K97-Photo_Setup!K190</f>
        <v>0.07467914187778195</v>
      </c>
      <c r="M97" s="504" t="s">
        <v>981</v>
      </c>
      <c r="N97" s="505"/>
      <c r="O97" s="520" t="str">
        <f>IF($E$66=1,IF($K$39=1,IF(SUM(L96:L98)&lt;&gt;0,"Sum of Comparison Not Equal to Zero","None"),"None"),"None")</f>
        <v>None</v>
      </c>
      <c r="P97" s="116"/>
      <c r="Q97" s="116"/>
      <c r="R97" s="87"/>
    </row>
    <row r="98" spans="1:14" ht="12.75">
      <c r="A98" s="4"/>
      <c r="B98" s="26" t="s">
        <v>1816</v>
      </c>
      <c r="C98" s="482">
        <f>0</f>
        <v>0</v>
      </c>
      <c r="D98" s="5" t="s">
        <v>167</v>
      </c>
      <c r="E98" s="26" t="s">
        <v>456</v>
      </c>
      <c r="F98" s="185">
        <f>(D$84*C96+E$84*C97+F$84*C98)+J$84</f>
        <v>0.2386487878241877</v>
      </c>
      <c r="G98" s="5" t="s">
        <v>167</v>
      </c>
      <c r="H98" s="185">
        <f>SQRT(F96^2+F97^2+F98^2)</f>
        <v>0.25000000015312496</v>
      </c>
      <c r="I98" s="5" t="s">
        <v>167</v>
      </c>
      <c r="J98" s="26" t="s">
        <v>446</v>
      </c>
      <c r="K98" s="185">
        <f>F98/H98</f>
        <v>0.9545951507120614</v>
      </c>
      <c r="L98" s="514">
        <f>K98-Photo_Setup!K191</f>
        <v>0.07740011078179243</v>
      </c>
      <c r="M98" s="504" t="s">
        <v>980</v>
      </c>
      <c r="N98" s="505"/>
    </row>
    <row r="99" spans="1:12" ht="12.75">
      <c r="A99" s="4"/>
      <c r="B99" s="5"/>
      <c r="C99" s="5"/>
      <c r="D99" s="5"/>
      <c r="E99" s="5"/>
      <c r="F99" s="5"/>
      <c r="G99" s="5"/>
      <c r="H99" s="5"/>
      <c r="I99" s="5"/>
      <c r="J99" s="5"/>
      <c r="K99" s="5"/>
      <c r="L99" s="6"/>
    </row>
    <row r="100" spans="1:12" ht="12.75">
      <c r="A100" s="4"/>
      <c r="B100" s="5"/>
      <c r="C100" s="5"/>
      <c r="D100" s="5"/>
      <c r="E100" s="5"/>
      <c r="F100" s="5"/>
      <c r="G100" s="5"/>
      <c r="H100" s="5"/>
      <c r="I100" s="5"/>
      <c r="J100" s="5"/>
      <c r="K100" s="5"/>
      <c r="L100" s="6"/>
    </row>
    <row r="101" spans="1:12" ht="12.75">
      <c r="A101" s="4"/>
      <c r="B101" s="22" t="s">
        <v>399</v>
      </c>
      <c r="C101" s="5"/>
      <c r="D101" s="5"/>
      <c r="E101" s="5"/>
      <c r="F101" s="5"/>
      <c r="G101" s="5"/>
      <c r="H101" s="5"/>
      <c r="I101" s="5"/>
      <c r="J101" s="5"/>
      <c r="K101" s="5"/>
      <c r="L101" s="6"/>
    </row>
    <row r="102" spans="1:12" ht="12.75">
      <c r="A102" s="4"/>
      <c r="B102" s="5"/>
      <c r="C102" s="5"/>
      <c r="D102" s="5"/>
      <c r="E102" s="5"/>
      <c r="F102" s="5"/>
      <c r="G102" s="5"/>
      <c r="H102" s="5"/>
      <c r="I102" s="5"/>
      <c r="J102" s="5"/>
      <c r="K102" s="5"/>
      <c r="L102" s="6"/>
    </row>
    <row r="103" spans="1:12" ht="13.5" thickBot="1">
      <c r="A103" s="4"/>
      <c r="B103" s="5"/>
      <c r="C103" s="5" t="s">
        <v>1431</v>
      </c>
      <c r="D103" s="5"/>
      <c r="E103" s="5"/>
      <c r="F103" s="22" t="s">
        <v>1615</v>
      </c>
      <c r="G103" s="5"/>
      <c r="H103" s="5"/>
      <c r="I103" s="5"/>
      <c r="J103" s="22" t="s">
        <v>734</v>
      </c>
      <c r="K103" s="5"/>
      <c r="L103" s="6"/>
    </row>
    <row r="104" spans="1:18" ht="13.5" thickBot="1">
      <c r="A104" s="4"/>
      <c r="B104" s="26" t="s">
        <v>1817</v>
      </c>
      <c r="C104" s="167">
        <f>G37</f>
        <v>8.75E-06</v>
      </c>
      <c r="D104" s="5" t="s">
        <v>167</v>
      </c>
      <c r="E104" s="26" t="s">
        <v>459</v>
      </c>
      <c r="F104" s="185">
        <f>(D$82*C104+E$82*C105+F$82*C106)+J$82</f>
        <v>-0.07446098430111213</v>
      </c>
      <c r="G104" s="5" t="s">
        <v>167</v>
      </c>
      <c r="H104" s="5"/>
      <c r="I104" s="5"/>
      <c r="J104" s="26" t="s">
        <v>447</v>
      </c>
      <c r="K104" s="185">
        <f>F104/H106</f>
        <v>-0.29784393702201917</v>
      </c>
      <c r="L104" s="514">
        <f>K104-Photo_Setup!K205</f>
        <v>-0.189099920161797</v>
      </c>
      <c r="M104" s="504" t="s">
        <v>978</v>
      </c>
      <c r="N104" s="506"/>
      <c r="O104" s="517" t="s">
        <v>987</v>
      </c>
      <c r="P104" s="518"/>
      <c r="Q104" s="518"/>
      <c r="R104" s="519"/>
    </row>
    <row r="105" spans="1:18" ht="13.5" thickBot="1">
      <c r="A105" s="4"/>
      <c r="B105" s="26" t="s">
        <v>1818</v>
      </c>
      <c r="C105" s="167">
        <f>G38</f>
        <v>0</v>
      </c>
      <c r="D105" s="5" t="s">
        <v>167</v>
      </c>
      <c r="E105" s="26" t="s">
        <v>460</v>
      </c>
      <c r="F105" s="185">
        <f>(D$83*C104+E$83*C105+F$83*C106)+J$83</f>
        <v>3.180043733313397E-06</v>
      </c>
      <c r="G105" s="5" t="s">
        <v>167</v>
      </c>
      <c r="H105" s="22" t="s">
        <v>1522</v>
      </c>
      <c r="I105" s="5"/>
      <c r="J105" s="26" t="s">
        <v>448</v>
      </c>
      <c r="K105" s="185">
        <f>F105/H106</f>
        <v>1.2720174925462482E-05</v>
      </c>
      <c r="L105" s="514">
        <f>K105-Photo_Setup!K206</f>
        <v>-0.0746791418777819</v>
      </c>
      <c r="M105" s="504" t="s">
        <v>982</v>
      </c>
      <c r="N105" s="506"/>
      <c r="O105" s="520" t="str">
        <f>IF($E$66=1,IF($K$39=1,IF(SUM(L104:L106)&lt;&gt;0,"Sum of Comparison Not Equal to Zero","None"),"None"),"None")</f>
        <v>None</v>
      </c>
      <c r="P105" s="116"/>
      <c r="Q105" s="116"/>
      <c r="R105" s="87"/>
    </row>
    <row r="106" spans="1:14" ht="12.75">
      <c r="A106" s="4"/>
      <c r="B106" s="26" t="s">
        <v>1819</v>
      </c>
      <c r="C106" s="482">
        <f>0</f>
        <v>0</v>
      </c>
      <c r="D106" s="5" t="s">
        <v>167</v>
      </c>
      <c r="E106" s="26" t="s">
        <v>461</v>
      </c>
      <c r="F106" s="185">
        <f>(D$84*C104+E$84*C105+F$84*C106)+J$84</f>
        <v>0.23865364418621254</v>
      </c>
      <c r="G106" s="5" t="s">
        <v>167</v>
      </c>
      <c r="H106" s="185">
        <f>SQRT(F104^2+F105^2+F106^2)</f>
        <v>0.25000000015312496</v>
      </c>
      <c r="I106" s="5" t="s">
        <v>167</v>
      </c>
      <c r="J106" s="26" t="s">
        <v>449</v>
      </c>
      <c r="K106" s="185">
        <f>F106/H106</f>
        <v>0.9546145761601489</v>
      </c>
      <c r="L106" s="514">
        <f>K106-Photo_Setup!K207</f>
        <v>-0.03664516000399243</v>
      </c>
      <c r="M106" s="504" t="s">
        <v>980</v>
      </c>
      <c r="N106" s="506"/>
    </row>
    <row r="107" spans="1:12" ht="12.75">
      <c r="A107" s="4"/>
      <c r="B107" s="5"/>
      <c r="C107" s="5"/>
      <c r="D107" s="5"/>
      <c r="E107" s="5"/>
      <c r="F107" s="5"/>
      <c r="G107" s="5"/>
      <c r="H107" s="5"/>
      <c r="I107" s="5"/>
      <c r="J107" s="5"/>
      <c r="K107" s="5"/>
      <c r="L107" s="6"/>
    </row>
    <row r="108" spans="1:12" ht="12.75">
      <c r="A108" s="4"/>
      <c r="B108" s="5"/>
      <c r="C108" s="5"/>
      <c r="D108" s="5"/>
      <c r="E108" s="5"/>
      <c r="F108" s="5"/>
      <c r="G108" s="5"/>
      <c r="H108" s="5"/>
      <c r="I108" s="5"/>
      <c r="J108" s="5"/>
      <c r="K108" s="5"/>
      <c r="L108" s="6"/>
    </row>
    <row r="109" spans="1:12" ht="12.75">
      <c r="A109" s="4"/>
      <c r="B109" s="22" t="s">
        <v>400</v>
      </c>
      <c r="C109" s="5"/>
      <c r="D109" s="5"/>
      <c r="E109" s="5"/>
      <c r="F109" s="5"/>
      <c r="G109" s="5"/>
      <c r="H109" s="5"/>
      <c r="I109" s="5"/>
      <c r="J109" s="5"/>
      <c r="K109" s="5"/>
      <c r="L109" s="6"/>
    </row>
    <row r="110" spans="1:12" ht="12.75">
      <c r="A110" s="4"/>
      <c r="B110" s="5"/>
      <c r="C110" s="5"/>
      <c r="D110" s="5"/>
      <c r="E110" s="5"/>
      <c r="F110" s="5"/>
      <c r="G110" s="5"/>
      <c r="H110" s="5"/>
      <c r="I110" s="5"/>
      <c r="J110" s="5"/>
      <c r="K110" s="5"/>
      <c r="L110" s="6"/>
    </row>
    <row r="111" spans="1:12" ht="13.5" thickBot="1">
      <c r="A111" s="4"/>
      <c r="B111" s="5"/>
      <c r="C111" s="5" t="s">
        <v>1431</v>
      </c>
      <c r="D111" s="5"/>
      <c r="E111" s="5"/>
      <c r="F111" s="22" t="s">
        <v>1615</v>
      </c>
      <c r="G111" s="5"/>
      <c r="H111" s="5"/>
      <c r="I111" s="5"/>
      <c r="J111" s="22" t="s">
        <v>734</v>
      </c>
      <c r="K111" s="5"/>
      <c r="L111" s="6"/>
    </row>
    <row r="112" spans="1:18" ht="13.5" thickBot="1">
      <c r="A112" s="4"/>
      <c r="B112" s="26" t="s">
        <v>1820</v>
      </c>
      <c r="C112" s="167">
        <f>F41</f>
        <v>0</v>
      </c>
      <c r="D112" s="5" t="s">
        <v>167</v>
      </c>
      <c r="E112" s="26" t="s">
        <v>455</v>
      </c>
      <c r="F112" s="185">
        <f>(D$82*C112+E$82*C113+F$82*C114)+J$82</f>
        <v>-0.07446529657615401</v>
      </c>
      <c r="G112" s="5" t="s">
        <v>167</v>
      </c>
      <c r="H112" s="5"/>
      <c r="I112" s="5"/>
      <c r="J112" s="26" t="s">
        <v>452</v>
      </c>
      <c r="K112" s="185">
        <f>F112/H114</f>
        <v>-0.29786118606632717</v>
      </c>
      <c r="L112" s="514">
        <f>K112-Photo_Setup!K221</f>
        <v>-0.08917660755815626</v>
      </c>
      <c r="M112" s="504" t="s">
        <v>978</v>
      </c>
      <c r="N112" s="506"/>
      <c r="O112" s="517" t="s">
        <v>988</v>
      </c>
      <c r="P112" s="518"/>
      <c r="Q112" s="518"/>
      <c r="R112" s="519"/>
    </row>
    <row r="113" spans="1:18" ht="13.5" thickBot="1">
      <c r="A113" s="4"/>
      <c r="B113" s="26" t="s">
        <v>1821</v>
      </c>
      <c r="C113" s="167">
        <f>F42</f>
        <v>-9.999999999999999E-06</v>
      </c>
      <c r="D113" s="5" t="s">
        <v>167</v>
      </c>
      <c r="E113" s="26" t="s">
        <v>454</v>
      </c>
      <c r="F113" s="185">
        <f>(D$83*C112+E$83*C113+F$83*C114)+J$83</f>
        <v>-9.316201159996382E-06</v>
      </c>
      <c r="G113" s="5" t="s">
        <v>167</v>
      </c>
      <c r="H113" s="22" t="s">
        <v>1522</v>
      </c>
      <c r="I113" s="5"/>
      <c r="J113" s="26" t="s">
        <v>450</v>
      </c>
      <c r="K113" s="185">
        <f>F113/H114</f>
        <v>-3.726480461017369E-05</v>
      </c>
      <c r="L113" s="514">
        <f>K113-Photo_Setup!K222</f>
        <v>0.21737767225381216</v>
      </c>
      <c r="M113" s="504" t="s">
        <v>983</v>
      </c>
      <c r="N113" s="506"/>
      <c r="O113" s="520" t="str">
        <f>IF($E$66=1,IF($K$39=1,IF(SUM(L112:L114)&lt;&gt;0,"Sum of Comparison Not Equal to Zero","None"),"None"),"None")</f>
        <v>None</v>
      </c>
      <c r="P113" s="116"/>
      <c r="Q113" s="116"/>
      <c r="R113" s="87"/>
    </row>
    <row r="114" spans="1:14" ht="12.75">
      <c r="A114" s="4"/>
      <c r="B114" s="26" t="s">
        <v>1822</v>
      </c>
      <c r="C114" s="482">
        <f>0</f>
        <v>0</v>
      </c>
      <c r="D114" s="5" t="s">
        <v>167</v>
      </c>
      <c r="E114" s="26" t="s">
        <v>453</v>
      </c>
      <c r="F114" s="185">
        <f>(D$84*C112+E$84*C113+F$84*C114)+J$84</f>
        <v>0.23865229858317688</v>
      </c>
      <c r="G114" s="5" t="s">
        <v>167</v>
      </c>
      <c r="H114" s="185">
        <f>SQRT(F112^2+F113^2+F114^2)</f>
        <v>0.25000000019999996</v>
      </c>
      <c r="I114" s="5" t="s">
        <v>167</v>
      </c>
      <c r="J114" s="26" t="s">
        <v>451</v>
      </c>
      <c r="K114" s="185">
        <f>F114/H114</f>
        <v>0.9546091935690203</v>
      </c>
      <c r="L114" s="514">
        <f>K114-Photo_Setup!K223</f>
        <v>0.0010991035139914507</v>
      </c>
      <c r="M114" s="504" t="s">
        <v>980</v>
      </c>
      <c r="N114" s="506"/>
    </row>
    <row r="115" spans="1:12" ht="12.75">
      <c r="A115" s="4"/>
      <c r="B115" s="5"/>
      <c r="C115" s="5"/>
      <c r="D115" s="5"/>
      <c r="E115" s="5"/>
      <c r="F115" s="5"/>
      <c r="G115" s="5"/>
      <c r="H115" s="5"/>
      <c r="I115" s="5"/>
      <c r="J115" s="5"/>
      <c r="K115" s="5"/>
      <c r="L115" s="6"/>
    </row>
    <row r="116" spans="1:12" ht="13.5" thickBot="1">
      <c r="A116" s="7"/>
      <c r="B116" s="8"/>
      <c r="C116" s="8"/>
      <c r="D116" s="8"/>
      <c r="E116" s="8"/>
      <c r="F116" s="8"/>
      <c r="G116" s="8"/>
      <c r="H116" s="8"/>
      <c r="I116" s="8"/>
      <c r="J116" s="8"/>
      <c r="K116" s="8"/>
      <c r="L116" s="9"/>
    </row>
    <row r="118" ht="18">
      <c r="A118" s="12" t="s">
        <v>159</v>
      </c>
    </row>
    <row r="120" ht="15.75">
      <c r="A120" s="11" t="s">
        <v>336</v>
      </c>
    </row>
    <row r="121" ht="15" customHeight="1" thickBot="1">
      <c r="B121" s="11"/>
    </row>
    <row r="122" spans="1:12" ht="15" customHeight="1">
      <c r="A122" s="1"/>
      <c r="B122" s="2"/>
      <c r="C122" s="2"/>
      <c r="D122" s="2"/>
      <c r="E122" s="2"/>
      <c r="F122" s="2"/>
      <c r="G122" s="2"/>
      <c r="H122" s="2"/>
      <c r="I122" s="2"/>
      <c r="J122" s="2"/>
      <c r="K122" s="2"/>
      <c r="L122" s="3"/>
    </row>
    <row r="123" spans="1:12" ht="15" customHeight="1">
      <c r="A123" s="10" t="s">
        <v>1658</v>
      </c>
      <c r="B123" s="5"/>
      <c r="C123" s="5"/>
      <c r="D123" s="5"/>
      <c r="E123" s="5"/>
      <c r="F123" s="5"/>
      <c r="G123" s="5"/>
      <c r="H123" s="5"/>
      <c r="I123" s="5"/>
      <c r="J123" s="5"/>
      <c r="K123" s="5"/>
      <c r="L123" s="6"/>
    </row>
    <row r="124" spans="1:12" ht="15" customHeight="1">
      <c r="A124" s="10"/>
      <c r="B124" s="5"/>
      <c r="C124" s="5"/>
      <c r="D124" s="5"/>
      <c r="E124" s="5"/>
      <c r="F124" s="5"/>
      <c r="G124" s="5"/>
      <c r="H124" s="5"/>
      <c r="I124" s="5"/>
      <c r="J124" s="5"/>
      <c r="K124" s="5"/>
      <c r="L124" s="6"/>
    </row>
    <row r="125" spans="1:12" ht="15" customHeight="1">
      <c r="A125" s="10"/>
      <c r="B125" s="5"/>
      <c r="C125" s="5"/>
      <c r="D125" s="5" t="s">
        <v>1838</v>
      </c>
      <c r="E125" s="5"/>
      <c r="F125" s="5"/>
      <c r="G125" s="5"/>
      <c r="H125" s="485">
        <f>Intersection_Calc!I89</f>
        <v>6370332.740665482</v>
      </c>
      <c r="I125" s="5" t="s">
        <v>167</v>
      </c>
      <c r="J125" s="5"/>
      <c r="K125" s="5"/>
      <c r="L125" s="6"/>
    </row>
    <row r="126" spans="1:12" ht="15" customHeight="1">
      <c r="A126" s="10"/>
      <c r="B126" s="5"/>
      <c r="C126" s="5"/>
      <c r="D126" s="5"/>
      <c r="E126" s="5"/>
      <c r="F126" s="5"/>
      <c r="G126" s="5"/>
      <c r="H126" s="5"/>
      <c r="I126" s="5"/>
      <c r="J126" s="5"/>
      <c r="K126" s="5"/>
      <c r="L126" s="6"/>
    </row>
    <row r="127" spans="1:12" ht="15" customHeight="1">
      <c r="A127" s="14"/>
      <c r="B127" s="5"/>
      <c r="C127" s="5" t="s">
        <v>1661</v>
      </c>
      <c r="D127" s="5"/>
      <c r="E127" s="5"/>
      <c r="F127" s="5"/>
      <c r="G127" s="5" t="s">
        <v>1662</v>
      </c>
      <c r="H127" s="95">
        <f>Intersection_Calc!H204</f>
        <v>6666652.740665482</v>
      </c>
      <c r="I127" s="5" t="s">
        <v>167</v>
      </c>
      <c r="K127" s="5"/>
      <c r="L127" s="6"/>
    </row>
    <row r="128" spans="1:12" ht="15" customHeight="1">
      <c r="A128" s="14"/>
      <c r="B128" s="5"/>
      <c r="C128" s="5"/>
      <c r="D128" s="5"/>
      <c r="E128" s="5"/>
      <c r="F128" s="5"/>
      <c r="G128" s="5"/>
      <c r="H128" s="5"/>
      <c r="I128" s="5"/>
      <c r="J128" s="5"/>
      <c r="K128" s="5"/>
      <c r="L128" s="6"/>
    </row>
    <row r="129" spans="1:12" ht="15" customHeight="1">
      <c r="A129" s="14"/>
      <c r="B129" s="5"/>
      <c r="D129" s="5" t="s">
        <v>1752</v>
      </c>
      <c r="E129" s="5"/>
      <c r="F129" s="5"/>
      <c r="G129" s="5"/>
      <c r="H129" s="5"/>
      <c r="I129" s="5"/>
      <c r="J129" s="5"/>
      <c r="K129" s="5"/>
      <c r="L129" s="6"/>
    </row>
    <row r="130" spans="1:12" ht="15" customHeight="1">
      <c r="A130" s="14"/>
      <c r="B130" s="5"/>
      <c r="D130" s="5"/>
      <c r="E130" s="5"/>
      <c r="F130" s="5" t="s">
        <v>1753</v>
      </c>
      <c r="G130" s="5" t="s">
        <v>1754</v>
      </c>
      <c r="H130" s="5"/>
      <c r="I130" s="336">
        <f>Intersection_Calc!I207</f>
        <v>-6.984933900445755E-17</v>
      </c>
      <c r="J130" s="5"/>
      <c r="K130" s="5"/>
      <c r="L130" s="6"/>
    </row>
    <row r="131" spans="1:12" ht="15" customHeight="1">
      <c r="A131" s="14"/>
      <c r="B131" s="5"/>
      <c r="D131" s="5"/>
      <c r="E131" s="5"/>
      <c r="F131" s="5" t="s">
        <v>1081</v>
      </c>
      <c r="G131" s="5" t="s">
        <v>1082</v>
      </c>
      <c r="H131" s="5"/>
      <c r="I131" s="336">
        <f>Intersection_Calc!I208</f>
        <v>1.7462334751114387E-17</v>
      </c>
      <c r="J131" s="5"/>
      <c r="K131" s="5"/>
      <c r="L131" s="6"/>
    </row>
    <row r="132" spans="1:12" ht="15" customHeight="1">
      <c r="A132" s="14"/>
      <c r="B132" s="5"/>
      <c r="D132" s="5"/>
      <c r="E132" s="5"/>
      <c r="F132" s="5" t="s">
        <v>1083</v>
      </c>
      <c r="G132" s="5" t="s">
        <v>1082</v>
      </c>
      <c r="H132" s="5"/>
      <c r="I132" s="336">
        <f>Intersection_Calc!I209</f>
        <v>-1</v>
      </c>
      <c r="J132" s="5"/>
      <c r="K132" s="5"/>
      <c r="L132" s="6"/>
    </row>
    <row r="133" spans="1:12" ht="15" customHeight="1">
      <c r="A133" s="14"/>
      <c r="B133" s="5"/>
      <c r="D133" s="5"/>
      <c r="E133" s="5"/>
      <c r="F133" s="5"/>
      <c r="G133" s="5"/>
      <c r="H133" s="5"/>
      <c r="I133" s="123"/>
      <c r="J133" s="5"/>
      <c r="K133" s="5"/>
      <c r="L133" s="6"/>
    </row>
    <row r="134" spans="1:12" ht="15" customHeight="1">
      <c r="A134" s="14"/>
      <c r="B134" s="5"/>
      <c r="D134" s="5"/>
      <c r="E134" s="5"/>
      <c r="F134" s="5" t="s">
        <v>1084</v>
      </c>
      <c r="G134" s="5"/>
      <c r="H134" s="5"/>
      <c r="I134" s="72">
        <f>SQRT(I130^2+I131^2+I132^2)</f>
        <v>1</v>
      </c>
      <c r="J134" s="5"/>
      <c r="K134" s="5"/>
      <c r="L134" s="6"/>
    </row>
    <row r="135" spans="1:12" ht="15" customHeight="1">
      <c r="A135" s="14"/>
      <c r="B135" s="5"/>
      <c r="C135" s="5"/>
      <c r="D135" s="5"/>
      <c r="E135" s="5"/>
      <c r="F135" s="5"/>
      <c r="G135" s="5"/>
      <c r="H135" s="5"/>
      <c r="I135" s="5"/>
      <c r="J135" s="5"/>
      <c r="K135" s="5"/>
      <c r="L135" s="6"/>
    </row>
    <row r="136" spans="1:12" ht="15" customHeight="1" thickBot="1">
      <c r="A136" s="483"/>
      <c r="B136" s="8"/>
      <c r="C136" s="8"/>
      <c r="D136" s="8"/>
      <c r="E136" s="8"/>
      <c r="F136" s="8"/>
      <c r="G136" s="8"/>
      <c r="H136" s="8"/>
      <c r="I136" s="8"/>
      <c r="J136" s="8"/>
      <c r="K136" s="8"/>
      <c r="L136" s="9"/>
    </row>
    <row r="137" ht="15" customHeight="1">
      <c r="A137" s="11"/>
    </row>
    <row r="138" ht="13.5" thickBot="1"/>
    <row r="139" spans="1:12" ht="12.75">
      <c r="A139" s="1"/>
      <c r="B139" s="2"/>
      <c r="C139" s="2"/>
      <c r="D139" s="2"/>
      <c r="E139" s="2"/>
      <c r="F139" s="2"/>
      <c r="G139" s="2"/>
      <c r="H139" s="2"/>
      <c r="I139" s="2"/>
      <c r="J139" s="2"/>
      <c r="K139" s="2"/>
      <c r="L139" s="3"/>
    </row>
    <row r="140" spans="1:12" ht="15.75">
      <c r="A140" s="14" t="s">
        <v>335</v>
      </c>
      <c r="B140" s="46"/>
      <c r="C140" s="5"/>
      <c r="D140" s="5"/>
      <c r="E140" s="5"/>
      <c r="F140" s="5"/>
      <c r="G140" s="5"/>
      <c r="H140" s="5"/>
      <c r="I140" s="5"/>
      <c r="J140" s="5"/>
      <c r="K140" s="5"/>
      <c r="L140" s="6"/>
    </row>
    <row r="141" spans="1:12" ht="12.75">
      <c r="A141" s="4"/>
      <c r="B141" s="5"/>
      <c r="C141" s="5"/>
      <c r="D141" s="5"/>
      <c r="E141" s="5"/>
      <c r="F141" s="5"/>
      <c r="G141" s="5"/>
      <c r="H141" s="5"/>
      <c r="I141" s="5"/>
      <c r="J141" s="5"/>
      <c r="K141" s="5"/>
      <c r="L141" s="6"/>
    </row>
    <row r="142" spans="1:12" ht="12.75">
      <c r="A142" s="4" t="s">
        <v>1194</v>
      </c>
      <c r="B142" s="5" t="s">
        <v>317</v>
      </c>
      <c r="C142" s="5"/>
      <c r="D142" s="5"/>
      <c r="E142" s="5"/>
      <c r="F142" s="5"/>
      <c r="G142" s="5"/>
      <c r="H142" s="5"/>
      <c r="I142" s="5"/>
      <c r="J142" s="5"/>
      <c r="K142" s="5"/>
      <c r="L142" s="6"/>
    </row>
    <row r="143" spans="1:12" ht="12.75">
      <c r="A143" s="4"/>
      <c r="B143" s="5"/>
      <c r="C143" s="5"/>
      <c r="D143" s="5"/>
      <c r="E143" s="5"/>
      <c r="F143" s="5"/>
      <c r="G143" s="5"/>
      <c r="H143" s="5"/>
      <c r="I143" s="5"/>
      <c r="J143" s="5"/>
      <c r="K143" s="5"/>
      <c r="L143" s="6"/>
    </row>
    <row r="144" spans="1:12" ht="12.75">
      <c r="A144" s="4"/>
      <c r="B144" s="22" t="s">
        <v>231</v>
      </c>
      <c r="C144" s="5" t="str">
        <f aca="true" t="shared" si="0" ref="C144:D146">J88</f>
        <v>i_SX_pt = </v>
      </c>
      <c r="D144" s="266">
        <f t="shared" si="0"/>
        <v>-0.29788894090256124</v>
      </c>
      <c r="E144" s="190" t="s">
        <v>232</v>
      </c>
      <c r="F144" s="148"/>
      <c r="G144" s="26" t="s">
        <v>350</v>
      </c>
      <c r="H144" s="5" t="s">
        <v>234</v>
      </c>
      <c r="I144" s="5" t="str">
        <f>C144</f>
        <v>i_SX_pt = </v>
      </c>
      <c r="J144" s="187">
        <f>-D144</f>
        <v>0.29788894090256124</v>
      </c>
      <c r="K144" s="5"/>
      <c r="L144" s="6"/>
    </row>
    <row r="145" spans="1:12" ht="12.75">
      <c r="A145" s="4"/>
      <c r="B145" s="5"/>
      <c r="C145" s="5" t="str">
        <f t="shared" si="0"/>
        <v>j_SY_pt = </v>
      </c>
      <c r="D145" s="266">
        <f t="shared" si="0"/>
        <v>3.726480461092206E-05</v>
      </c>
      <c r="E145" s="5"/>
      <c r="F145" s="5"/>
      <c r="G145" s="26" t="s">
        <v>351</v>
      </c>
      <c r="H145" s="5" t="s">
        <v>234</v>
      </c>
      <c r="I145" s="5" t="str">
        <f>C145</f>
        <v>j_SY_pt = </v>
      </c>
      <c r="J145" s="187">
        <f>-D145</f>
        <v>-3.726480461092206E-05</v>
      </c>
      <c r="K145" s="5"/>
      <c r="L145" s="6"/>
    </row>
    <row r="146" spans="1:12" ht="12.75">
      <c r="A146" s="4"/>
      <c r="B146" s="5"/>
      <c r="C146" s="5" t="str">
        <f t="shared" si="0"/>
        <v>k_SZ_pt = </v>
      </c>
      <c r="D146" s="266">
        <f t="shared" si="0"/>
        <v>0.9546005329452132</v>
      </c>
      <c r="E146" s="5"/>
      <c r="F146" s="5"/>
      <c r="G146" s="26" t="s">
        <v>352</v>
      </c>
      <c r="H146" s="5" t="s">
        <v>234</v>
      </c>
      <c r="I146" s="5" t="str">
        <f>C146</f>
        <v>k_SZ_pt = </v>
      </c>
      <c r="J146" s="187">
        <f>-D146</f>
        <v>-0.9546005329452132</v>
      </c>
      <c r="K146" s="5"/>
      <c r="L146" s="6"/>
    </row>
    <row r="147" spans="1:12" ht="12.75">
      <c r="A147" s="4"/>
      <c r="B147" s="5"/>
      <c r="C147" s="5"/>
      <c r="D147" s="5"/>
      <c r="E147" s="5"/>
      <c r="F147" s="5"/>
      <c r="G147" s="5"/>
      <c r="H147" s="5"/>
      <c r="I147" s="5"/>
      <c r="J147" s="5"/>
      <c r="K147" s="5"/>
      <c r="L147" s="6"/>
    </row>
    <row r="148" spans="1:12" ht="12.75">
      <c r="A148" s="4" t="s">
        <v>237</v>
      </c>
      <c r="B148" s="5" t="s">
        <v>238</v>
      </c>
      <c r="C148" s="5"/>
      <c r="D148" s="5"/>
      <c r="E148" s="5"/>
      <c r="F148" s="5"/>
      <c r="G148" s="5"/>
      <c r="H148" s="5"/>
      <c r="I148" s="5"/>
      <c r="J148" s="5"/>
      <c r="K148" s="5"/>
      <c r="L148" s="6"/>
    </row>
    <row r="149" spans="1:12" ht="12.75">
      <c r="A149" s="4"/>
      <c r="B149" s="5"/>
      <c r="C149" s="5"/>
      <c r="D149" s="5"/>
      <c r="E149" s="5"/>
      <c r="F149" s="5"/>
      <c r="G149" s="5"/>
      <c r="H149" s="5"/>
      <c r="I149" s="5"/>
      <c r="J149" s="5"/>
      <c r="K149" s="5"/>
      <c r="L149" s="6"/>
    </row>
    <row r="150" spans="1:12" ht="12.75">
      <c r="A150" s="4"/>
      <c r="B150" s="147" t="s">
        <v>239</v>
      </c>
      <c r="C150" s="46" t="s">
        <v>389</v>
      </c>
      <c r="D150" s="46"/>
      <c r="E150" s="46"/>
      <c r="F150" s="26"/>
      <c r="G150" s="52"/>
      <c r="H150" s="5"/>
      <c r="I150" s="22" t="s">
        <v>390</v>
      </c>
      <c r="J150" s="5"/>
      <c r="K150" s="5"/>
      <c r="L150" s="6"/>
    </row>
    <row r="151" spans="1:12" ht="12.75">
      <c r="A151" s="4"/>
      <c r="B151" s="5"/>
      <c r="C151" s="46"/>
      <c r="D151" s="46"/>
      <c r="E151" s="46"/>
      <c r="F151" s="26"/>
      <c r="G151" s="52"/>
      <c r="H151" s="5"/>
      <c r="I151" s="5" t="s">
        <v>391</v>
      </c>
      <c r="J151" s="5"/>
      <c r="K151" s="5"/>
      <c r="L151" s="6"/>
    </row>
    <row r="152" spans="1:12" ht="12.75">
      <c r="A152" s="4"/>
      <c r="B152" s="5"/>
      <c r="C152" s="70"/>
      <c r="D152" s="46"/>
      <c r="E152" s="70" t="s">
        <v>127</v>
      </c>
      <c r="F152" s="484">
        <f>$I$130*J144+$I$131*J145+$I$132*J146</f>
        <v>0.9546005329452132</v>
      </c>
      <c r="G152" s="52"/>
      <c r="H152" s="5"/>
      <c r="I152" s="5" t="s">
        <v>480</v>
      </c>
      <c r="J152" s="5"/>
      <c r="K152" s="5"/>
      <c r="L152" s="6"/>
    </row>
    <row r="153" spans="1:12" ht="12.75">
      <c r="A153" s="4"/>
      <c r="B153" s="5"/>
      <c r="C153" s="46"/>
      <c r="D153" s="46"/>
      <c r="E153" s="70" t="s">
        <v>128</v>
      </c>
      <c r="F153" s="72">
        <f>$I$134</f>
        <v>1</v>
      </c>
      <c r="G153" s="52"/>
      <c r="H153" s="5"/>
      <c r="I153" s="5"/>
      <c r="J153" s="5"/>
      <c r="K153" s="5"/>
      <c r="L153" s="6"/>
    </row>
    <row r="154" spans="1:12" ht="12.75">
      <c r="A154" s="4"/>
      <c r="B154" s="5"/>
      <c r="C154" s="46"/>
      <c r="D154" s="46"/>
      <c r="E154" s="70" t="s">
        <v>129</v>
      </c>
      <c r="F154" s="72">
        <f>SQRT(J144^2+J145^2+J146^2)</f>
        <v>1.0000000000000002</v>
      </c>
      <c r="G154" s="52"/>
      <c r="H154" s="5"/>
      <c r="I154" s="5"/>
      <c r="J154" s="5"/>
      <c r="K154" s="5"/>
      <c r="L154" s="6"/>
    </row>
    <row r="155" spans="1:12" ht="12.75">
      <c r="A155" s="4"/>
      <c r="B155" s="5"/>
      <c r="C155" s="85" t="s">
        <v>866</v>
      </c>
      <c r="D155" s="5"/>
      <c r="E155" s="70"/>
      <c r="F155" s="72">
        <f>F152/(F153*F154)</f>
        <v>0.954600532945213</v>
      </c>
      <c r="G155" s="5"/>
      <c r="H155" s="5"/>
      <c r="I155" s="5"/>
      <c r="J155" s="5"/>
      <c r="K155" s="5"/>
      <c r="L155" s="6"/>
    </row>
    <row r="156" spans="1:12" ht="13.5" thickBot="1">
      <c r="A156" s="4"/>
      <c r="B156" s="5"/>
      <c r="C156" s="46"/>
      <c r="D156" s="46"/>
      <c r="E156" s="46"/>
      <c r="F156" s="26"/>
      <c r="G156" s="52"/>
      <c r="H156" s="5"/>
      <c r="I156" s="88" t="s">
        <v>1779</v>
      </c>
      <c r="J156" s="115"/>
      <c r="K156" s="115"/>
      <c r="L156" s="192"/>
    </row>
    <row r="157" spans="1:12" ht="16.5" thickBot="1">
      <c r="A157" s="4"/>
      <c r="B157" s="5"/>
      <c r="C157" s="16" t="s">
        <v>239</v>
      </c>
      <c r="D157" s="72">
        <f>IF((F153*F154)=0,0,ACOS(F155))</f>
        <v>0.302480432946441</v>
      </c>
      <c r="E157" s="52" t="s">
        <v>1483</v>
      </c>
      <c r="F157" s="73">
        <f>DEGREES(D157)</f>
        <v>17.330852193120965</v>
      </c>
      <c r="G157" s="46" t="s">
        <v>1233</v>
      </c>
      <c r="H157" s="5"/>
      <c r="I157" s="86" t="str">
        <f>IF((F153*F154)&lt;&gt;1,"Vector A or B Not a Unit Vector","None")</f>
        <v>None</v>
      </c>
      <c r="J157" s="116"/>
      <c r="K157" s="116"/>
      <c r="L157" s="87"/>
    </row>
    <row r="158" spans="1:12" ht="12.75">
      <c r="A158" s="4"/>
      <c r="B158" s="5"/>
      <c r="C158" s="5"/>
      <c r="D158" s="5"/>
      <c r="E158" s="5"/>
      <c r="F158" s="5"/>
      <c r="G158" s="5"/>
      <c r="H158" s="5"/>
      <c r="I158" s="5"/>
      <c r="J158" s="5"/>
      <c r="K158" s="5"/>
      <c r="L158" s="6"/>
    </row>
    <row r="159" spans="1:12" ht="12.75">
      <c r="A159" s="4"/>
      <c r="B159" s="5"/>
      <c r="C159" s="5"/>
      <c r="D159" s="5"/>
      <c r="E159" s="5"/>
      <c r="F159" s="5"/>
      <c r="G159" s="5"/>
      <c r="H159" s="5"/>
      <c r="I159" s="5"/>
      <c r="J159" s="5"/>
      <c r="K159" s="5"/>
      <c r="L159" s="6"/>
    </row>
    <row r="160" spans="1:12" ht="12.75">
      <c r="A160" s="4" t="s">
        <v>534</v>
      </c>
      <c r="B160" s="5" t="s">
        <v>1197</v>
      </c>
      <c r="C160" s="5"/>
      <c r="D160" s="5"/>
      <c r="E160" s="5"/>
      <c r="F160" s="5"/>
      <c r="G160" s="5"/>
      <c r="H160" s="5"/>
      <c r="I160" s="5"/>
      <c r="J160" s="5"/>
      <c r="K160" s="5"/>
      <c r="L160" s="6"/>
    </row>
    <row r="161" spans="1:12" ht="12.75">
      <c r="A161" s="4"/>
      <c r="B161" s="5"/>
      <c r="C161" s="5"/>
      <c r="D161" s="5"/>
      <c r="E161" s="5"/>
      <c r="F161" s="5"/>
      <c r="G161" s="5"/>
      <c r="H161" s="5"/>
      <c r="I161" s="5"/>
      <c r="J161" s="5"/>
      <c r="K161" s="5"/>
      <c r="L161" s="6"/>
    </row>
    <row r="162" spans="1:12" ht="12.75">
      <c r="A162" s="4"/>
      <c r="B162" s="147" t="s">
        <v>1198</v>
      </c>
      <c r="C162" s="5" t="s">
        <v>1507</v>
      </c>
      <c r="D162" s="5"/>
      <c r="E162" s="5"/>
      <c r="F162" s="5"/>
      <c r="G162" s="5"/>
      <c r="H162" s="5"/>
      <c r="I162" s="5"/>
      <c r="J162" s="5"/>
      <c r="K162" s="5"/>
      <c r="L162" s="6"/>
    </row>
    <row r="163" spans="1:12" ht="12.75">
      <c r="A163" s="4"/>
      <c r="B163" s="147"/>
      <c r="C163" s="5"/>
      <c r="D163" s="5"/>
      <c r="E163" s="5"/>
      <c r="F163" s="5"/>
      <c r="G163" s="5"/>
      <c r="H163" s="5"/>
      <c r="I163" s="5"/>
      <c r="J163" s="5"/>
      <c r="K163" s="5"/>
      <c r="L163" s="6"/>
    </row>
    <row r="164" spans="1:12" ht="12.75">
      <c r="A164" s="4"/>
      <c r="B164" s="147"/>
      <c r="C164" s="52" t="s">
        <v>1508</v>
      </c>
      <c r="E164" s="5"/>
      <c r="G164" s="68">
        <f>SIN(D157)*$H$127/$H$125</f>
        <v>0.3117454331927832</v>
      </c>
      <c r="H164" s="5"/>
      <c r="I164" s="5"/>
      <c r="J164" s="5"/>
      <c r="K164" s="5"/>
      <c r="L164" s="6"/>
    </row>
    <row r="165" spans="1:12" ht="12.75">
      <c r="A165" s="4"/>
      <c r="B165" s="147"/>
      <c r="C165" s="5"/>
      <c r="D165" s="5"/>
      <c r="E165" s="5"/>
      <c r="F165" s="5"/>
      <c r="G165" s="5"/>
      <c r="H165" s="5"/>
      <c r="I165" s="5"/>
      <c r="J165" s="5"/>
      <c r="K165" s="5"/>
      <c r="L165" s="6"/>
    </row>
    <row r="166" spans="1:12" ht="12.75">
      <c r="A166" s="4"/>
      <c r="B166" s="147"/>
      <c r="C166" s="126" t="s">
        <v>1509</v>
      </c>
      <c r="E166" s="5"/>
      <c r="F166" s="5"/>
      <c r="G166" s="5"/>
      <c r="H166" s="5"/>
      <c r="I166" s="5"/>
      <c r="J166" s="5"/>
      <c r="K166" s="5"/>
      <c r="L166" s="6"/>
    </row>
    <row r="167" spans="1:12" ht="12.75">
      <c r="A167" s="4"/>
      <c r="B167" s="147"/>
      <c r="C167" s="280" t="s">
        <v>249</v>
      </c>
      <c r="I167" s="5"/>
      <c r="J167" s="5"/>
      <c r="K167" s="5"/>
      <c r="L167" s="6"/>
    </row>
    <row r="168" spans="1:12" ht="13.5" thickBot="1">
      <c r="A168" s="4"/>
      <c r="B168" s="5"/>
      <c r="C168" s="5"/>
      <c r="D168" s="5"/>
      <c r="E168" s="5"/>
      <c r="G168" s="5"/>
      <c r="H168" s="5"/>
      <c r="I168" s="241" t="s">
        <v>250</v>
      </c>
      <c r="J168" s="242"/>
      <c r="K168" s="242"/>
      <c r="L168" s="243"/>
    </row>
    <row r="169" spans="1:12" ht="13.5" thickBot="1">
      <c r="A169" s="4"/>
      <c r="B169" s="5"/>
      <c r="C169" s="147" t="s">
        <v>1198</v>
      </c>
      <c r="D169" s="68">
        <f>IF(G164&lt;=1,ASIN(G164),"")</f>
        <v>0.3170294579920989</v>
      </c>
      <c r="E169" s="52" t="s">
        <v>1483</v>
      </c>
      <c r="F169" s="68">
        <f>IF(D169="","",DEGREES(D169))</f>
        <v>18.164449924267295</v>
      </c>
      <c r="G169" s="5" t="s">
        <v>1233</v>
      </c>
      <c r="H169" s="5"/>
      <c r="I169" s="244" t="str">
        <f>IF(G164&lt;=1,"None","Asin(Zeta)&gt;1 - Vector Does not Intersect Earth")</f>
        <v>None</v>
      </c>
      <c r="J169" s="245"/>
      <c r="K169" s="245"/>
      <c r="L169" s="246"/>
    </row>
    <row r="170" spans="1:12" ht="12.75">
      <c r="A170" s="4"/>
      <c r="B170" s="5"/>
      <c r="C170" s="5"/>
      <c r="D170" s="5"/>
      <c r="E170" s="5"/>
      <c r="F170" s="5"/>
      <c r="G170" s="5"/>
      <c r="H170" s="5"/>
      <c r="I170" s="5"/>
      <c r="J170" s="5"/>
      <c r="K170" s="5"/>
      <c r="L170" s="6"/>
    </row>
    <row r="171" spans="1:12" ht="12.75">
      <c r="A171" s="4"/>
      <c r="B171" s="5"/>
      <c r="C171" s="5" t="s">
        <v>1611</v>
      </c>
      <c r="D171" s="5"/>
      <c r="E171" s="5"/>
      <c r="F171" s="5"/>
      <c r="G171" s="5"/>
      <c r="H171" s="5"/>
      <c r="I171" s="5"/>
      <c r="J171" s="5"/>
      <c r="K171" s="5"/>
      <c r="L171" s="6"/>
    </row>
    <row r="172" spans="1:12" ht="12.75">
      <c r="A172" s="4"/>
      <c r="B172" s="5"/>
      <c r="C172" s="5" t="s">
        <v>1519</v>
      </c>
      <c r="D172" s="5"/>
      <c r="E172" s="5"/>
      <c r="F172" s="5"/>
      <c r="G172" s="5"/>
      <c r="H172" s="5"/>
      <c r="I172" s="5"/>
      <c r="J172" s="5"/>
      <c r="K172" s="5"/>
      <c r="L172" s="6"/>
    </row>
    <row r="173" spans="1:12" ht="12.75">
      <c r="A173" s="4"/>
      <c r="B173" s="5"/>
      <c r="C173" s="5"/>
      <c r="D173" s="5" t="s">
        <v>1384</v>
      </c>
      <c r="E173" s="5"/>
      <c r="F173" s="5"/>
      <c r="G173" s="5"/>
      <c r="H173" s="5"/>
      <c r="I173" s="5"/>
      <c r="J173" s="5"/>
      <c r="K173" s="5"/>
      <c r="L173" s="6"/>
    </row>
    <row r="174" spans="1:12" ht="12.75">
      <c r="A174" s="4"/>
      <c r="B174" s="5"/>
      <c r="C174" s="5"/>
      <c r="D174" s="5" t="s">
        <v>1060</v>
      </c>
      <c r="E174" s="5"/>
      <c r="F174" s="5"/>
      <c r="G174" s="5"/>
      <c r="H174" s="5"/>
      <c r="I174" s="5"/>
      <c r="J174" s="5"/>
      <c r="K174" s="5"/>
      <c r="L174" s="6"/>
    </row>
    <row r="175" spans="1:12" ht="12.75">
      <c r="A175" s="4"/>
      <c r="B175" s="5"/>
      <c r="C175" s="5"/>
      <c r="D175" s="5"/>
      <c r="E175" s="5"/>
      <c r="F175" s="5"/>
      <c r="G175" s="5"/>
      <c r="H175" s="5"/>
      <c r="I175" s="5"/>
      <c r="J175" s="5"/>
      <c r="K175" s="5"/>
      <c r="L175" s="6"/>
    </row>
    <row r="176" spans="1:12" ht="12.75">
      <c r="A176" s="4"/>
      <c r="B176" s="5"/>
      <c r="C176" s="22" t="s">
        <v>1061</v>
      </c>
      <c r="D176" s="68">
        <f>IF(G164&gt;1,"",IF(D169&lt;(PI()/2),PI()-D169,D169))</f>
        <v>2.824563195597694</v>
      </c>
      <c r="E176" s="5" t="s">
        <v>599</v>
      </c>
      <c r="F176" s="68">
        <f>IF(D176="","",DEGREES(D176))</f>
        <v>161.8355500757327</v>
      </c>
      <c r="G176" s="5" t="s">
        <v>1233</v>
      </c>
      <c r="H176" s="5"/>
      <c r="I176" s="5"/>
      <c r="J176" s="5"/>
      <c r="K176" s="5"/>
      <c r="L176" s="6"/>
    </row>
    <row r="177" spans="1:12" ht="12.75">
      <c r="A177" s="4"/>
      <c r="B177" s="5"/>
      <c r="C177" s="5"/>
      <c r="D177" s="5"/>
      <c r="E177" s="5"/>
      <c r="F177" s="5"/>
      <c r="G177" s="5"/>
      <c r="H177" s="5"/>
      <c r="I177" s="5"/>
      <c r="J177" s="5"/>
      <c r="K177" s="5"/>
      <c r="L177" s="6"/>
    </row>
    <row r="178" spans="1:12" ht="12.75">
      <c r="A178" s="4"/>
      <c r="B178" s="5"/>
      <c r="C178" s="5"/>
      <c r="D178" s="5"/>
      <c r="E178" s="5"/>
      <c r="F178" s="5"/>
      <c r="G178" s="5"/>
      <c r="H178" s="5"/>
      <c r="I178" s="5"/>
      <c r="J178" s="5"/>
      <c r="K178" s="5"/>
      <c r="L178" s="6"/>
    </row>
    <row r="179" spans="1:12" ht="12.75">
      <c r="A179" s="4" t="s">
        <v>600</v>
      </c>
      <c r="B179" s="5" t="s">
        <v>1599</v>
      </c>
      <c r="C179" s="5"/>
      <c r="D179" s="5"/>
      <c r="E179" s="5"/>
      <c r="F179" s="5"/>
      <c r="G179" s="5"/>
      <c r="H179" s="5"/>
      <c r="I179" s="5"/>
      <c r="J179" s="5"/>
      <c r="K179" s="5"/>
      <c r="L179" s="6"/>
    </row>
    <row r="180" spans="1:12" ht="12.75">
      <c r="A180" s="4"/>
      <c r="B180" s="5"/>
      <c r="C180" s="5"/>
      <c r="D180" s="5"/>
      <c r="E180" s="5"/>
      <c r="F180" s="5"/>
      <c r="G180" s="5"/>
      <c r="H180" s="5"/>
      <c r="I180" s="5"/>
      <c r="J180" s="5"/>
      <c r="K180" s="5"/>
      <c r="L180" s="6"/>
    </row>
    <row r="181" spans="1:12" ht="12.75">
      <c r="A181" s="4"/>
      <c r="B181" s="5"/>
      <c r="C181" s="5" t="s">
        <v>762</v>
      </c>
      <c r="D181" s="5"/>
      <c r="E181" s="5"/>
      <c r="F181" s="5"/>
      <c r="G181" s="5"/>
      <c r="H181" s="5"/>
      <c r="I181" s="5"/>
      <c r="J181" s="5"/>
      <c r="K181" s="5"/>
      <c r="L181" s="6"/>
    </row>
    <row r="182" spans="1:12" ht="13.5" thickBot="1">
      <c r="A182" s="4"/>
      <c r="B182" s="5"/>
      <c r="C182" s="5"/>
      <c r="D182" s="5"/>
      <c r="E182" s="5"/>
      <c r="F182" s="5"/>
      <c r="G182" s="5"/>
      <c r="H182" s="5"/>
      <c r="I182" s="88" t="s">
        <v>517</v>
      </c>
      <c r="J182" s="115"/>
      <c r="K182" s="115"/>
      <c r="L182" s="192"/>
    </row>
    <row r="183" spans="1:12" ht="13.5" thickBot="1">
      <c r="A183" s="4"/>
      <c r="B183" s="22" t="s">
        <v>1781</v>
      </c>
      <c r="C183" s="5"/>
      <c r="D183" s="68">
        <f>IF(G164&gt;1,"",PI()-D157-D176)</f>
        <v>0.014549025045658137</v>
      </c>
      <c r="E183" s="5" t="s">
        <v>599</v>
      </c>
      <c r="F183" s="68">
        <f>IF(G164&gt;1,"",DEGREES(D183))</f>
        <v>0.8335977311463411</v>
      </c>
      <c r="G183" s="5" t="s">
        <v>1233</v>
      </c>
      <c r="H183" s="5"/>
      <c r="I183" s="86" t="str">
        <f>IF(G164&gt;1,"None",IF(F183&lt;0,"Remaining Angle Less then Zero","None"))</f>
        <v>None</v>
      </c>
      <c r="J183" s="116"/>
      <c r="K183" s="116"/>
      <c r="L183" s="87"/>
    </row>
    <row r="184" spans="1:12" ht="12.75">
      <c r="A184" s="4"/>
      <c r="B184" s="5"/>
      <c r="C184" s="5"/>
      <c r="D184" s="5"/>
      <c r="E184" s="5"/>
      <c r="F184" s="5"/>
      <c r="G184" s="5"/>
      <c r="H184" s="5"/>
      <c r="I184" s="5"/>
      <c r="J184" s="5"/>
      <c r="K184" s="5"/>
      <c r="L184" s="6"/>
    </row>
    <row r="185" spans="1:12" ht="12.75">
      <c r="A185" s="4"/>
      <c r="B185" s="5"/>
      <c r="C185" s="5"/>
      <c r="D185" s="5"/>
      <c r="E185" s="5"/>
      <c r="F185" s="5"/>
      <c r="G185" s="5"/>
      <c r="H185" s="5"/>
      <c r="I185" s="5"/>
      <c r="J185" s="5"/>
      <c r="K185" s="5"/>
      <c r="L185" s="6"/>
    </row>
    <row r="186" spans="1:12" ht="12.75">
      <c r="A186" s="4" t="s">
        <v>1782</v>
      </c>
      <c r="B186" s="5" t="s">
        <v>516</v>
      </c>
      <c r="C186" s="5"/>
      <c r="D186" s="5"/>
      <c r="E186" s="5"/>
      <c r="F186" s="5"/>
      <c r="G186" s="5"/>
      <c r="H186" s="5"/>
      <c r="I186" s="5"/>
      <c r="J186" s="5"/>
      <c r="K186" s="5"/>
      <c r="L186" s="6"/>
    </row>
    <row r="187" spans="1:12" ht="13.5" thickBot="1">
      <c r="A187" s="4"/>
      <c r="B187" s="5"/>
      <c r="C187" s="5"/>
      <c r="D187" s="5"/>
      <c r="E187" s="5"/>
      <c r="F187" s="5"/>
      <c r="G187" s="5"/>
      <c r="H187" s="5"/>
      <c r="I187" s="88" t="s">
        <v>286</v>
      </c>
      <c r="J187" s="115"/>
      <c r="K187" s="115"/>
      <c r="L187" s="192"/>
    </row>
    <row r="188" spans="1:12" ht="13.5" thickBot="1">
      <c r="A188" s="4"/>
      <c r="B188" s="5"/>
      <c r="C188" s="22" t="s">
        <v>772</v>
      </c>
      <c r="D188" s="5"/>
      <c r="E188" s="5"/>
      <c r="F188" s="189">
        <f>IF(G164&gt;1,"",SQRT($H$127^2+$H$125^2-(2*$H$127*$H$125*COS(D183))))</f>
        <v>311118.8347135725</v>
      </c>
      <c r="G188" s="5" t="s">
        <v>167</v>
      </c>
      <c r="H188" s="5"/>
      <c r="I188" s="86" t="str">
        <f>IF(G164&gt;1,"None",IF(($H$218^2+$I$89^2-(2*$H$218*$I$89*COS(D183)))&lt;0,"Taking Square Root of Negative Number","None"))</f>
        <v>None</v>
      </c>
      <c r="J188" s="116"/>
      <c r="K188" s="116"/>
      <c r="L188" s="87"/>
    </row>
    <row r="189" spans="1:12" ht="12.75">
      <c r="A189" s="4"/>
      <c r="B189" s="5"/>
      <c r="C189" s="5"/>
      <c r="D189" s="5"/>
      <c r="E189" s="5"/>
      <c r="F189" s="5"/>
      <c r="G189" s="5"/>
      <c r="H189" s="5"/>
      <c r="I189" s="5"/>
      <c r="J189" s="5"/>
      <c r="K189" s="5"/>
      <c r="L189" s="6"/>
    </row>
    <row r="190" spans="1:12" ht="12.75">
      <c r="A190" s="4" t="s">
        <v>773</v>
      </c>
      <c r="B190" s="5" t="s">
        <v>1520</v>
      </c>
      <c r="C190" s="5"/>
      <c r="D190" s="5"/>
      <c r="E190" s="5"/>
      <c r="F190" s="5"/>
      <c r="G190" s="5"/>
      <c r="H190" s="5"/>
      <c r="I190" s="5"/>
      <c r="J190" s="5"/>
      <c r="K190" s="5"/>
      <c r="L190" s="6"/>
    </row>
    <row r="191" spans="1:12" ht="13.5" thickBot="1">
      <c r="A191" s="4"/>
      <c r="B191" s="5"/>
      <c r="C191" s="5"/>
      <c r="D191" s="5"/>
      <c r="E191" s="5"/>
      <c r="F191" s="5"/>
      <c r="G191" s="5"/>
      <c r="H191" s="5"/>
      <c r="I191" s="5"/>
      <c r="J191" s="5"/>
      <c r="K191" s="5"/>
      <c r="L191" s="6"/>
    </row>
    <row r="192" spans="1:17" ht="13.5" thickBot="1">
      <c r="A192" s="4"/>
      <c r="B192" s="5"/>
      <c r="C192" s="5" t="s">
        <v>1521</v>
      </c>
      <c r="D192" s="5" t="s">
        <v>1432</v>
      </c>
      <c r="E192" s="5"/>
      <c r="F192" s="5"/>
      <c r="G192" s="5"/>
      <c r="H192" s="5"/>
      <c r="I192" s="189">
        <f>IF(G164&gt;1,"",F188*J144)</f>
        <v>92678.86016766512</v>
      </c>
      <c r="J192" s="5" t="s">
        <v>167</v>
      </c>
      <c r="K192" s="513">
        <f>I192-Intersection_Calc!I311</f>
        <v>-29588.700804709166</v>
      </c>
      <c r="L192" s="504" t="s">
        <v>978</v>
      </c>
      <c r="M192" s="505"/>
      <c r="N192" s="517" t="s">
        <v>988</v>
      </c>
      <c r="O192" s="518"/>
      <c r="P192" s="518"/>
      <c r="Q192" s="519"/>
    </row>
    <row r="193" spans="1:17" ht="13.5" thickBot="1">
      <c r="A193" s="4"/>
      <c r="B193" s="5"/>
      <c r="C193" s="5" t="s">
        <v>1433</v>
      </c>
      <c r="D193" s="5" t="s">
        <v>1434</v>
      </c>
      <c r="E193" s="5"/>
      <c r="F193" s="5"/>
      <c r="G193" s="5"/>
      <c r="H193" s="5"/>
      <c r="I193" s="189">
        <f>IF(G164&gt;1,"",F188*J145)</f>
        <v>-11.593782586379035</v>
      </c>
      <c r="J193" s="5" t="s">
        <v>167</v>
      </c>
      <c r="K193" s="513">
        <f>I193-Intersection_Calc!I312</f>
        <v>71714.52078017434</v>
      </c>
      <c r="L193" s="504" t="s">
        <v>979</v>
      </c>
      <c r="M193" s="505"/>
      <c r="N193" s="520" t="str">
        <f>IF($E$66=1,IF($K$39=1,IF(SUM(K192:K194)&lt;&gt;0,"Sum of Comparison Not Equal to Zero","None"),"None"),"None")</f>
        <v>None</v>
      </c>
      <c r="O193" s="116"/>
      <c r="P193" s="116"/>
      <c r="Q193" s="87"/>
    </row>
    <row r="194" spans="1:13" ht="12.75">
      <c r="A194" s="4"/>
      <c r="B194" s="5"/>
      <c r="C194" s="5" t="s">
        <v>1435</v>
      </c>
      <c r="D194" s="5" t="s">
        <v>284</v>
      </c>
      <c r="E194" s="5"/>
      <c r="F194" s="5"/>
      <c r="G194" s="5"/>
      <c r="H194" s="5"/>
      <c r="I194" s="189">
        <f>IF(G164&gt;1,"",F188*J146)</f>
        <v>-296994.20542687003</v>
      </c>
      <c r="J194" s="5" t="s">
        <v>167</v>
      </c>
      <c r="K194" s="513">
        <f>I194-Intersection_Calc!I313</f>
        <v>903.1438910769648</v>
      </c>
      <c r="L194" s="504" t="s">
        <v>980</v>
      </c>
      <c r="M194" s="505"/>
    </row>
    <row r="195" spans="1:12" ht="12.75">
      <c r="A195" s="4"/>
      <c r="B195" s="5"/>
      <c r="C195" s="5"/>
      <c r="D195" s="5"/>
      <c r="E195" s="5"/>
      <c r="F195" s="5"/>
      <c r="G195" s="5"/>
      <c r="H195" s="5"/>
      <c r="I195" s="5"/>
      <c r="J195" s="5"/>
      <c r="K195" s="5"/>
      <c r="L195" s="6"/>
    </row>
    <row r="196" spans="1:12" ht="13.5" thickBot="1">
      <c r="A196" s="7"/>
      <c r="B196" s="8"/>
      <c r="C196" s="8"/>
      <c r="D196" s="8"/>
      <c r="E196" s="8"/>
      <c r="F196" s="8"/>
      <c r="G196" s="8"/>
      <c r="H196" s="8"/>
      <c r="I196" s="8"/>
      <c r="J196" s="8"/>
      <c r="K196" s="8"/>
      <c r="L196" s="9"/>
    </row>
    <row r="197" ht="13.5" thickBot="1"/>
    <row r="198" spans="1:12" ht="12.75">
      <c r="A198" s="1"/>
      <c r="B198" s="2"/>
      <c r="C198" s="2"/>
      <c r="D198" s="2"/>
      <c r="E198" s="2"/>
      <c r="F198" s="2"/>
      <c r="G198" s="2"/>
      <c r="H198" s="2"/>
      <c r="I198" s="2"/>
      <c r="J198" s="2"/>
      <c r="K198" s="2"/>
      <c r="L198" s="3"/>
    </row>
    <row r="199" spans="1:12" ht="15.75">
      <c r="A199" s="14" t="s">
        <v>334</v>
      </c>
      <c r="B199" s="46"/>
      <c r="C199" s="5"/>
      <c r="D199" s="5"/>
      <c r="E199" s="5"/>
      <c r="F199" s="5"/>
      <c r="G199" s="5"/>
      <c r="H199" s="5"/>
      <c r="I199" s="5"/>
      <c r="J199" s="5"/>
      <c r="K199" s="5"/>
      <c r="L199" s="6"/>
    </row>
    <row r="200" spans="1:12" ht="12.75">
      <c r="A200" s="4"/>
      <c r="B200" s="5"/>
      <c r="C200" s="5"/>
      <c r="D200" s="5"/>
      <c r="E200" s="5"/>
      <c r="F200" s="5"/>
      <c r="G200" s="5"/>
      <c r="H200" s="5"/>
      <c r="I200" s="5"/>
      <c r="J200" s="5"/>
      <c r="K200" s="5"/>
      <c r="L200" s="6"/>
    </row>
    <row r="201" spans="1:12" ht="12.75">
      <c r="A201" s="4" t="s">
        <v>1194</v>
      </c>
      <c r="B201" s="5" t="s">
        <v>317</v>
      </c>
      <c r="C201" s="5"/>
      <c r="D201" s="5"/>
      <c r="E201" s="5"/>
      <c r="F201" s="5"/>
      <c r="G201" s="5"/>
      <c r="H201" s="5"/>
      <c r="I201" s="5"/>
      <c r="J201" s="5"/>
      <c r="K201" s="5"/>
      <c r="L201" s="6"/>
    </row>
    <row r="202" spans="1:12" ht="12.75">
      <c r="A202" s="4"/>
      <c r="B202" s="5"/>
      <c r="C202" s="5"/>
      <c r="D202" s="5"/>
      <c r="E202" s="5"/>
      <c r="F202" s="5"/>
      <c r="G202" s="5"/>
      <c r="H202" s="5"/>
      <c r="I202" s="5"/>
      <c r="J202" s="5"/>
      <c r="K202" s="5"/>
      <c r="L202" s="6"/>
    </row>
    <row r="203" spans="1:12" ht="12.75">
      <c r="A203" s="4"/>
      <c r="B203" s="22" t="s">
        <v>231</v>
      </c>
      <c r="C203" s="5" t="str">
        <f aca="true" t="shared" si="1" ref="C203:D205">J96</f>
        <v>i_SX_pl = </v>
      </c>
      <c r="D203" s="266">
        <f t="shared" si="1"/>
        <v>-0.2979061900585724</v>
      </c>
      <c r="E203" s="190" t="s">
        <v>232</v>
      </c>
      <c r="F203" s="148"/>
      <c r="G203" s="26" t="s">
        <v>350</v>
      </c>
      <c r="H203" s="5" t="s">
        <v>234</v>
      </c>
      <c r="I203" s="5" t="str">
        <f>C203</f>
        <v>i_SX_pl = </v>
      </c>
      <c r="J203" s="187">
        <f>-D203</f>
        <v>0.2979061900585724</v>
      </c>
      <c r="K203" s="5"/>
      <c r="L203" s="6"/>
    </row>
    <row r="204" spans="1:12" ht="12.75">
      <c r="A204" s="4"/>
      <c r="B204" s="5"/>
      <c r="C204" s="5" t="str">
        <f t="shared" si="1"/>
        <v>j_SY_pl = </v>
      </c>
      <c r="D204" s="266">
        <f t="shared" si="1"/>
        <v>-1.2720174924714111E-05</v>
      </c>
      <c r="E204" s="5"/>
      <c r="F204" s="5"/>
      <c r="G204" s="26" t="s">
        <v>351</v>
      </c>
      <c r="H204" s="5" t="s">
        <v>234</v>
      </c>
      <c r="I204" s="5" t="str">
        <f>C204</f>
        <v>j_SY_pl = </v>
      </c>
      <c r="J204" s="187">
        <f>-D204</f>
        <v>1.2720174924714111E-05</v>
      </c>
      <c r="K204" s="5"/>
      <c r="L204" s="6"/>
    </row>
    <row r="205" spans="1:12" ht="12.75">
      <c r="A205" s="4"/>
      <c r="B205" s="5"/>
      <c r="C205" s="5" t="str">
        <f t="shared" si="1"/>
        <v>k_SZ_pl = </v>
      </c>
      <c r="D205" s="266">
        <f t="shared" si="1"/>
        <v>0.9545951507120614</v>
      </c>
      <c r="E205" s="5"/>
      <c r="F205" s="5"/>
      <c r="G205" s="26" t="s">
        <v>352</v>
      </c>
      <c r="H205" s="5" t="s">
        <v>234</v>
      </c>
      <c r="I205" s="5" t="str">
        <f>C205</f>
        <v>k_SZ_pl = </v>
      </c>
      <c r="J205" s="187">
        <f>-D205</f>
        <v>-0.9545951507120614</v>
      </c>
      <c r="K205" s="5"/>
      <c r="L205" s="6"/>
    </row>
    <row r="206" spans="1:12" ht="12.75">
      <c r="A206" s="4"/>
      <c r="B206" s="5"/>
      <c r="C206" s="5"/>
      <c r="D206" s="5"/>
      <c r="E206" s="5"/>
      <c r="F206" s="5"/>
      <c r="G206" s="5"/>
      <c r="H206" s="5"/>
      <c r="I206" s="5"/>
      <c r="J206" s="5"/>
      <c r="K206" s="5"/>
      <c r="L206" s="6"/>
    </row>
    <row r="207" spans="1:12" ht="12.75">
      <c r="A207" s="4" t="s">
        <v>237</v>
      </c>
      <c r="B207" s="5" t="s">
        <v>238</v>
      </c>
      <c r="C207" s="5"/>
      <c r="D207" s="5"/>
      <c r="E207" s="5"/>
      <c r="F207" s="5"/>
      <c r="G207" s="5"/>
      <c r="H207" s="5"/>
      <c r="I207" s="5"/>
      <c r="J207" s="5"/>
      <c r="K207" s="5"/>
      <c r="L207" s="6"/>
    </row>
    <row r="208" spans="1:12" ht="12.75">
      <c r="A208" s="4"/>
      <c r="B208" s="5"/>
      <c r="C208" s="5"/>
      <c r="D208" s="5"/>
      <c r="E208" s="5"/>
      <c r="F208" s="5"/>
      <c r="G208" s="5"/>
      <c r="H208" s="5"/>
      <c r="I208" s="5"/>
      <c r="J208" s="5"/>
      <c r="K208" s="5"/>
      <c r="L208" s="6"/>
    </row>
    <row r="209" spans="1:12" ht="12.75">
      <c r="A209" s="4"/>
      <c r="B209" s="147" t="s">
        <v>239</v>
      </c>
      <c r="C209" s="46" t="s">
        <v>389</v>
      </c>
      <c r="D209" s="46"/>
      <c r="E209" s="46"/>
      <c r="F209" s="26"/>
      <c r="G209" s="52"/>
      <c r="H209" s="5"/>
      <c r="I209" s="22" t="s">
        <v>390</v>
      </c>
      <c r="J209" s="5"/>
      <c r="K209" s="5"/>
      <c r="L209" s="6"/>
    </row>
    <row r="210" spans="1:12" ht="12.75">
      <c r="A210" s="4"/>
      <c r="B210" s="5"/>
      <c r="C210" s="46"/>
      <c r="D210" s="46"/>
      <c r="E210" s="46"/>
      <c r="F210" s="26"/>
      <c r="G210" s="52"/>
      <c r="H210" s="5"/>
      <c r="I210" s="5" t="s">
        <v>391</v>
      </c>
      <c r="J210" s="5"/>
      <c r="K210" s="5"/>
      <c r="L210" s="6"/>
    </row>
    <row r="211" spans="1:12" ht="12.75">
      <c r="A211" s="4"/>
      <c r="B211" s="5"/>
      <c r="C211" s="70"/>
      <c r="D211" s="46"/>
      <c r="E211" s="70" t="s">
        <v>127</v>
      </c>
      <c r="F211" s="484">
        <f>$I$130*J203+$I$131*J204+$I$132*J205</f>
        <v>0.9545951507120614</v>
      </c>
      <c r="G211" s="52"/>
      <c r="H211" s="5"/>
      <c r="I211" s="5" t="s">
        <v>480</v>
      </c>
      <c r="J211" s="5"/>
      <c r="K211" s="5"/>
      <c r="L211" s="6"/>
    </row>
    <row r="212" spans="1:12" ht="12.75">
      <c r="A212" s="4"/>
      <c r="B212" s="5"/>
      <c r="C212" s="46"/>
      <c r="D212" s="46"/>
      <c r="E212" s="70" t="s">
        <v>128</v>
      </c>
      <c r="F212" s="72">
        <f>$I$134</f>
        <v>1</v>
      </c>
      <c r="G212" s="52"/>
      <c r="H212" s="5"/>
      <c r="I212" s="5"/>
      <c r="J212" s="5"/>
      <c r="K212" s="5"/>
      <c r="L212" s="6"/>
    </row>
    <row r="213" spans="1:12" ht="12.75">
      <c r="A213" s="4"/>
      <c r="B213" s="5"/>
      <c r="C213" s="46"/>
      <c r="D213" s="46"/>
      <c r="E213" s="70" t="s">
        <v>129</v>
      </c>
      <c r="F213" s="72">
        <f>SQRT(J203^2+J204^2+J205^2)</f>
        <v>1</v>
      </c>
      <c r="G213" s="52"/>
      <c r="H213" s="5"/>
      <c r="I213" s="5"/>
      <c r="J213" s="5"/>
      <c r="K213" s="5"/>
      <c r="L213" s="6"/>
    </row>
    <row r="214" spans="1:12" ht="12.75">
      <c r="A214" s="4"/>
      <c r="B214" s="5"/>
      <c r="C214" s="85" t="s">
        <v>866</v>
      </c>
      <c r="D214" s="5"/>
      <c r="E214" s="70"/>
      <c r="F214" s="72">
        <f>F211/(F212*F213)</f>
        <v>0.9545951507120614</v>
      </c>
      <c r="G214" s="5"/>
      <c r="H214" s="5"/>
      <c r="I214" s="5"/>
      <c r="J214" s="5"/>
      <c r="K214" s="5"/>
      <c r="L214" s="6"/>
    </row>
    <row r="215" spans="1:12" ht="13.5" thickBot="1">
      <c r="A215" s="4"/>
      <c r="B215" s="5"/>
      <c r="C215" s="46"/>
      <c r="D215" s="46"/>
      <c r="E215" s="46"/>
      <c r="F215" s="26"/>
      <c r="G215" s="52"/>
      <c r="H215" s="5"/>
      <c r="I215" s="88" t="s">
        <v>287</v>
      </c>
      <c r="J215" s="115"/>
      <c r="K215" s="115"/>
      <c r="L215" s="192"/>
    </row>
    <row r="216" spans="1:12" ht="16.5" thickBot="1">
      <c r="A216" s="4"/>
      <c r="B216" s="5"/>
      <c r="C216" s="16" t="s">
        <v>239</v>
      </c>
      <c r="D216" s="72">
        <f>IF((F212*F213)=0,0,ACOS(F214))</f>
        <v>0.3024985003419205</v>
      </c>
      <c r="E216" s="52" t="s">
        <v>1483</v>
      </c>
      <c r="F216" s="73">
        <f>DEGREES(D216)</f>
        <v>17.331887378628736</v>
      </c>
      <c r="G216" s="46" t="s">
        <v>1233</v>
      </c>
      <c r="H216" s="5"/>
      <c r="I216" s="86" t="str">
        <f>IF((F212*F213)&lt;&gt;1,"Vector A or B Not a Unit Vector","None")</f>
        <v>None</v>
      </c>
      <c r="J216" s="116"/>
      <c r="K216" s="116"/>
      <c r="L216" s="87"/>
    </row>
    <row r="217" spans="1:12" ht="12.75">
      <c r="A217" s="4"/>
      <c r="B217" s="5"/>
      <c r="C217" s="5"/>
      <c r="D217" s="5"/>
      <c r="E217" s="5"/>
      <c r="F217" s="5"/>
      <c r="G217" s="5"/>
      <c r="H217" s="5"/>
      <c r="I217" s="5"/>
      <c r="J217" s="5"/>
      <c r="K217" s="5"/>
      <c r="L217" s="6"/>
    </row>
    <row r="218" spans="1:12" ht="12.75">
      <c r="A218" s="4"/>
      <c r="B218" s="5"/>
      <c r="C218" s="5"/>
      <c r="D218" s="5"/>
      <c r="E218" s="5"/>
      <c r="F218" s="5"/>
      <c r="G218" s="5"/>
      <c r="H218" s="5"/>
      <c r="I218" s="5"/>
      <c r="J218" s="5"/>
      <c r="K218" s="5"/>
      <c r="L218" s="6"/>
    </row>
    <row r="219" spans="1:12" ht="12.75">
      <c r="A219" s="4" t="s">
        <v>534</v>
      </c>
      <c r="B219" s="5" t="s">
        <v>1197</v>
      </c>
      <c r="C219" s="5"/>
      <c r="D219" s="5"/>
      <c r="E219" s="5"/>
      <c r="F219" s="5"/>
      <c r="G219" s="5"/>
      <c r="H219" s="5"/>
      <c r="I219" s="5"/>
      <c r="J219" s="5"/>
      <c r="K219" s="5"/>
      <c r="L219" s="6"/>
    </row>
    <row r="220" spans="1:12" ht="12.75">
      <c r="A220" s="4"/>
      <c r="B220" s="5"/>
      <c r="C220" s="5"/>
      <c r="D220" s="5"/>
      <c r="E220" s="5"/>
      <c r="F220" s="5"/>
      <c r="G220" s="5"/>
      <c r="H220" s="5"/>
      <c r="I220" s="5"/>
      <c r="J220" s="5"/>
      <c r="K220" s="5"/>
      <c r="L220" s="6"/>
    </row>
    <row r="221" spans="1:12" ht="12.75">
      <c r="A221" s="4"/>
      <c r="B221" s="147" t="s">
        <v>1198</v>
      </c>
      <c r="C221" s="5" t="s">
        <v>1507</v>
      </c>
      <c r="D221" s="5"/>
      <c r="E221" s="5"/>
      <c r="F221" s="5"/>
      <c r="G221" s="5"/>
      <c r="H221" s="5"/>
      <c r="I221" s="5"/>
      <c r="J221" s="5"/>
      <c r="K221" s="5"/>
      <c r="L221" s="6"/>
    </row>
    <row r="222" spans="1:12" ht="12.75">
      <c r="A222" s="4"/>
      <c r="B222" s="147"/>
      <c r="C222" s="5"/>
      <c r="D222" s="5"/>
      <c r="E222" s="5"/>
      <c r="F222" s="5"/>
      <c r="G222" s="5"/>
      <c r="H222" s="5"/>
      <c r="I222" s="5"/>
      <c r="J222" s="5"/>
      <c r="K222" s="5"/>
      <c r="L222" s="6"/>
    </row>
    <row r="223" spans="1:12" ht="12.75">
      <c r="A223" s="4"/>
      <c r="B223" s="147"/>
      <c r="C223" s="52" t="s">
        <v>1508</v>
      </c>
      <c r="E223" s="5"/>
      <c r="G223" s="68">
        <f>SIN(D216)*$H$127/$H$125</f>
        <v>0.3117634825489757</v>
      </c>
      <c r="H223" s="5"/>
      <c r="I223" s="5"/>
      <c r="J223" s="5"/>
      <c r="K223" s="5"/>
      <c r="L223" s="6"/>
    </row>
    <row r="224" spans="1:12" ht="12.75">
      <c r="A224" s="4"/>
      <c r="B224" s="147"/>
      <c r="C224" s="5"/>
      <c r="D224" s="5"/>
      <c r="E224" s="5"/>
      <c r="F224" s="5"/>
      <c r="G224" s="5"/>
      <c r="H224" s="5"/>
      <c r="I224" s="5"/>
      <c r="J224" s="5"/>
      <c r="K224" s="5"/>
      <c r="L224" s="6"/>
    </row>
    <row r="225" spans="1:12" ht="12.75">
      <c r="A225" s="4"/>
      <c r="B225" s="147"/>
      <c r="C225" s="126" t="s">
        <v>1509</v>
      </c>
      <c r="E225" s="5"/>
      <c r="F225" s="5"/>
      <c r="G225" s="5"/>
      <c r="H225" s="5"/>
      <c r="I225" s="5"/>
      <c r="J225" s="5"/>
      <c r="K225" s="5"/>
      <c r="L225" s="6"/>
    </row>
    <row r="226" spans="1:12" ht="12.75">
      <c r="A226" s="4"/>
      <c r="B226" s="147"/>
      <c r="C226" s="280" t="s">
        <v>249</v>
      </c>
      <c r="I226" s="5"/>
      <c r="J226" s="5"/>
      <c r="K226" s="5"/>
      <c r="L226" s="6"/>
    </row>
    <row r="227" spans="1:12" ht="13.5" thickBot="1">
      <c r="A227" s="4"/>
      <c r="B227" s="5"/>
      <c r="C227" s="5"/>
      <c r="D227" s="5"/>
      <c r="E227" s="5"/>
      <c r="G227" s="5"/>
      <c r="H227" s="5"/>
      <c r="I227" s="241" t="s">
        <v>250</v>
      </c>
      <c r="J227" s="242"/>
      <c r="K227" s="242"/>
      <c r="L227" s="243"/>
    </row>
    <row r="228" spans="1:12" ht="13.5" thickBot="1">
      <c r="A228" s="4"/>
      <c r="B228" s="5"/>
      <c r="C228" s="147" t="s">
        <v>1198</v>
      </c>
      <c r="D228" s="68">
        <f>IF(G223&lt;=1,ASIN(G223),"")</f>
        <v>0.31704845406106436</v>
      </c>
      <c r="E228" s="52" t="s">
        <v>1483</v>
      </c>
      <c r="F228" s="68">
        <f>IF(D228="","",DEGREES(D228))</f>
        <v>18.16553831884635</v>
      </c>
      <c r="G228" s="5" t="s">
        <v>1233</v>
      </c>
      <c r="H228" s="5"/>
      <c r="I228" s="244" t="str">
        <f>IF(G223&lt;=1,"None","Asin(Zeta)&gt;1 - Vector Does not Intersect Earth")</f>
        <v>None</v>
      </c>
      <c r="J228" s="245"/>
      <c r="K228" s="245"/>
      <c r="L228" s="246"/>
    </row>
    <row r="229" spans="1:12" ht="12.75">
      <c r="A229" s="4"/>
      <c r="B229" s="5"/>
      <c r="C229" s="5"/>
      <c r="D229" s="5"/>
      <c r="E229" s="5"/>
      <c r="F229" s="5"/>
      <c r="G229" s="5"/>
      <c r="H229" s="5"/>
      <c r="I229" s="5"/>
      <c r="J229" s="5"/>
      <c r="K229" s="5"/>
      <c r="L229" s="6"/>
    </row>
    <row r="230" spans="1:12" ht="12.75">
      <c r="A230" s="4"/>
      <c r="B230" s="5"/>
      <c r="C230" s="5" t="s">
        <v>1611</v>
      </c>
      <c r="D230" s="5"/>
      <c r="E230" s="5"/>
      <c r="F230" s="5"/>
      <c r="G230" s="5"/>
      <c r="H230" s="5"/>
      <c r="I230" s="5"/>
      <c r="J230" s="5"/>
      <c r="K230" s="5"/>
      <c r="L230" s="6"/>
    </row>
    <row r="231" spans="1:12" ht="12.75">
      <c r="A231" s="4"/>
      <c r="B231" s="5"/>
      <c r="C231" s="5" t="s">
        <v>1519</v>
      </c>
      <c r="D231" s="5"/>
      <c r="E231" s="5"/>
      <c r="F231" s="5"/>
      <c r="G231" s="5"/>
      <c r="H231" s="5"/>
      <c r="I231" s="5"/>
      <c r="J231" s="5"/>
      <c r="K231" s="5"/>
      <c r="L231" s="6"/>
    </row>
    <row r="232" spans="1:12" ht="12.75">
      <c r="A232" s="4"/>
      <c r="B232" s="5"/>
      <c r="C232" s="5"/>
      <c r="D232" s="5" t="s">
        <v>1384</v>
      </c>
      <c r="E232" s="5"/>
      <c r="F232" s="5"/>
      <c r="G232" s="5"/>
      <c r="H232" s="5"/>
      <c r="I232" s="5"/>
      <c r="J232" s="5"/>
      <c r="K232" s="5"/>
      <c r="L232" s="6"/>
    </row>
    <row r="233" spans="1:12" ht="12.75">
      <c r="A233" s="4"/>
      <c r="B233" s="5"/>
      <c r="C233" s="5"/>
      <c r="D233" s="5" t="s">
        <v>1060</v>
      </c>
      <c r="E233" s="5"/>
      <c r="F233" s="5"/>
      <c r="G233" s="5"/>
      <c r="H233" s="5"/>
      <c r="I233" s="5"/>
      <c r="J233" s="5"/>
      <c r="K233" s="5"/>
      <c r="L233" s="6"/>
    </row>
    <row r="234" spans="1:12" ht="12.75">
      <c r="A234" s="4"/>
      <c r="B234" s="5"/>
      <c r="C234" s="5"/>
      <c r="D234" s="5"/>
      <c r="E234" s="5"/>
      <c r="F234" s="5"/>
      <c r="G234" s="5"/>
      <c r="H234" s="5"/>
      <c r="I234" s="5"/>
      <c r="J234" s="5"/>
      <c r="K234" s="5"/>
      <c r="L234" s="6"/>
    </row>
    <row r="235" spans="1:12" ht="12.75">
      <c r="A235" s="4"/>
      <c r="B235" s="5"/>
      <c r="C235" s="22" t="s">
        <v>1061</v>
      </c>
      <c r="D235" s="68">
        <f>IF(G223&gt;1,"",IF(D228&lt;(PI()/2),PI()-D228,D228))</f>
        <v>2.8245441995287286</v>
      </c>
      <c r="E235" s="5" t="s">
        <v>599</v>
      </c>
      <c r="F235" s="68">
        <f>IF(D235="","",DEGREES(D235))</f>
        <v>161.83446168115364</v>
      </c>
      <c r="G235" s="5" t="s">
        <v>1233</v>
      </c>
      <c r="H235" s="5"/>
      <c r="I235" s="5"/>
      <c r="J235" s="5"/>
      <c r="K235" s="5"/>
      <c r="L235" s="6"/>
    </row>
    <row r="236" spans="1:12" ht="12.75">
      <c r="A236" s="4"/>
      <c r="B236" s="5"/>
      <c r="C236" s="5"/>
      <c r="D236" s="5"/>
      <c r="E236" s="5"/>
      <c r="F236" s="5"/>
      <c r="G236" s="5"/>
      <c r="H236" s="5"/>
      <c r="I236" s="5"/>
      <c r="J236" s="5"/>
      <c r="K236" s="5"/>
      <c r="L236" s="6"/>
    </row>
    <row r="237" spans="1:12" ht="12.75">
      <c r="A237" s="4"/>
      <c r="B237" s="5"/>
      <c r="C237" s="5"/>
      <c r="D237" s="5"/>
      <c r="E237" s="5"/>
      <c r="F237" s="5"/>
      <c r="G237" s="5"/>
      <c r="H237" s="5"/>
      <c r="I237" s="5"/>
      <c r="J237" s="5"/>
      <c r="K237" s="5"/>
      <c r="L237" s="6"/>
    </row>
    <row r="238" spans="1:12" ht="12.75">
      <c r="A238" s="4" t="s">
        <v>600</v>
      </c>
      <c r="B238" s="5" t="s">
        <v>1599</v>
      </c>
      <c r="C238" s="5"/>
      <c r="D238" s="5"/>
      <c r="E238" s="5"/>
      <c r="F238" s="5"/>
      <c r="G238" s="5"/>
      <c r="H238" s="5"/>
      <c r="I238" s="5"/>
      <c r="J238" s="5"/>
      <c r="K238" s="5"/>
      <c r="L238" s="6"/>
    </row>
    <row r="239" spans="1:12" ht="12.75">
      <c r="A239" s="4"/>
      <c r="B239" s="5"/>
      <c r="C239" s="5"/>
      <c r="D239" s="5"/>
      <c r="E239" s="5"/>
      <c r="F239" s="5"/>
      <c r="G239" s="5"/>
      <c r="H239" s="5"/>
      <c r="I239" s="5"/>
      <c r="J239" s="5"/>
      <c r="K239" s="5"/>
      <c r="L239" s="6"/>
    </row>
    <row r="240" spans="1:12" ht="12.75">
      <c r="A240" s="4"/>
      <c r="B240" s="5"/>
      <c r="C240" s="5" t="s">
        <v>762</v>
      </c>
      <c r="D240" s="5"/>
      <c r="E240" s="5"/>
      <c r="F240" s="5"/>
      <c r="G240" s="5"/>
      <c r="H240" s="5"/>
      <c r="I240" s="5"/>
      <c r="J240" s="5"/>
      <c r="K240" s="5"/>
      <c r="L240" s="6"/>
    </row>
    <row r="241" spans="1:12" ht="13.5" thickBot="1">
      <c r="A241" s="4"/>
      <c r="B241" s="5"/>
      <c r="C241" s="5"/>
      <c r="D241" s="5"/>
      <c r="E241" s="5"/>
      <c r="F241" s="5"/>
      <c r="G241" s="5"/>
      <c r="H241" s="5"/>
      <c r="I241" s="88" t="s">
        <v>1448</v>
      </c>
      <c r="J241" s="115"/>
      <c r="K241" s="115"/>
      <c r="L241" s="192"/>
    </row>
    <row r="242" spans="1:12" ht="13.5" thickBot="1">
      <c r="A242" s="4"/>
      <c r="B242" s="22" t="s">
        <v>1781</v>
      </c>
      <c r="C242" s="5"/>
      <c r="D242" s="68">
        <f>IF(G223&gt;1,"",PI()-D216-D235)</f>
        <v>0.014549953719143804</v>
      </c>
      <c r="E242" s="5" t="s">
        <v>599</v>
      </c>
      <c r="F242" s="68">
        <f>IF(G223&gt;1,"",DEGREES(D242))</f>
        <v>0.8336509402176155</v>
      </c>
      <c r="G242" s="5" t="s">
        <v>1233</v>
      </c>
      <c r="H242" s="5"/>
      <c r="I242" s="86" t="str">
        <f>IF(G223&gt;1,"None",IF(F242&lt;0,"Remaining Angle Less then Zero","None"))</f>
        <v>None</v>
      </c>
      <c r="J242" s="116"/>
      <c r="K242" s="116"/>
      <c r="L242" s="87"/>
    </row>
    <row r="243" spans="1:12" ht="12.75">
      <c r="A243" s="4"/>
      <c r="B243" s="5"/>
      <c r="C243" s="5"/>
      <c r="D243" s="5"/>
      <c r="E243" s="5"/>
      <c r="F243" s="5"/>
      <c r="G243" s="5"/>
      <c r="H243" s="5"/>
      <c r="I243" s="5"/>
      <c r="J243" s="5"/>
      <c r="K243" s="5"/>
      <c r="L243" s="6"/>
    </row>
    <row r="244" spans="1:12" ht="12.75">
      <c r="A244" s="4"/>
      <c r="B244" s="5"/>
      <c r="C244" s="5"/>
      <c r="D244" s="5"/>
      <c r="E244" s="5"/>
      <c r="F244" s="5"/>
      <c r="G244" s="5"/>
      <c r="H244" s="5"/>
      <c r="I244" s="5"/>
      <c r="J244" s="5"/>
      <c r="K244" s="5"/>
      <c r="L244" s="6"/>
    </row>
    <row r="245" spans="1:12" ht="12.75">
      <c r="A245" s="4" t="s">
        <v>1782</v>
      </c>
      <c r="B245" s="5" t="s">
        <v>516</v>
      </c>
      <c r="C245" s="5"/>
      <c r="D245" s="5"/>
      <c r="E245" s="5"/>
      <c r="F245" s="5"/>
      <c r="G245" s="5"/>
      <c r="H245" s="5"/>
      <c r="I245" s="5"/>
      <c r="J245" s="5"/>
      <c r="K245" s="5"/>
      <c r="L245" s="6"/>
    </row>
    <row r="246" spans="1:12" ht="13.5" thickBot="1">
      <c r="A246" s="4"/>
      <c r="B246" s="5"/>
      <c r="C246" s="5"/>
      <c r="D246" s="5"/>
      <c r="E246" s="5"/>
      <c r="F246" s="5"/>
      <c r="G246" s="5"/>
      <c r="H246" s="5"/>
      <c r="I246" s="88" t="s">
        <v>1646</v>
      </c>
      <c r="J246" s="115"/>
      <c r="K246" s="115"/>
      <c r="L246" s="192"/>
    </row>
    <row r="247" spans="1:12" ht="13.5" thickBot="1">
      <c r="A247" s="4"/>
      <c r="B247" s="5"/>
      <c r="C247" s="22" t="s">
        <v>772</v>
      </c>
      <c r="D247" s="5"/>
      <c r="E247" s="5"/>
      <c r="F247" s="189">
        <f>IF(G223&gt;1,"",SQRT($H$127^2+$H$125^2-(2*$H$127*$H$125*COS(D242))))</f>
        <v>311120.67904017866</v>
      </c>
      <c r="G247" s="5" t="s">
        <v>167</v>
      </c>
      <c r="H247" s="5"/>
      <c r="I247" s="86" t="str">
        <f>IF(G223&gt;1,"None",IF(($H$218^2+$I$89^2-(2*$H$218*$I$89*COS(D242)))&lt;0,"Taking Square Root of Negative Number","None"))</f>
        <v>None</v>
      </c>
      <c r="J247" s="116"/>
      <c r="K247" s="116"/>
      <c r="L247" s="87"/>
    </row>
    <row r="248" spans="1:12" ht="12.75">
      <c r="A248" s="4"/>
      <c r="B248" s="5"/>
      <c r="C248" s="5"/>
      <c r="D248" s="5"/>
      <c r="E248" s="5"/>
      <c r="F248" s="5"/>
      <c r="G248" s="5"/>
      <c r="H248" s="5"/>
      <c r="I248" s="5"/>
      <c r="J248" s="5"/>
      <c r="K248" s="5"/>
      <c r="L248" s="6"/>
    </row>
    <row r="249" spans="1:12" ht="12.75">
      <c r="A249" s="4" t="s">
        <v>773</v>
      </c>
      <c r="B249" s="5" t="s">
        <v>1520</v>
      </c>
      <c r="C249" s="5"/>
      <c r="D249" s="5"/>
      <c r="E249" s="5"/>
      <c r="F249" s="5"/>
      <c r="G249" s="5"/>
      <c r="H249" s="5"/>
      <c r="I249" s="5"/>
      <c r="J249" s="5"/>
      <c r="K249" s="5"/>
      <c r="L249" s="6"/>
    </row>
    <row r="250" spans="1:12" ht="13.5" thickBot="1">
      <c r="A250" s="4"/>
      <c r="B250" s="5"/>
      <c r="C250" s="5"/>
      <c r="D250" s="5"/>
      <c r="E250" s="5"/>
      <c r="F250" s="5"/>
      <c r="G250" s="5"/>
      <c r="H250" s="5"/>
      <c r="I250" s="5"/>
      <c r="J250" s="5"/>
      <c r="K250" s="5"/>
      <c r="L250" s="6"/>
    </row>
    <row r="251" spans="1:17" ht="13.5" thickBot="1">
      <c r="A251" s="4"/>
      <c r="B251" s="5"/>
      <c r="C251" s="5" t="s">
        <v>1521</v>
      </c>
      <c r="D251" s="5" t="s">
        <v>1432</v>
      </c>
      <c r="E251" s="5"/>
      <c r="F251" s="5"/>
      <c r="G251" s="5"/>
      <c r="H251" s="5"/>
      <c r="I251" s="189">
        <f>IF(G223&gt;1,"",F247*J203)</f>
        <v>92684.77614129556</v>
      </c>
      <c r="J251" s="5" t="s">
        <v>167</v>
      </c>
      <c r="K251" s="513">
        <f>I251-Intersection_Calc!I399</f>
        <v>-68664.32118374918</v>
      </c>
      <c r="L251" s="504" t="s">
        <v>978</v>
      </c>
      <c r="M251" s="506"/>
      <c r="N251" s="517" t="s">
        <v>989</v>
      </c>
      <c r="O251" s="518"/>
      <c r="P251" s="518"/>
      <c r="Q251" s="519"/>
    </row>
    <row r="252" spans="1:17" ht="13.5" thickBot="1">
      <c r="A252" s="4"/>
      <c r="B252" s="5"/>
      <c r="C252" s="5" t="s">
        <v>1433</v>
      </c>
      <c r="D252" s="5" t="s">
        <v>1434</v>
      </c>
      <c r="E252" s="5"/>
      <c r="F252" s="5"/>
      <c r="G252" s="5"/>
      <c r="H252" s="5"/>
      <c r="I252" s="189">
        <f>IF(G223&gt;1,"",F247*J204)</f>
        <v>3.9575094600869076</v>
      </c>
      <c r="J252" s="5" t="s">
        <v>167</v>
      </c>
      <c r="K252" s="513">
        <f>I252-Intersection_Calc!I400</f>
        <v>-25405.58464182965</v>
      </c>
      <c r="L252" s="504" t="s">
        <v>981</v>
      </c>
      <c r="M252" s="506"/>
      <c r="N252" s="520" t="str">
        <f>IF($E$66=1,IF($K$39=1,IF(SUM(K251:K253)&lt;&gt;0,"Sum of Comparison Not Equal to Zero","None"),"None"),"None")</f>
        <v>None</v>
      </c>
      <c r="O252" s="116"/>
      <c r="P252" s="116"/>
      <c r="Q252" s="87"/>
    </row>
    <row r="253" spans="1:13" ht="12.75">
      <c r="A253" s="4"/>
      <c r="B253" s="5"/>
      <c r="C253" s="5" t="s">
        <v>1435</v>
      </c>
      <c r="D253" s="5" t="s">
        <v>284</v>
      </c>
      <c r="E253" s="5"/>
      <c r="F253" s="5"/>
      <c r="G253" s="5"/>
      <c r="H253" s="5"/>
      <c r="I253" s="189">
        <f>IF(G223&gt;1,"",F247*J205)</f>
        <v>-296994.29149799823</v>
      </c>
      <c r="J253" s="5" t="s">
        <v>167</v>
      </c>
      <c r="K253" s="513">
        <f>I253-Intersection_Calc!I401</f>
        <v>1420.0702470875694</v>
      </c>
      <c r="L253" s="504" t="s">
        <v>980</v>
      </c>
      <c r="M253" s="506"/>
    </row>
    <row r="254" spans="1:12" ht="12.75">
      <c r="A254" s="4"/>
      <c r="B254" s="5"/>
      <c r="C254" s="5"/>
      <c r="D254" s="5"/>
      <c r="E254" s="5"/>
      <c r="F254" s="5"/>
      <c r="G254" s="5"/>
      <c r="H254" s="5"/>
      <c r="I254" s="5"/>
      <c r="J254" s="5"/>
      <c r="K254" s="5"/>
      <c r="L254" s="6"/>
    </row>
    <row r="255" spans="1:12" ht="13.5" thickBot="1">
      <c r="A255" s="7"/>
      <c r="B255" s="8"/>
      <c r="C255" s="8"/>
      <c r="D255" s="8"/>
      <c r="E255" s="8"/>
      <c r="F255" s="8"/>
      <c r="G255" s="8"/>
      <c r="H255" s="8"/>
      <c r="I255" s="8"/>
      <c r="J255" s="8"/>
      <c r="K255" s="8"/>
      <c r="L255" s="9"/>
    </row>
    <row r="257" ht="13.5" thickBot="1"/>
    <row r="258" spans="1:12" ht="12.75">
      <c r="A258" s="1"/>
      <c r="B258" s="2"/>
      <c r="C258" s="2"/>
      <c r="D258" s="2"/>
      <c r="E258" s="2"/>
      <c r="F258" s="2"/>
      <c r="G258" s="2"/>
      <c r="H258" s="2"/>
      <c r="I258" s="2"/>
      <c r="J258" s="2"/>
      <c r="K258" s="2"/>
      <c r="L258" s="3"/>
    </row>
    <row r="259" spans="1:12" ht="15.75">
      <c r="A259" s="14" t="s">
        <v>332</v>
      </c>
      <c r="B259" s="46"/>
      <c r="C259" s="5"/>
      <c r="D259" s="5"/>
      <c r="E259" s="5"/>
      <c r="F259" s="5"/>
      <c r="G259" s="5"/>
      <c r="H259" s="5"/>
      <c r="I259" s="5"/>
      <c r="J259" s="5"/>
      <c r="K259" s="5"/>
      <c r="L259" s="6"/>
    </row>
    <row r="260" spans="1:12" ht="12.75">
      <c r="A260" s="4"/>
      <c r="B260" s="5"/>
      <c r="C260" s="5"/>
      <c r="D260" s="5"/>
      <c r="E260" s="5"/>
      <c r="F260" s="5"/>
      <c r="G260" s="5"/>
      <c r="H260" s="5"/>
      <c r="I260" s="5"/>
      <c r="J260" s="5"/>
      <c r="K260" s="5"/>
      <c r="L260" s="6"/>
    </row>
    <row r="261" spans="1:12" ht="12.75">
      <c r="A261" s="4" t="s">
        <v>1194</v>
      </c>
      <c r="B261" s="5" t="s">
        <v>317</v>
      </c>
      <c r="C261" s="5"/>
      <c r="D261" s="5"/>
      <c r="E261" s="5"/>
      <c r="F261" s="5"/>
      <c r="G261" s="5"/>
      <c r="H261" s="5"/>
      <c r="I261" s="5"/>
      <c r="J261" s="5"/>
      <c r="K261" s="5"/>
      <c r="L261" s="6"/>
    </row>
    <row r="262" spans="1:12" ht="12.75">
      <c r="A262" s="4"/>
      <c r="B262" s="5"/>
      <c r="C262" s="5"/>
      <c r="D262" s="5"/>
      <c r="E262" s="5"/>
      <c r="F262" s="5"/>
      <c r="G262" s="5"/>
      <c r="H262" s="5"/>
      <c r="I262" s="5"/>
      <c r="J262" s="5"/>
      <c r="K262" s="5"/>
      <c r="L262" s="6"/>
    </row>
    <row r="263" spans="1:12" ht="12.75">
      <c r="A263" s="4"/>
      <c r="B263" s="22" t="s">
        <v>231</v>
      </c>
      <c r="C263" s="5" t="str">
        <f aca="true" t="shared" si="2" ref="C263:D265">J104</f>
        <v>i_SX_pr = </v>
      </c>
      <c r="D263" s="266">
        <f t="shared" si="2"/>
        <v>-0.29784393702201917</v>
      </c>
      <c r="E263" s="190" t="s">
        <v>232</v>
      </c>
      <c r="F263" s="148"/>
      <c r="G263" s="26" t="s">
        <v>350</v>
      </c>
      <c r="H263" s="5" t="s">
        <v>234</v>
      </c>
      <c r="I263" s="5" t="str">
        <f>C263</f>
        <v>i_SX_pr = </v>
      </c>
      <c r="J263" s="187">
        <f>-D263</f>
        <v>0.29784393702201917</v>
      </c>
      <c r="K263" s="5"/>
      <c r="L263" s="6"/>
    </row>
    <row r="264" spans="1:12" ht="12.75">
      <c r="A264" s="4"/>
      <c r="B264" s="5"/>
      <c r="C264" s="5" t="str">
        <f t="shared" si="2"/>
        <v>j_SY_pr = </v>
      </c>
      <c r="D264" s="266">
        <f t="shared" si="2"/>
        <v>1.2720174925462482E-05</v>
      </c>
      <c r="E264" s="5"/>
      <c r="F264" s="5"/>
      <c r="G264" s="26" t="s">
        <v>351</v>
      </c>
      <c r="H264" s="5" t="s">
        <v>234</v>
      </c>
      <c r="I264" s="5" t="str">
        <f>C264</f>
        <v>j_SY_pr = </v>
      </c>
      <c r="J264" s="187">
        <f>-D264</f>
        <v>-1.2720174925462482E-05</v>
      </c>
      <c r="K264" s="5"/>
      <c r="L264" s="6"/>
    </row>
    <row r="265" spans="1:12" ht="12.75">
      <c r="A265" s="4"/>
      <c r="B265" s="5"/>
      <c r="C265" s="5" t="str">
        <f t="shared" si="2"/>
        <v>k_SZ_pr = </v>
      </c>
      <c r="D265" s="266">
        <f t="shared" si="2"/>
        <v>0.9546145761601489</v>
      </c>
      <c r="E265" s="5"/>
      <c r="F265" s="5"/>
      <c r="G265" s="26" t="s">
        <v>352</v>
      </c>
      <c r="H265" s="5" t="s">
        <v>234</v>
      </c>
      <c r="I265" s="5" t="str">
        <f>C265</f>
        <v>k_SZ_pr = </v>
      </c>
      <c r="J265" s="187">
        <f>-D265</f>
        <v>-0.9546145761601489</v>
      </c>
      <c r="K265" s="5"/>
      <c r="L265" s="6"/>
    </row>
    <row r="266" spans="1:12" ht="12.75">
      <c r="A266" s="4"/>
      <c r="B266" s="5"/>
      <c r="C266" s="5"/>
      <c r="D266" s="5"/>
      <c r="E266" s="5"/>
      <c r="F266" s="5"/>
      <c r="G266" s="5"/>
      <c r="H266" s="5"/>
      <c r="I266" s="5"/>
      <c r="J266" s="5"/>
      <c r="K266" s="5"/>
      <c r="L266" s="6"/>
    </row>
    <row r="267" spans="1:12" ht="12.75">
      <c r="A267" s="4" t="s">
        <v>237</v>
      </c>
      <c r="B267" s="5" t="s">
        <v>238</v>
      </c>
      <c r="C267" s="5"/>
      <c r="D267" s="5"/>
      <c r="E267" s="5"/>
      <c r="F267" s="5"/>
      <c r="G267" s="5"/>
      <c r="H267" s="5"/>
      <c r="I267" s="5"/>
      <c r="J267" s="5"/>
      <c r="K267" s="5"/>
      <c r="L267" s="6"/>
    </row>
    <row r="268" spans="1:12" ht="12.75">
      <c r="A268" s="4"/>
      <c r="B268" s="5"/>
      <c r="C268" s="5"/>
      <c r="D268" s="5"/>
      <c r="E268" s="5"/>
      <c r="F268" s="5"/>
      <c r="G268" s="5"/>
      <c r="H268" s="5"/>
      <c r="I268" s="5"/>
      <c r="J268" s="5"/>
      <c r="K268" s="5"/>
      <c r="L268" s="6"/>
    </row>
    <row r="269" spans="1:12" ht="12.75">
      <c r="A269" s="4"/>
      <c r="B269" s="147" t="s">
        <v>239</v>
      </c>
      <c r="C269" s="46" t="s">
        <v>389</v>
      </c>
      <c r="D269" s="46"/>
      <c r="E269" s="46"/>
      <c r="F269" s="26"/>
      <c r="G269" s="52"/>
      <c r="H269" s="5"/>
      <c r="I269" s="22" t="s">
        <v>390</v>
      </c>
      <c r="J269" s="5"/>
      <c r="K269" s="5"/>
      <c r="L269" s="6"/>
    </row>
    <row r="270" spans="1:12" ht="12.75">
      <c r="A270" s="4"/>
      <c r="B270" s="5"/>
      <c r="C270" s="46"/>
      <c r="D270" s="46"/>
      <c r="E270" s="46"/>
      <c r="F270" s="26"/>
      <c r="G270" s="52"/>
      <c r="H270" s="5"/>
      <c r="I270" s="5" t="s">
        <v>391</v>
      </c>
      <c r="J270" s="5"/>
      <c r="K270" s="5"/>
      <c r="L270" s="6"/>
    </row>
    <row r="271" spans="1:12" ht="12.75">
      <c r="A271" s="4"/>
      <c r="B271" s="5"/>
      <c r="C271" s="70"/>
      <c r="D271" s="46"/>
      <c r="E271" s="70" t="s">
        <v>127</v>
      </c>
      <c r="F271" s="484">
        <f>$I$130*J263+$I$131*J264+$I$132*J265</f>
        <v>0.9546145761601489</v>
      </c>
      <c r="G271" s="52"/>
      <c r="H271" s="5"/>
      <c r="I271" s="5" t="s">
        <v>480</v>
      </c>
      <c r="J271" s="5"/>
      <c r="K271" s="5"/>
      <c r="L271" s="6"/>
    </row>
    <row r="272" spans="1:12" ht="12.75">
      <c r="A272" s="4"/>
      <c r="B272" s="5"/>
      <c r="C272" s="46"/>
      <c r="D272" s="46"/>
      <c r="E272" s="70" t="s">
        <v>128</v>
      </c>
      <c r="F272" s="72">
        <f>$I$134</f>
        <v>1</v>
      </c>
      <c r="G272" s="52"/>
      <c r="H272" s="5"/>
      <c r="I272" s="5"/>
      <c r="J272" s="5"/>
      <c r="K272" s="5"/>
      <c r="L272" s="6"/>
    </row>
    <row r="273" spans="1:12" ht="12.75">
      <c r="A273" s="4"/>
      <c r="B273" s="5"/>
      <c r="C273" s="46"/>
      <c r="D273" s="46"/>
      <c r="E273" s="70" t="s">
        <v>129</v>
      </c>
      <c r="F273" s="72">
        <f>SQRT(J263^2+J264^2+J265^2)</f>
        <v>1</v>
      </c>
      <c r="G273" s="52"/>
      <c r="H273" s="5"/>
      <c r="I273" s="5"/>
      <c r="J273" s="5"/>
      <c r="K273" s="5"/>
      <c r="L273" s="6"/>
    </row>
    <row r="274" spans="1:12" ht="12.75">
      <c r="A274" s="4"/>
      <c r="B274" s="5"/>
      <c r="C274" s="85" t="s">
        <v>866</v>
      </c>
      <c r="D274" s="5"/>
      <c r="E274" s="70"/>
      <c r="F274" s="72">
        <f>F271/(F272*F273)</f>
        <v>0.9546145761601489</v>
      </c>
      <c r="G274" s="5"/>
      <c r="H274" s="5"/>
      <c r="I274" s="5"/>
      <c r="J274" s="5"/>
      <c r="K274" s="5"/>
      <c r="L274" s="6"/>
    </row>
    <row r="275" spans="1:12" ht="13.5" thickBot="1">
      <c r="A275" s="4"/>
      <c r="B275" s="5"/>
      <c r="C275" s="46"/>
      <c r="D275" s="46"/>
      <c r="E275" s="46"/>
      <c r="F275" s="26"/>
      <c r="G275" s="52"/>
      <c r="H275" s="5"/>
      <c r="I275" s="88" t="s">
        <v>1647</v>
      </c>
      <c r="J275" s="115"/>
      <c r="K275" s="115"/>
      <c r="L275" s="192"/>
    </row>
    <row r="276" spans="1:12" ht="16.5" thickBot="1">
      <c r="A276" s="4"/>
      <c r="B276" s="5"/>
      <c r="C276" s="16" t="s">
        <v>239</v>
      </c>
      <c r="D276" s="72">
        <f>IF((F272*F273)=0,0,ACOS(F274))</f>
        <v>0.30243328693388283</v>
      </c>
      <c r="E276" s="52" t="s">
        <v>1483</v>
      </c>
      <c r="F276" s="73">
        <f>DEGREES(D276)</f>
        <v>17.328150925580513</v>
      </c>
      <c r="G276" s="46" t="s">
        <v>1233</v>
      </c>
      <c r="H276" s="5"/>
      <c r="I276" s="86" t="str">
        <f>IF((F272*F273)&lt;&gt;1,"Vector A or B Not a Unit Vector","None")</f>
        <v>None</v>
      </c>
      <c r="J276" s="116"/>
      <c r="K276" s="116"/>
      <c r="L276" s="87"/>
    </row>
    <row r="277" spans="1:12" ht="12.75">
      <c r="A277" s="4"/>
      <c r="B277" s="5"/>
      <c r="C277" s="5"/>
      <c r="D277" s="5"/>
      <c r="E277" s="5"/>
      <c r="F277" s="5"/>
      <c r="G277" s="5"/>
      <c r="H277" s="5"/>
      <c r="I277" s="5"/>
      <c r="J277" s="5"/>
      <c r="K277" s="5"/>
      <c r="L277" s="6"/>
    </row>
    <row r="278" spans="1:12" ht="12.75">
      <c r="A278" s="4"/>
      <c r="B278" s="5"/>
      <c r="C278" s="5"/>
      <c r="D278" s="5"/>
      <c r="E278" s="5"/>
      <c r="F278" s="5"/>
      <c r="G278" s="5"/>
      <c r="H278" s="5"/>
      <c r="I278" s="5"/>
      <c r="J278" s="5"/>
      <c r="K278" s="5"/>
      <c r="L278" s="6"/>
    </row>
    <row r="279" spans="1:12" ht="12.75">
      <c r="A279" s="4" t="s">
        <v>534</v>
      </c>
      <c r="B279" s="5" t="s">
        <v>1197</v>
      </c>
      <c r="C279" s="5"/>
      <c r="D279" s="5"/>
      <c r="E279" s="5"/>
      <c r="F279" s="5"/>
      <c r="G279" s="5"/>
      <c r="H279" s="5"/>
      <c r="I279" s="5"/>
      <c r="J279" s="5"/>
      <c r="K279" s="5"/>
      <c r="L279" s="6"/>
    </row>
    <row r="280" spans="1:12" ht="12.75">
      <c r="A280" s="4"/>
      <c r="B280" s="5"/>
      <c r="C280" s="5"/>
      <c r="D280" s="5"/>
      <c r="E280" s="5"/>
      <c r="F280" s="5"/>
      <c r="G280" s="5"/>
      <c r="H280" s="5"/>
      <c r="I280" s="5"/>
      <c r="J280" s="5"/>
      <c r="K280" s="5"/>
      <c r="L280" s="6"/>
    </row>
    <row r="281" spans="1:12" ht="12.75">
      <c r="A281" s="4"/>
      <c r="B281" s="147" t="s">
        <v>1198</v>
      </c>
      <c r="C281" s="5" t="s">
        <v>1507</v>
      </c>
      <c r="D281" s="5"/>
      <c r="E281" s="5"/>
      <c r="F281" s="5"/>
      <c r="G281" s="5"/>
      <c r="H281" s="5"/>
      <c r="I281" s="5"/>
      <c r="J281" s="5"/>
      <c r="K281" s="5"/>
      <c r="L281" s="6"/>
    </row>
    <row r="282" spans="1:12" ht="12.75">
      <c r="A282" s="4"/>
      <c r="B282" s="147"/>
      <c r="C282" s="5"/>
      <c r="D282" s="5"/>
      <c r="E282" s="5"/>
      <c r="F282" s="5"/>
      <c r="G282" s="5"/>
      <c r="H282" s="5"/>
      <c r="I282" s="5"/>
      <c r="J282" s="5"/>
      <c r="K282" s="5"/>
      <c r="L282" s="6"/>
    </row>
    <row r="283" spans="1:12" ht="12.75">
      <c r="A283" s="4"/>
      <c r="B283" s="147"/>
      <c r="C283" s="52" t="s">
        <v>1508</v>
      </c>
      <c r="E283" s="5"/>
      <c r="G283" s="68">
        <f>SIN(D276)*$H$127/$H$125</f>
        <v>0.3116983337736658</v>
      </c>
      <c r="H283" s="5"/>
      <c r="I283" s="5"/>
      <c r="J283" s="5"/>
      <c r="K283" s="5"/>
      <c r="L283" s="6"/>
    </row>
    <row r="284" spans="1:12" ht="12.75">
      <c r="A284" s="4"/>
      <c r="B284" s="147"/>
      <c r="C284" s="5"/>
      <c r="D284" s="5"/>
      <c r="E284" s="5"/>
      <c r="F284" s="5"/>
      <c r="G284" s="5"/>
      <c r="H284" s="5"/>
      <c r="I284" s="5"/>
      <c r="J284" s="5"/>
      <c r="K284" s="5"/>
      <c r="L284" s="6"/>
    </row>
    <row r="285" spans="1:12" ht="12.75">
      <c r="A285" s="4"/>
      <c r="B285" s="147"/>
      <c r="C285" s="126" t="s">
        <v>1509</v>
      </c>
      <c r="E285" s="5"/>
      <c r="F285" s="5"/>
      <c r="G285" s="5"/>
      <c r="H285" s="5"/>
      <c r="I285" s="5"/>
      <c r="J285" s="5"/>
      <c r="K285" s="5"/>
      <c r="L285" s="6"/>
    </row>
    <row r="286" spans="1:12" ht="12.75">
      <c r="A286" s="4"/>
      <c r="B286" s="147"/>
      <c r="C286" s="280" t="s">
        <v>249</v>
      </c>
      <c r="I286" s="5"/>
      <c r="J286" s="5"/>
      <c r="K286" s="5"/>
      <c r="L286" s="6"/>
    </row>
    <row r="287" spans="1:12" ht="13.5" thickBot="1">
      <c r="A287" s="4"/>
      <c r="B287" s="5"/>
      <c r="C287" s="5"/>
      <c r="D287" s="5"/>
      <c r="E287" s="5"/>
      <c r="G287" s="5"/>
      <c r="H287" s="5"/>
      <c r="I287" s="241" t="s">
        <v>250</v>
      </c>
      <c r="J287" s="242"/>
      <c r="K287" s="242"/>
      <c r="L287" s="243"/>
    </row>
    <row r="288" spans="1:12" ht="13.5" thickBot="1">
      <c r="A288" s="4"/>
      <c r="B288" s="5"/>
      <c r="C288" s="147" t="s">
        <v>1198</v>
      </c>
      <c r="D288" s="68">
        <f>IF(G283&lt;=1,ASIN(G283),"")</f>
        <v>0.3169798887032553</v>
      </c>
      <c r="E288" s="52" t="s">
        <v>1483</v>
      </c>
      <c r="F288" s="68">
        <f>IF(D288="","",DEGREES(D288))</f>
        <v>18.161609813223087</v>
      </c>
      <c r="G288" s="5" t="s">
        <v>1233</v>
      </c>
      <c r="H288" s="5"/>
      <c r="I288" s="244" t="str">
        <f>IF(G283&lt;=1,"None","Asin(Zeta)&gt;1 - Vector Does not Intersect Earth")</f>
        <v>None</v>
      </c>
      <c r="J288" s="245"/>
      <c r="K288" s="245"/>
      <c r="L288" s="246"/>
    </row>
    <row r="289" spans="1:12" ht="12.75">
      <c r="A289" s="4"/>
      <c r="B289" s="5"/>
      <c r="C289" s="5"/>
      <c r="D289" s="5"/>
      <c r="E289" s="5"/>
      <c r="F289" s="5"/>
      <c r="G289" s="5"/>
      <c r="H289" s="5"/>
      <c r="I289" s="5"/>
      <c r="J289" s="5"/>
      <c r="K289" s="5"/>
      <c r="L289" s="6"/>
    </row>
    <row r="290" spans="1:12" ht="12.75">
      <c r="A290" s="4"/>
      <c r="B290" s="5"/>
      <c r="C290" s="5" t="s">
        <v>1611</v>
      </c>
      <c r="D290" s="5"/>
      <c r="E290" s="5"/>
      <c r="F290" s="5"/>
      <c r="G290" s="5"/>
      <c r="H290" s="5"/>
      <c r="I290" s="5"/>
      <c r="J290" s="5"/>
      <c r="K290" s="5"/>
      <c r="L290" s="6"/>
    </row>
    <row r="291" spans="1:12" ht="12.75">
      <c r="A291" s="4"/>
      <c r="B291" s="5"/>
      <c r="C291" s="5" t="s">
        <v>1519</v>
      </c>
      <c r="D291" s="5"/>
      <c r="E291" s="5"/>
      <c r="F291" s="5"/>
      <c r="G291" s="5"/>
      <c r="H291" s="5"/>
      <c r="I291" s="5"/>
      <c r="J291" s="5"/>
      <c r="K291" s="5"/>
      <c r="L291" s="6"/>
    </row>
    <row r="292" spans="1:12" ht="12.75">
      <c r="A292" s="4"/>
      <c r="B292" s="5"/>
      <c r="C292" s="5"/>
      <c r="D292" s="5" t="s">
        <v>1384</v>
      </c>
      <c r="E292" s="5"/>
      <c r="F292" s="5"/>
      <c r="G292" s="5"/>
      <c r="H292" s="5"/>
      <c r="I292" s="5"/>
      <c r="J292" s="5"/>
      <c r="K292" s="5"/>
      <c r="L292" s="6"/>
    </row>
    <row r="293" spans="1:12" ht="12.75">
      <c r="A293" s="4"/>
      <c r="B293" s="5"/>
      <c r="C293" s="5"/>
      <c r="D293" s="5" t="s">
        <v>1060</v>
      </c>
      <c r="E293" s="5"/>
      <c r="F293" s="5"/>
      <c r="G293" s="5"/>
      <c r="H293" s="5"/>
      <c r="I293" s="5"/>
      <c r="J293" s="5"/>
      <c r="K293" s="5"/>
      <c r="L293" s="6"/>
    </row>
    <row r="294" spans="1:12" ht="12.75">
      <c r="A294" s="4"/>
      <c r="B294" s="5"/>
      <c r="C294" s="5"/>
      <c r="D294" s="5"/>
      <c r="E294" s="5"/>
      <c r="F294" s="5"/>
      <c r="G294" s="5"/>
      <c r="H294" s="5"/>
      <c r="I294" s="5"/>
      <c r="J294" s="5"/>
      <c r="K294" s="5"/>
      <c r="L294" s="6"/>
    </row>
    <row r="295" spans="1:12" ht="12.75">
      <c r="A295" s="4"/>
      <c r="B295" s="5"/>
      <c r="C295" s="22" t="s">
        <v>1061</v>
      </c>
      <c r="D295" s="68">
        <f>IF(G283&gt;1,"",IF(D288&lt;(PI()/2),PI()-D288,D288))</f>
        <v>2.824612764886538</v>
      </c>
      <c r="E295" s="5" t="s">
        <v>599</v>
      </c>
      <c r="F295" s="68">
        <f>IF(D295="","",DEGREES(D295))</f>
        <v>161.8383901867769</v>
      </c>
      <c r="G295" s="5" t="s">
        <v>1233</v>
      </c>
      <c r="H295" s="5"/>
      <c r="I295" s="5"/>
      <c r="J295" s="5"/>
      <c r="K295" s="5"/>
      <c r="L295" s="6"/>
    </row>
    <row r="296" spans="1:12" ht="12.75">
      <c r="A296" s="4"/>
      <c r="B296" s="5"/>
      <c r="C296" s="5"/>
      <c r="D296" s="5"/>
      <c r="E296" s="5"/>
      <c r="F296" s="5"/>
      <c r="G296" s="5"/>
      <c r="H296" s="5"/>
      <c r="I296" s="5"/>
      <c r="J296" s="5"/>
      <c r="K296" s="5"/>
      <c r="L296" s="6"/>
    </row>
    <row r="297" spans="1:12" ht="12.75">
      <c r="A297" s="4"/>
      <c r="B297" s="5"/>
      <c r="C297" s="5"/>
      <c r="D297" s="5"/>
      <c r="E297" s="5"/>
      <c r="F297" s="5"/>
      <c r="G297" s="5"/>
      <c r="H297" s="5"/>
      <c r="I297" s="5"/>
      <c r="J297" s="5"/>
      <c r="K297" s="5"/>
      <c r="L297" s="6"/>
    </row>
    <row r="298" spans="1:12" ht="12.75">
      <c r="A298" s="4" t="s">
        <v>600</v>
      </c>
      <c r="B298" s="5" t="s">
        <v>1599</v>
      </c>
      <c r="C298" s="5"/>
      <c r="D298" s="5"/>
      <c r="E298" s="5"/>
      <c r="F298" s="5"/>
      <c r="G298" s="5"/>
      <c r="H298" s="5"/>
      <c r="I298" s="5"/>
      <c r="J298" s="5"/>
      <c r="K298" s="5"/>
      <c r="L298" s="6"/>
    </row>
    <row r="299" spans="1:12" ht="12.75">
      <c r="A299" s="4"/>
      <c r="B299" s="5"/>
      <c r="C299" s="5"/>
      <c r="D299" s="5"/>
      <c r="E299" s="5"/>
      <c r="F299" s="5"/>
      <c r="G299" s="5"/>
      <c r="H299" s="5"/>
      <c r="I299" s="5"/>
      <c r="J299" s="5"/>
      <c r="K299" s="5"/>
      <c r="L299" s="6"/>
    </row>
    <row r="300" spans="1:12" ht="12.75">
      <c r="A300" s="4"/>
      <c r="B300" s="5"/>
      <c r="C300" s="5" t="s">
        <v>762</v>
      </c>
      <c r="D300" s="5"/>
      <c r="E300" s="5"/>
      <c r="F300" s="5"/>
      <c r="G300" s="5"/>
      <c r="H300" s="5"/>
      <c r="I300" s="5"/>
      <c r="J300" s="5"/>
      <c r="K300" s="5"/>
      <c r="L300" s="6"/>
    </row>
    <row r="301" spans="1:12" ht="13.5" thickBot="1">
      <c r="A301" s="4"/>
      <c r="B301" s="5"/>
      <c r="C301" s="5"/>
      <c r="D301" s="5"/>
      <c r="E301" s="5"/>
      <c r="F301" s="5"/>
      <c r="G301" s="5"/>
      <c r="H301" s="5"/>
      <c r="I301" s="88" t="s">
        <v>1648</v>
      </c>
      <c r="J301" s="115"/>
      <c r="K301" s="115"/>
      <c r="L301" s="192"/>
    </row>
    <row r="302" spans="1:12" ht="13.5" thickBot="1">
      <c r="A302" s="4"/>
      <c r="B302" s="22" t="s">
        <v>1781</v>
      </c>
      <c r="C302" s="5"/>
      <c r="D302" s="68">
        <f>IF(G283&gt;1,"",PI()-D276-D295)</f>
        <v>0.014546601769372725</v>
      </c>
      <c r="E302" s="5" t="s">
        <v>599</v>
      </c>
      <c r="F302" s="68">
        <f>IF(G283&gt;1,"",DEGREES(D302))</f>
        <v>0.8334588876425928</v>
      </c>
      <c r="G302" s="5" t="s">
        <v>1233</v>
      </c>
      <c r="H302" s="5"/>
      <c r="I302" s="86" t="str">
        <f>IF(G283&gt;1,"None",IF(F302&lt;0,"Remaining Angle Less then Zero","None"))</f>
        <v>None</v>
      </c>
      <c r="J302" s="116"/>
      <c r="K302" s="116"/>
      <c r="L302" s="87"/>
    </row>
    <row r="303" spans="1:12" ht="12.75">
      <c r="A303" s="4"/>
      <c r="B303" s="5"/>
      <c r="C303" s="5"/>
      <c r="D303" s="5"/>
      <c r="E303" s="5"/>
      <c r="F303" s="5"/>
      <c r="G303" s="5"/>
      <c r="H303" s="5"/>
      <c r="I303" s="5"/>
      <c r="J303" s="5"/>
      <c r="K303" s="5"/>
      <c r="L303" s="6"/>
    </row>
    <row r="304" spans="1:12" ht="12.75">
      <c r="A304" s="4"/>
      <c r="B304" s="5"/>
      <c r="C304" s="5"/>
      <c r="D304" s="5"/>
      <c r="E304" s="5"/>
      <c r="F304" s="5"/>
      <c r="G304" s="5"/>
      <c r="H304" s="5"/>
      <c r="I304" s="5"/>
      <c r="J304" s="5"/>
      <c r="K304" s="5"/>
      <c r="L304" s="6"/>
    </row>
    <row r="305" spans="1:12" ht="12.75">
      <c r="A305" s="4" t="s">
        <v>1782</v>
      </c>
      <c r="B305" s="5" t="s">
        <v>516</v>
      </c>
      <c r="C305" s="5"/>
      <c r="D305" s="5"/>
      <c r="E305" s="5"/>
      <c r="F305" s="5"/>
      <c r="G305" s="5"/>
      <c r="H305" s="5"/>
      <c r="I305" s="5"/>
      <c r="J305" s="5"/>
      <c r="K305" s="5"/>
      <c r="L305" s="6"/>
    </row>
    <row r="306" spans="1:12" ht="13.5" thickBot="1">
      <c r="A306" s="4"/>
      <c r="B306" s="5"/>
      <c r="C306" s="5"/>
      <c r="D306" s="5"/>
      <c r="E306" s="5"/>
      <c r="F306" s="5"/>
      <c r="G306" s="5"/>
      <c r="H306" s="5"/>
      <c r="I306" s="88" t="s">
        <v>685</v>
      </c>
      <c r="J306" s="115"/>
      <c r="K306" s="115"/>
      <c r="L306" s="192"/>
    </row>
    <row r="307" spans="1:12" ht="13.5" thickBot="1">
      <c r="A307" s="4"/>
      <c r="B307" s="5"/>
      <c r="C307" s="22" t="s">
        <v>772</v>
      </c>
      <c r="D307" s="5"/>
      <c r="E307" s="5"/>
      <c r="F307" s="189">
        <f>IF(G283&gt;1,"",SQRT($H$127^2+$H$125^2-(2*$H$127*$H$125*COS(D302))))</f>
        <v>311114.02263908304</v>
      </c>
      <c r="G307" s="5" t="s">
        <v>167</v>
      </c>
      <c r="H307" s="5"/>
      <c r="I307" s="86" t="str">
        <f>IF(G283&gt;1,"None",IF(($H$218^2+$I$89^2-(2*$H$218*$I$89*COS(D302)))&lt;0,"Taking Square Root of Negative Number","None"))</f>
        <v>None</v>
      </c>
      <c r="J307" s="116"/>
      <c r="K307" s="116"/>
      <c r="L307" s="87"/>
    </row>
    <row r="308" spans="1:12" ht="12.75">
      <c r="A308" s="4"/>
      <c r="B308" s="5"/>
      <c r="C308" s="5"/>
      <c r="D308" s="5"/>
      <c r="E308" s="5"/>
      <c r="F308" s="5"/>
      <c r="G308" s="5"/>
      <c r="H308" s="5"/>
      <c r="I308" s="5"/>
      <c r="J308" s="5"/>
      <c r="K308" s="5"/>
      <c r="L308" s="6"/>
    </row>
    <row r="309" spans="1:12" ht="12.75">
      <c r="A309" s="4" t="s">
        <v>773</v>
      </c>
      <c r="B309" s="5" t="s">
        <v>1520</v>
      </c>
      <c r="C309" s="5"/>
      <c r="D309" s="5"/>
      <c r="E309" s="5"/>
      <c r="F309" s="5"/>
      <c r="G309" s="5"/>
      <c r="H309" s="5"/>
      <c r="I309" s="5"/>
      <c r="J309" s="5"/>
      <c r="K309" s="5"/>
      <c r="L309" s="6"/>
    </row>
    <row r="310" spans="1:12" ht="13.5" thickBot="1">
      <c r="A310" s="4"/>
      <c r="B310" s="5"/>
      <c r="C310" s="5"/>
      <c r="D310" s="5"/>
      <c r="E310" s="5"/>
      <c r="F310" s="5"/>
      <c r="G310" s="5"/>
      <c r="H310" s="5"/>
      <c r="I310" s="5"/>
      <c r="J310" s="5"/>
      <c r="K310" s="5"/>
      <c r="L310" s="6"/>
    </row>
    <row r="311" spans="1:17" ht="13.5" thickBot="1">
      <c r="A311" s="4"/>
      <c r="B311" s="5"/>
      <c r="C311" s="5" t="s">
        <v>1521</v>
      </c>
      <c r="D311" s="5" t="s">
        <v>1432</v>
      </c>
      <c r="E311" s="5"/>
      <c r="F311" s="5"/>
      <c r="G311" s="5"/>
      <c r="H311" s="5"/>
      <c r="I311" s="189">
        <f>IF(G283&gt;1,"",F307*J263)</f>
        <v>92663.4253655821</v>
      </c>
      <c r="J311" s="5" t="s">
        <v>167</v>
      </c>
      <c r="K311" s="513">
        <f>I311-Intersection_Calc!I487</f>
        <v>60142.87468791634</v>
      </c>
      <c r="L311" s="504" t="s">
        <v>978</v>
      </c>
      <c r="M311" s="506"/>
      <c r="N311" s="517" t="s">
        <v>990</v>
      </c>
      <c r="O311" s="518"/>
      <c r="P311" s="518"/>
      <c r="Q311" s="519"/>
    </row>
    <row r="312" spans="1:17" ht="13.5" thickBot="1">
      <c r="A312" s="4"/>
      <c r="B312" s="5"/>
      <c r="C312" s="5" t="s">
        <v>1433</v>
      </c>
      <c r="D312" s="5" t="s">
        <v>1434</v>
      </c>
      <c r="E312" s="5"/>
      <c r="F312" s="5"/>
      <c r="G312" s="5"/>
      <c r="H312" s="5"/>
      <c r="I312" s="189">
        <f>IF(G283&gt;1,"",F307*J264)</f>
        <v>-3.957424789733431</v>
      </c>
      <c r="J312" s="5" t="s">
        <v>167</v>
      </c>
      <c r="K312" s="513">
        <f>I312-Intersection_Calc!I488</f>
        <v>22333.09205367963</v>
      </c>
      <c r="L312" s="504" t="s">
        <v>982</v>
      </c>
      <c r="M312" s="506"/>
      <c r="N312" s="520" t="str">
        <f>IF($E$66=1,IF($K$39=1,IF(SUM(K311:K313)&lt;&gt;0,"Sum of Comparison Not Equal to Zero","None"),"None"),"None")</f>
        <v>None</v>
      </c>
      <c r="O312" s="116"/>
      <c r="P312" s="116"/>
      <c r="Q312" s="87"/>
    </row>
    <row r="313" spans="1:13" ht="12.75">
      <c r="A313" s="4"/>
      <c r="B313" s="5"/>
      <c r="C313" s="5" t="s">
        <v>1435</v>
      </c>
      <c r="D313" s="5" t="s">
        <v>284</v>
      </c>
      <c r="E313" s="5"/>
      <c r="F313" s="5"/>
      <c r="G313" s="5"/>
      <c r="H313" s="5"/>
      <c r="I313" s="189">
        <f>IF(G283&gt;1,"",F307*J265)</f>
        <v>-296993.9808590872</v>
      </c>
      <c r="J313" s="5" t="s">
        <v>167</v>
      </c>
      <c r="K313" s="513">
        <f>I313-Intersection_Calc!I489</f>
        <v>-551.8094604383223</v>
      </c>
      <c r="L313" s="504" t="s">
        <v>980</v>
      </c>
      <c r="M313" s="506"/>
    </row>
    <row r="314" spans="1:12" ht="12.75">
      <c r="A314" s="4"/>
      <c r="B314" s="5"/>
      <c r="C314" s="5"/>
      <c r="D314" s="5"/>
      <c r="E314" s="5"/>
      <c r="F314" s="5"/>
      <c r="G314" s="5"/>
      <c r="H314" s="5"/>
      <c r="I314" s="5"/>
      <c r="J314" s="5"/>
      <c r="K314" s="5"/>
      <c r="L314" s="6"/>
    </row>
    <row r="315" spans="1:12" ht="13.5" thickBot="1">
      <c r="A315" s="7"/>
      <c r="B315" s="8"/>
      <c r="C315" s="8"/>
      <c r="D315" s="8"/>
      <c r="E315" s="8"/>
      <c r="F315" s="8"/>
      <c r="G315" s="8"/>
      <c r="H315" s="8"/>
      <c r="I315" s="8"/>
      <c r="J315" s="8"/>
      <c r="K315" s="8"/>
      <c r="L315" s="9"/>
    </row>
    <row r="317" ht="13.5" thickBot="1"/>
    <row r="318" spans="1:12" ht="12.75">
      <c r="A318" s="1"/>
      <c r="B318" s="2"/>
      <c r="C318" s="2"/>
      <c r="D318" s="2"/>
      <c r="E318" s="2"/>
      <c r="F318" s="2"/>
      <c r="G318" s="2"/>
      <c r="H318" s="2"/>
      <c r="I318" s="2"/>
      <c r="J318" s="2"/>
      <c r="K318" s="2"/>
      <c r="L318" s="3"/>
    </row>
    <row r="319" spans="1:12" ht="15.75">
      <c r="A319" s="14" t="s">
        <v>333</v>
      </c>
      <c r="B319" s="46"/>
      <c r="C319" s="5"/>
      <c r="D319" s="5"/>
      <c r="E319" s="5"/>
      <c r="F319" s="5"/>
      <c r="G319" s="5"/>
      <c r="H319" s="5"/>
      <c r="I319" s="5"/>
      <c r="J319" s="5"/>
      <c r="K319" s="5"/>
      <c r="L319" s="6"/>
    </row>
    <row r="320" spans="1:12" ht="12.75">
      <c r="A320" s="4"/>
      <c r="B320" s="5"/>
      <c r="C320" s="5"/>
      <c r="D320" s="5"/>
      <c r="E320" s="5"/>
      <c r="F320" s="5"/>
      <c r="G320" s="5"/>
      <c r="H320" s="5"/>
      <c r="I320" s="5"/>
      <c r="J320" s="5"/>
      <c r="K320" s="5"/>
      <c r="L320" s="6"/>
    </row>
    <row r="321" spans="1:12" ht="12.75">
      <c r="A321" s="4" t="s">
        <v>1194</v>
      </c>
      <c r="B321" s="5" t="s">
        <v>317</v>
      </c>
      <c r="C321" s="5"/>
      <c r="D321" s="5"/>
      <c r="E321" s="5"/>
      <c r="F321" s="5"/>
      <c r="G321" s="5"/>
      <c r="H321" s="5"/>
      <c r="I321" s="5"/>
      <c r="J321" s="5"/>
      <c r="K321" s="5"/>
      <c r="L321" s="6"/>
    </row>
    <row r="322" spans="1:12" ht="12.75">
      <c r="A322" s="4"/>
      <c r="B322" s="5"/>
      <c r="C322" s="5"/>
      <c r="D322" s="5"/>
      <c r="E322" s="5"/>
      <c r="F322" s="5"/>
      <c r="G322" s="5"/>
      <c r="H322" s="5"/>
      <c r="I322" s="5"/>
      <c r="J322" s="5"/>
      <c r="K322" s="5"/>
      <c r="L322" s="6"/>
    </row>
    <row r="323" spans="1:12" ht="12.75">
      <c r="A323" s="4"/>
      <c r="B323" s="22" t="s">
        <v>231</v>
      </c>
      <c r="C323" s="5" t="str">
        <f aca="true" t="shared" si="3" ref="C323:D325">J112</f>
        <v>i_SX_pb= </v>
      </c>
      <c r="D323" s="266">
        <f t="shared" si="3"/>
        <v>-0.29786118606632717</v>
      </c>
      <c r="E323" s="190" t="s">
        <v>232</v>
      </c>
      <c r="F323" s="148"/>
      <c r="G323" s="26" t="s">
        <v>350</v>
      </c>
      <c r="H323" s="5" t="s">
        <v>234</v>
      </c>
      <c r="I323" s="5" t="str">
        <f>C323</f>
        <v>i_SX_pb= </v>
      </c>
      <c r="J323" s="187">
        <f>-D323</f>
        <v>0.29786118606632717</v>
      </c>
      <c r="K323" s="5"/>
      <c r="L323" s="6"/>
    </row>
    <row r="324" spans="1:12" ht="12.75">
      <c r="A324" s="4"/>
      <c r="B324" s="5"/>
      <c r="C324" s="5" t="str">
        <f t="shared" si="3"/>
        <v>j_SY_pb = </v>
      </c>
      <c r="D324" s="266">
        <f t="shared" si="3"/>
        <v>-3.726480461017369E-05</v>
      </c>
      <c r="E324" s="5"/>
      <c r="F324" s="5"/>
      <c r="G324" s="26" t="s">
        <v>351</v>
      </c>
      <c r="H324" s="5" t="s">
        <v>234</v>
      </c>
      <c r="I324" s="5" t="str">
        <f>C324</f>
        <v>j_SY_pb = </v>
      </c>
      <c r="J324" s="187">
        <f>-D324</f>
        <v>3.726480461017369E-05</v>
      </c>
      <c r="K324" s="5"/>
      <c r="L324" s="6"/>
    </row>
    <row r="325" spans="1:12" ht="12.75">
      <c r="A325" s="4"/>
      <c r="B325" s="5"/>
      <c r="C325" s="5" t="str">
        <f t="shared" si="3"/>
        <v>k_SZ_pb = </v>
      </c>
      <c r="D325" s="266">
        <f t="shared" si="3"/>
        <v>0.9546091935690203</v>
      </c>
      <c r="E325" s="5"/>
      <c r="F325" s="5"/>
      <c r="G325" s="26" t="s">
        <v>352</v>
      </c>
      <c r="H325" s="5" t="s">
        <v>234</v>
      </c>
      <c r="I325" s="5" t="str">
        <f>C325</f>
        <v>k_SZ_pb = </v>
      </c>
      <c r="J325" s="187">
        <f>-D325</f>
        <v>-0.9546091935690203</v>
      </c>
      <c r="K325" s="5"/>
      <c r="L325" s="6"/>
    </row>
    <row r="326" spans="1:12" ht="12.75">
      <c r="A326" s="4"/>
      <c r="B326" s="5"/>
      <c r="C326" s="5"/>
      <c r="D326" s="5"/>
      <c r="E326" s="5"/>
      <c r="F326" s="5"/>
      <c r="G326" s="5"/>
      <c r="H326" s="5"/>
      <c r="I326" s="5"/>
      <c r="J326" s="5"/>
      <c r="K326" s="5"/>
      <c r="L326" s="6"/>
    </row>
    <row r="327" spans="1:12" ht="12.75">
      <c r="A327" s="4" t="s">
        <v>237</v>
      </c>
      <c r="B327" s="5" t="s">
        <v>238</v>
      </c>
      <c r="C327" s="5"/>
      <c r="D327" s="5"/>
      <c r="E327" s="5"/>
      <c r="F327" s="5"/>
      <c r="G327" s="5"/>
      <c r="H327" s="5"/>
      <c r="I327" s="5"/>
      <c r="J327" s="5"/>
      <c r="K327" s="5"/>
      <c r="L327" s="6"/>
    </row>
    <row r="328" spans="1:12" ht="12.75">
      <c r="A328" s="4"/>
      <c r="B328" s="5"/>
      <c r="C328" s="5"/>
      <c r="D328" s="5"/>
      <c r="E328" s="5"/>
      <c r="F328" s="5"/>
      <c r="G328" s="5"/>
      <c r="H328" s="5"/>
      <c r="I328" s="5"/>
      <c r="J328" s="5"/>
      <c r="K328" s="5"/>
      <c r="L328" s="6"/>
    </row>
    <row r="329" spans="1:12" ht="12.75">
      <c r="A329" s="4"/>
      <c r="B329" s="147" t="s">
        <v>239</v>
      </c>
      <c r="C329" s="46" t="s">
        <v>389</v>
      </c>
      <c r="D329" s="46"/>
      <c r="E329" s="46"/>
      <c r="F329" s="26"/>
      <c r="G329" s="52"/>
      <c r="H329" s="5"/>
      <c r="I329" s="22" t="s">
        <v>390</v>
      </c>
      <c r="J329" s="5"/>
      <c r="K329" s="5"/>
      <c r="L329" s="6"/>
    </row>
    <row r="330" spans="1:12" ht="12.75">
      <c r="A330" s="4"/>
      <c r="B330" s="5"/>
      <c r="C330" s="46"/>
      <c r="D330" s="46"/>
      <c r="E330" s="46"/>
      <c r="F330" s="26"/>
      <c r="G330" s="52"/>
      <c r="H330" s="5"/>
      <c r="I330" s="5" t="s">
        <v>391</v>
      </c>
      <c r="J330" s="5"/>
      <c r="K330" s="5"/>
      <c r="L330" s="6"/>
    </row>
    <row r="331" spans="1:12" ht="12.75">
      <c r="A331" s="4"/>
      <c r="B331" s="5"/>
      <c r="C331" s="70"/>
      <c r="D331" s="46"/>
      <c r="E331" s="70" t="s">
        <v>127</v>
      </c>
      <c r="F331" s="484">
        <f>$I$130*J323+$I$131*J324+$I$132*J325</f>
        <v>0.9546091935690203</v>
      </c>
      <c r="G331" s="52"/>
      <c r="H331" s="5"/>
      <c r="I331" s="5" t="s">
        <v>480</v>
      </c>
      <c r="J331" s="5"/>
      <c r="K331" s="5"/>
      <c r="L331" s="6"/>
    </row>
    <row r="332" spans="1:12" ht="12.75">
      <c r="A332" s="4"/>
      <c r="B332" s="5"/>
      <c r="C332" s="46"/>
      <c r="D332" s="46"/>
      <c r="E332" s="70" t="s">
        <v>128</v>
      </c>
      <c r="F332" s="72">
        <f>$I$134</f>
        <v>1</v>
      </c>
      <c r="G332" s="52"/>
      <c r="H332" s="5"/>
      <c r="I332" s="5"/>
      <c r="J332" s="5"/>
      <c r="K332" s="5"/>
      <c r="L332" s="6"/>
    </row>
    <row r="333" spans="1:12" ht="12.75">
      <c r="A333" s="4"/>
      <c r="B333" s="5"/>
      <c r="C333" s="46"/>
      <c r="D333" s="46"/>
      <c r="E333" s="70" t="s">
        <v>129</v>
      </c>
      <c r="F333" s="72">
        <f>SQRT(J323^2+J324^2+J325^2)</f>
        <v>1</v>
      </c>
      <c r="G333" s="52"/>
      <c r="H333" s="5"/>
      <c r="I333" s="5"/>
      <c r="J333" s="5"/>
      <c r="K333" s="5"/>
      <c r="L333" s="6"/>
    </row>
    <row r="334" spans="1:12" ht="12.75">
      <c r="A334" s="4"/>
      <c r="B334" s="5"/>
      <c r="C334" s="85" t="s">
        <v>866</v>
      </c>
      <c r="D334" s="5"/>
      <c r="E334" s="70"/>
      <c r="F334" s="72">
        <f>F331/(F332*F333)</f>
        <v>0.9546091935690203</v>
      </c>
      <c r="G334" s="5"/>
      <c r="H334" s="5"/>
      <c r="I334" s="5"/>
      <c r="J334" s="5"/>
      <c r="K334" s="5"/>
      <c r="L334" s="6"/>
    </row>
    <row r="335" spans="1:12" ht="13.5" thickBot="1">
      <c r="A335" s="4"/>
      <c r="B335" s="5"/>
      <c r="C335" s="46"/>
      <c r="D335" s="46"/>
      <c r="E335" s="46"/>
      <c r="F335" s="26"/>
      <c r="G335" s="52"/>
      <c r="H335" s="5"/>
      <c r="I335" s="88" t="s">
        <v>1653</v>
      </c>
      <c r="J335" s="115"/>
      <c r="K335" s="115"/>
      <c r="L335" s="192"/>
    </row>
    <row r="336" spans="1:12" ht="16.5" thickBot="1">
      <c r="A336" s="4"/>
      <c r="B336" s="5"/>
      <c r="C336" s="16" t="s">
        <v>239</v>
      </c>
      <c r="D336" s="72">
        <f>IF((F332*F333)=0,0,ACOS(F334))</f>
        <v>0.30245135826110925</v>
      </c>
      <c r="E336" s="52" t="s">
        <v>1483</v>
      </c>
      <c r="F336" s="73">
        <f>DEGREES(D336)</f>
        <v>17.329186336360785</v>
      </c>
      <c r="G336" s="46" t="s">
        <v>1233</v>
      </c>
      <c r="H336" s="5"/>
      <c r="I336" s="86" t="str">
        <f>IF((F332*F333)&lt;&gt;1,"Vector A or B Not a Unit Vector","None")</f>
        <v>None</v>
      </c>
      <c r="J336" s="116"/>
      <c r="K336" s="116"/>
      <c r="L336" s="87"/>
    </row>
    <row r="337" spans="1:12" ht="12.75">
      <c r="A337" s="4"/>
      <c r="B337" s="5"/>
      <c r="C337" s="5"/>
      <c r="D337" s="5"/>
      <c r="E337" s="5"/>
      <c r="F337" s="5"/>
      <c r="G337" s="5"/>
      <c r="H337" s="5"/>
      <c r="I337" s="5"/>
      <c r="J337" s="5"/>
      <c r="K337" s="5"/>
      <c r="L337" s="6"/>
    </row>
    <row r="338" spans="1:12" ht="12.75">
      <c r="A338" s="4"/>
      <c r="B338" s="5"/>
      <c r="C338" s="5"/>
      <c r="D338" s="5"/>
      <c r="E338" s="5"/>
      <c r="F338" s="5"/>
      <c r="G338" s="5"/>
      <c r="H338" s="5"/>
      <c r="I338" s="5"/>
      <c r="J338" s="5"/>
      <c r="K338" s="5"/>
      <c r="L338" s="6"/>
    </row>
    <row r="339" spans="1:12" ht="12.75">
      <c r="A339" s="4" t="s">
        <v>534</v>
      </c>
      <c r="B339" s="5" t="s">
        <v>1197</v>
      </c>
      <c r="C339" s="5"/>
      <c r="D339" s="5"/>
      <c r="E339" s="5"/>
      <c r="F339" s="5"/>
      <c r="G339" s="5"/>
      <c r="H339" s="5"/>
      <c r="I339" s="5"/>
      <c r="J339" s="5"/>
      <c r="K339" s="5"/>
      <c r="L339" s="6"/>
    </row>
    <row r="340" spans="1:12" ht="12.75">
      <c r="A340" s="4"/>
      <c r="B340" s="5"/>
      <c r="C340" s="5"/>
      <c r="D340" s="5"/>
      <c r="E340" s="5"/>
      <c r="F340" s="5"/>
      <c r="G340" s="5"/>
      <c r="H340" s="5"/>
      <c r="I340" s="5"/>
      <c r="J340" s="5"/>
      <c r="K340" s="5"/>
      <c r="L340" s="6"/>
    </row>
    <row r="341" spans="1:12" ht="12.75">
      <c r="A341" s="4"/>
      <c r="B341" s="147" t="s">
        <v>1198</v>
      </c>
      <c r="C341" s="5" t="s">
        <v>1507</v>
      </c>
      <c r="D341" s="5"/>
      <c r="E341" s="5"/>
      <c r="F341" s="5"/>
      <c r="G341" s="5"/>
      <c r="H341" s="5"/>
      <c r="I341" s="5"/>
      <c r="J341" s="5"/>
      <c r="K341" s="5"/>
      <c r="L341" s="6"/>
    </row>
    <row r="342" spans="1:12" ht="12.75">
      <c r="A342" s="4"/>
      <c r="B342" s="147"/>
      <c r="C342" s="5"/>
      <c r="D342" s="5"/>
      <c r="E342" s="5"/>
      <c r="F342" s="5"/>
      <c r="G342" s="5"/>
      <c r="H342" s="5"/>
      <c r="I342" s="5"/>
      <c r="J342" s="5"/>
      <c r="K342" s="5"/>
      <c r="L342" s="6"/>
    </row>
    <row r="343" spans="1:12" ht="12.75">
      <c r="A343" s="4"/>
      <c r="B343" s="147"/>
      <c r="C343" s="52" t="s">
        <v>1508</v>
      </c>
      <c r="E343" s="5"/>
      <c r="G343" s="68">
        <f>SIN(D336)*$H$127/$H$125</f>
        <v>0.31171638732326046</v>
      </c>
      <c r="H343" s="5"/>
      <c r="I343" s="5"/>
      <c r="J343" s="5"/>
      <c r="K343" s="5"/>
      <c r="L343" s="6"/>
    </row>
    <row r="344" spans="1:12" ht="12.75">
      <c r="A344" s="4"/>
      <c r="B344" s="147"/>
      <c r="C344" s="5"/>
      <c r="D344" s="5"/>
      <c r="E344" s="5"/>
      <c r="F344" s="5"/>
      <c r="G344" s="5"/>
      <c r="H344" s="5"/>
      <c r="I344" s="5"/>
      <c r="J344" s="5"/>
      <c r="K344" s="5"/>
      <c r="L344" s="6"/>
    </row>
    <row r="345" spans="1:12" ht="12.75">
      <c r="A345" s="4"/>
      <c r="B345" s="147"/>
      <c r="C345" s="126" t="s">
        <v>1509</v>
      </c>
      <c r="E345" s="5"/>
      <c r="F345" s="5"/>
      <c r="G345" s="5"/>
      <c r="H345" s="5"/>
      <c r="I345" s="5"/>
      <c r="J345" s="5"/>
      <c r="K345" s="5"/>
      <c r="L345" s="6"/>
    </row>
    <row r="346" spans="1:12" ht="12.75">
      <c r="A346" s="4"/>
      <c r="B346" s="147"/>
      <c r="C346" s="280" t="s">
        <v>249</v>
      </c>
      <c r="I346" s="5"/>
      <c r="J346" s="5"/>
      <c r="K346" s="5"/>
      <c r="L346" s="6"/>
    </row>
    <row r="347" spans="1:12" ht="13.5" thickBot="1">
      <c r="A347" s="4"/>
      <c r="B347" s="5"/>
      <c r="C347" s="5"/>
      <c r="D347" s="5"/>
      <c r="E347" s="5"/>
      <c r="G347" s="5"/>
      <c r="H347" s="5"/>
      <c r="I347" s="241" t="s">
        <v>250</v>
      </c>
      <c r="J347" s="242"/>
      <c r="K347" s="242"/>
      <c r="L347" s="243"/>
    </row>
    <row r="348" spans="1:12" ht="13.5" thickBot="1">
      <c r="A348" s="4"/>
      <c r="B348" s="5"/>
      <c r="C348" s="147" t="s">
        <v>1198</v>
      </c>
      <c r="D348" s="68">
        <f>IF(G343&lt;=1,ASIN(G343),"")</f>
        <v>0.3169988888765897</v>
      </c>
      <c r="E348" s="52" t="s">
        <v>1483</v>
      </c>
      <c r="F348" s="68">
        <f>IF(D348="","",DEGREES(D348))</f>
        <v>18.16269844296517</v>
      </c>
      <c r="G348" s="5" t="s">
        <v>1233</v>
      </c>
      <c r="H348" s="5"/>
      <c r="I348" s="244" t="str">
        <f>IF(G343&lt;=1,"None","Asin(Zeta)&gt;1 - Vector Does not Intersect Earth")</f>
        <v>None</v>
      </c>
      <c r="J348" s="245"/>
      <c r="K348" s="245"/>
      <c r="L348" s="246"/>
    </row>
    <row r="349" spans="1:12" ht="12.75">
      <c r="A349" s="4"/>
      <c r="B349" s="5"/>
      <c r="C349" s="5"/>
      <c r="D349" s="5"/>
      <c r="E349" s="5"/>
      <c r="F349" s="5"/>
      <c r="G349" s="5"/>
      <c r="H349" s="5"/>
      <c r="I349" s="5"/>
      <c r="J349" s="5"/>
      <c r="K349" s="5"/>
      <c r="L349" s="6"/>
    </row>
    <row r="350" spans="1:12" ht="12.75">
      <c r="A350" s="4"/>
      <c r="B350" s="5"/>
      <c r="C350" s="5" t="s">
        <v>1611</v>
      </c>
      <c r="D350" s="5"/>
      <c r="E350" s="5"/>
      <c r="F350" s="5"/>
      <c r="G350" s="5"/>
      <c r="H350" s="5"/>
      <c r="I350" s="5"/>
      <c r="J350" s="5"/>
      <c r="K350" s="5"/>
      <c r="L350" s="6"/>
    </row>
    <row r="351" spans="1:12" ht="12.75">
      <c r="A351" s="4"/>
      <c r="B351" s="5"/>
      <c r="C351" s="5" t="s">
        <v>1519</v>
      </c>
      <c r="D351" s="5"/>
      <c r="E351" s="5"/>
      <c r="F351" s="5"/>
      <c r="G351" s="5"/>
      <c r="H351" s="5"/>
      <c r="I351" s="5"/>
      <c r="J351" s="5"/>
      <c r="K351" s="5"/>
      <c r="L351" s="6"/>
    </row>
    <row r="352" spans="1:12" ht="12.75">
      <c r="A352" s="4"/>
      <c r="B352" s="5"/>
      <c r="C352" s="5"/>
      <c r="D352" s="5" t="s">
        <v>1384</v>
      </c>
      <c r="E352" s="5"/>
      <c r="F352" s="5"/>
      <c r="G352" s="5"/>
      <c r="H352" s="5"/>
      <c r="I352" s="5"/>
      <c r="J352" s="5"/>
      <c r="K352" s="5"/>
      <c r="L352" s="6"/>
    </row>
    <row r="353" spans="1:12" ht="12.75">
      <c r="A353" s="4"/>
      <c r="B353" s="5"/>
      <c r="C353" s="5"/>
      <c r="D353" s="5" t="s">
        <v>1060</v>
      </c>
      <c r="E353" s="5"/>
      <c r="F353" s="5"/>
      <c r="G353" s="5"/>
      <c r="H353" s="5"/>
      <c r="I353" s="5"/>
      <c r="J353" s="5"/>
      <c r="K353" s="5"/>
      <c r="L353" s="6"/>
    </row>
    <row r="354" spans="1:12" ht="12.75">
      <c r="A354" s="4"/>
      <c r="B354" s="5"/>
      <c r="C354" s="5"/>
      <c r="D354" s="5"/>
      <c r="E354" s="5"/>
      <c r="F354" s="5"/>
      <c r="G354" s="5"/>
      <c r="H354" s="5"/>
      <c r="I354" s="5"/>
      <c r="J354" s="5"/>
      <c r="K354" s="5"/>
      <c r="L354" s="6"/>
    </row>
    <row r="355" spans="1:12" ht="12.75">
      <c r="A355" s="4"/>
      <c r="B355" s="5"/>
      <c r="C355" s="22" t="s">
        <v>1061</v>
      </c>
      <c r="D355" s="68">
        <f>IF(G343&gt;1,"",IF(D348&lt;(PI()/2),PI()-D348,D348))</f>
        <v>2.8245937647132036</v>
      </c>
      <c r="E355" s="5" t="s">
        <v>599</v>
      </c>
      <c r="F355" s="68">
        <f>IF(D355="","",DEGREES(D355))</f>
        <v>161.83730155703483</v>
      </c>
      <c r="G355" s="5" t="s">
        <v>1233</v>
      </c>
      <c r="H355" s="5"/>
      <c r="I355" s="5"/>
      <c r="J355" s="5"/>
      <c r="K355" s="5"/>
      <c r="L355" s="6"/>
    </row>
    <row r="356" spans="1:12" ht="12.75">
      <c r="A356" s="4"/>
      <c r="B356" s="5"/>
      <c r="C356" s="5"/>
      <c r="D356" s="5"/>
      <c r="E356" s="5"/>
      <c r="F356" s="5"/>
      <c r="G356" s="5"/>
      <c r="H356" s="5"/>
      <c r="I356" s="5"/>
      <c r="J356" s="5"/>
      <c r="K356" s="5"/>
      <c r="L356" s="6"/>
    </row>
    <row r="357" spans="1:12" ht="12.75">
      <c r="A357" s="4"/>
      <c r="B357" s="5"/>
      <c r="C357" s="5"/>
      <c r="D357" s="5"/>
      <c r="E357" s="5"/>
      <c r="F357" s="5"/>
      <c r="G357" s="5"/>
      <c r="H357" s="5"/>
      <c r="I357" s="5"/>
      <c r="J357" s="5"/>
      <c r="K357" s="5"/>
      <c r="L357" s="6"/>
    </row>
    <row r="358" spans="1:12" ht="12.75">
      <c r="A358" s="4" t="s">
        <v>600</v>
      </c>
      <c r="B358" s="5" t="s">
        <v>1599</v>
      </c>
      <c r="C358" s="5"/>
      <c r="D358" s="5"/>
      <c r="E358" s="5"/>
      <c r="F358" s="5"/>
      <c r="G358" s="5"/>
      <c r="H358" s="5"/>
      <c r="I358" s="5"/>
      <c r="J358" s="5"/>
      <c r="K358" s="5"/>
      <c r="L358" s="6"/>
    </row>
    <row r="359" spans="1:12" ht="12.75">
      <c r="A359" s="4"/>
      <c r="B359" s="5"/>
      <c r="C359" s="5"/>
      <c r="D359" s="5"/>
      <c r="E359" s="5"/>
      <c r="F359" s="5"/>
      <c r="G359" s="5"/>
      <c r="H359" s="5"/>
      <c r="I359" s="5"/>
      <c r="J359" s="5"/>
      <c r="K359" s="5"/>
      <c r="L359" s="6"/>
    </row>
    <row r="360" spans="1:12" ht="12.75">
      <c r="A360" s="4"/>
      <c r="B360" s="5"/>
      <c r="C360" s="5" t="s">
        <v>762</v>
      </c>
      <c r="D360" s="5"/>
      <c r="E360" s="5"/>
      <c r="F360" s="5"/>
      <c r="G360" s="5"/>
      <c r="H360" s="5"/>
      <c r="I360" s="5"/>
      <c r="J360" s="5"/>
      <c r="K360" s="5"/>
      <c r="L360" s="6"/>
    </row>
    <row r="361" spans="1:12" ht="13.5" thickBot="1">
      <c r="A361" s="4"/>
      <c r="B361" s="5"/>
      <c r="C361" s="5"/>
      <c r="D361" s="5"/>
      <c r="E361" s="5"/>
      <c r="F361" s="5"/>
      <c r="G361" s="5"/>
      <c r="H361" s="5"/>
      <c r="I361" s="88" t="s">
        <v>1178</v>
      </c>
      <c r="J361" s="115"/>
      <c r="K361" s="115"/>
      <c r="L361" s="192"/>
    </row>
    <row r="362" spans="1:12" ht="13.5" thickBot="1">
      <c r="A362" s="4"/>
      <c r="B362" s="22" t="s">
        <v>1781</v>
      </c>
      <c r="C362" s="5"/>
      <c r="D362" s="68">
        <f>IF(G343&gt;1,"",PI()-D336-D355)</f>
        <v>0.014547530615480309</v>
      </c>
      <c r="E362" s="5" t="s">
        <v>599</v>
      </c>
      <c r="F362" s="68">
        <f>IF(G343&gt;1,"",DEGREES(D362))</f>
        <v>0.8335121066043746</v>
      </c>
      <c r="G362" s="5" t="s">
        <v>1233</v>
      </c>
      <c r="H362" s="5"/>
      <c r="I362" s="86" t="str">
        <f>IF(G343&gt;1,"None",IF(F362&lt;0,"Remaining Angle Less then Zero","None"))</f>
        <v>None</v>
      </c>
      <c r="J362" s="116"/>
      <c r="K362" s="116"/>
      <c r="L362" s="87"/>
    </row>
    <row r="363" spans="1:12" ht="12.75">
      <c r="A363" s="4"/>
      <c r="B363" s="5"/>
      <c r="C363" s="5"/>
      <c r="D363" s="5"/>
      <c r="E363" s="5"/>
      <c r="F363" s="5"/>
      <c r="G363" s="5"/>
      <c r="H363" s="5"/>
      <c r="I363" s="5"/>
      <c r="J363" s="5"/>
      <c r="K363" s="5"/>
      <c r="L363" s="6"/>
    </row>
    <row r="364" spans="1:12" ht="12.75">
      <c r="A364" s="4"/>
      <c r="B364" s="5"/>
      <c r="C364" s="5"/>
      <c r="D364" s="5"/>
      <c r="E364" s="5"/>
      <c r="F364" s="5"/>
      <c r="G364" s="5"/>
      <c r="H364" s="5"/>
      <c r="I364" s="5"/>
      <c r="J364" s="5"/>
      <c r="K364" s="5"/>
      <c r="L364" s="6"/>
    </row>
    <row r="365" spans="1:12" ht="12.75">
      <c r="A365" s="4" t="s">
        <v>1782</v>
      </c>
      <c r="B365" s="5" t="s">
        <v>516</v>
      </c>
      <c r="C365" s="5"/>
      <c r="D365" s="5"/>
      <c r="E365" s="5"/>
      <c r="F365" s="5"/>
      <c r="G365" s="5"/>
      <c r="H365" s="5"/>
      <c r="I365" s="5"/>
      <c r="J365" s="5"/>
      <c r="K365" s="5"/>
      <c r="L365" s="6"/>
    </row>
    <row r="366" spans="1:12" ht="13.5" thickBot="1">
      <c r="A366" s="4"/>
      <c r="B366" s="5"/>
      <c r="C366" s="5"/>
      <c r="D366" s="5"/>
      <c r="E366" s="5"/>
      <c r="F366" s="5"/>
      <c r="G366" s="5"/>
      <c r="H366" s="5"/>
      <c r="I366" s="88" t="s">
        <v>1066</v>
      </c>
      <c r="J366" s="115"/>
      <c r="K366" s="115"/>
      <c r="L366" s="192"/>
    </row>
    <row r="367" spans="1:12" ht="13.5" thickBot="1">
      <c r="A367" s="4"/>
      <c r="B367" s="5"/>
      <c r="C367" s="22" t="s">
        <v>772</v>
      </c>
      <c r="D367" s="5"/>
      <c r="E367" s="5"/>
      <c r="F367" s="189">
        <f>IF(G343&gt;1,"",SQRT($H$127^2+$H$125^2-(2*$H$127*$H$125*COS(D362))))</f>
        <v>311115.8670298485</v>
      </c>
      <c r="G367" s="5" t="s">
        <v>167</v>
      </c>
      <c r="H367" s="5"/>
      <c r="I367" s="86" t="str">
        <f>IF(G343&gt;1,"None",IF(($H$218^2+$I$89^2-(2*$H$218*$I$89*COS(D362)))&lt;0,"Taking Square Root of Negative Number","None"))</f>
        <v>None</v>
      </c>
      <c r="J367" s="116"/>
      <c r="K367" s="116"/>
      <c r="L367" s="87"/>
    </row>
    <row r="368" spans="1:12" ht="12.75">
      <c r="A368" s="4"/>
      <c r="B368" s="5"/>
      <c r="C368" s="5"/>
      <c r="D368" s="5"/>
      <c r="E368" s="5"/>
      <c r="F368" s="5"/>
      <c r="G368" s="5"/>
      <c r="H368" s="5"/>
      <c r="I368" s="5"/>
      <c r="J368" s="5"/>
      <c r="K368" s="5"/>
      <c r="L368" s="6"/>
    </row>
    <row r="369" spans="1:12" ht="12.75">
      <c r="A369" s="4" t="s">
        <v>773</v>
      </c>
      <c r="B369" s="5" t="s">
        <v>1520</v>
      </c>
      <c r="C369" s="5"/>
      <c r="D369" s="5"/>
      <c r="E369" s="5"/>
      <c r="F369" s="5"/>
      <c r="G369" s="5"/>
      <c r="H369" s="5"/>
      <c r="I369" s="5"/>
      <c r="J369" s="5"/>
      <c r="K369" s="5"/>
      <c r="L369" s="6"/>
    </row>
    <row r="370" spans="1:12" ht="13.5" thickBot="1">
      <c r="A370" s="4"/>
      <c r="B370" s="5"/>
      <c r="C370" s="5"/>
      <c r="D370" s="5"/>
      <c r="E370" s="5"/>
      <c r="F370" s="5"/>
      <c r="G370" s="5"/>
      <c r="H370" s="5"/>
      <c r="I370" s="5"/>
      <c r="J370" s="5"/>
      <c r="K370" s="5"/>
      <c r="L370" s="6"/>
    </row>
    <row r="371" spans="1:17" ht="13.5" thickBot="1">
      <c r="A371" s="4"/>
      <c r="B371" s="5"/>
      <c r="C371" s="5" t="s">
        <v>1521</v>
      </c>
      <c r="D371" s="5" t="s">
        <v>1432</v>
      </c>
      <c r="E371" s="5"/>
      <c r="F371" s="5"/>
      <c r="G371" s="5"/>
      <c r="H371" s="5"/>
      <c r="I371" s="189">
        <f>IF(G343&gt;1,"",F367*J323)</f>
        <v>92669.34115756441</v>
      </c>
      <c r="J371" s="5" t="s">
        <v>167</v>
      </c>
      <c r="K371" s="513">
        <f>I371-Intersection_Calc!I575</f>
        <v>27665.565188660286</v>
      </c>
      <c r="L371" s="504" t="s">
        <v>978</v>
      </c>
      <c r="M371" s="506"/>
      <c r="N371" s="517" t="s">
        <v>991</v>
      </c>
      <c r="O371" s="518"/>
      <c r="P371" s="518"/>
      <c r="Q371" s="519"/>
    </row>
    <row r="372" spans="1:17" ht="13.5" thickBot="1">
      <c r="A372" s="4"/>
      <c r="B372" s="5"/>
      <c r="C372" s="5" t="s">
        <v>1433</v>
      </c>
      <c r="D372" s="5" t="s">
        <v>1434</v>
      </c>
      <c r="E372" s="5"/>
      <c r="F372" s="5"/>
      <c r="G372" s="5"/>
      <c r="H372" s="5"/>
      <c r="I372" s="189">
        <f>IF(G343&gt;1,"",F367*J324)</f>
        <v>11.593671995992084</v>
      </c>
      <c r="J372" s="5" t="s">
        <v>167</v>
      </c>
      <c r="K372" s="513">
        <f>I372-Intersection_Calc!I576</f>
        <v>-67711.6274776958</v>
      </c>
      <c r="L372" s="504" t="s">
        <v>983</v>
      </c>
      <c r="M372" s="506"/>
      <c r="N372" s="520" t="str">
        <f>IF($E$66=1,IF($K$39=1,IF(SUM(K371:K373)&lt;&gt;0,"Sum of Comparison Not Equal to Zero","None"),"None"),"None")</f>
        <v>None</v>
      </c>
      <c r="O372" s="116"/>
      <c r="P372" s="116"/>
      <c r="Q372" s="87"/>
    </row>
    <row r="373" spans="1:13" ht="12.75">
      <c r="A373" s="4"/>
      <c r="B373" s="5"/>
      <c r="C373" s="5" t="s">
        <v>1435</v>
      </c>
      <c r="D373" s="5" t="s">
        <v>284</v>
      </c>
      <c r="E373" s="5"/>
      <c r="F373" s="5"/>
      <c r="G373" s="5"/>
      <c r="H373" s="5"/>
      <c r="I373" s="189">
        <f>IF(G343&gt;1,"",F367*J325)</f>
        <v>-296994.0669318902</v>
      </c>
      <c r="J373" s="5" t="s">
        <v>167</v>
      </c>
      <c r="K373" s="513">
        <f>I373-Intersection_Calc!I577</f>
        <v>17.608397055300884</v>
      </c>
      <c r="L373" s="504" t="s">
        <v>980</v>
      </c>
      <c r="M373" s="506"/>
    </row>
    <row r="374" spans="1:12" ht="12.75">
      <c r="A374" s="4"/>
      <c r="B374" s="5"/>
      <c r="C374" s="5"/>
      <c r="D374" s="5"/>
      <c r="E374" s="5"/>
      <c r="F374" s="5"/>
      <c r="G374" s="5"/>
      <c r="H374" s="5"/>
      <c r="I374" s="5"/>
      <c r="J374" s="5"/>
      <c r="K374" s="5"/>
      <c r="L374" s="6"/>
    </row>
    <row r="375" spans="1:12" ht="13.5" thickBot="1">
      <c r="A375" s="7"/>
      <c r="B375" s="8"/>
      <c r="C375" s="8"/>
      <c r="D375" s="8"/>
      <c r="E375" s="8"/>
      <c r="F375" s="8"/>
      <c r="G375" s="8"/>
      <c r="H375" s="8"/>
      <c r="I375" s="8"/>
      <c r="J375" s="8"/>
      <c r="K375" s="8"/>
      <c r="L375" s="9"/>
    </row>
    <row r="378" ht="18">
      <c r="A378" s="12" t="s">
        <v>1096</v>
      </c>
    </row>
    <row r="380" ht="15.75">
      <c r="A380" s="11" t="s">
        <v>346</v>
      </c>
    </row>
    <row r="381" ht="15.75">
      <c r="A381" s="11" t="s">
        <v>207</v>
      </c>
    </row>
    <row r="382" ht="13.5" thickBot="1"/>
    <row r="383" spans="1:12" ht="12.75">
      <c r="A383" s="1"/>
      <c r="B383" s="2"/>
      <c r="C383" s="2"/>
      <c r="D383" s="2"/>
      <c r="E383" s="2"/>
      <c r="F383" s="2"/>
      <c r="G383" s="2"/>
      <c r="H383" s="2"/>
      <c r="I383" s="2"/>
      <c r="J383" s="2"/>
      <c r="K383" s="2"/>
      <c r="L383" s="3"/>
    </row>
    <row r="384" spans="1:12" ht="15.75">
      <c r="A384" s="5" t="s">
        <v>354</v>
      </c>
      <c r="C384" s="46"/>
      <c r="D384" s="16"/>
      <c r="E384" s="113"/>
      <c r="F384" s="52"/>
      <c r="G384" s="142"/>
      <c r="H384" s="46"/>
      <c r="I384" s="5"/>
      <c r="J384" s="5"/>
      <c r="K384" s="5"/>
      <c r="L384" s="6"/>
    </row>
    <row r="385" spans="1:12" ht="15.75">
      <c r="A385" s="4"/>
      <c r="B385" s="5"/>
      <c r="C385" s="46"/>
      <c r="D385" s="16"/>
      <c r="E385" s="113"/>
      <c r="F385" s="52"/>
      <c r="G385" s="142"/>
      <c r="H385" s="46"/>
      <c r="I385" s="5"/>
      <c r="J385" s="5"/>
      <c r="K385" s="5"/>
      <c r="L385" s="6"/>
    </row>
    <row r="386" spans="1:12" ht="12.75">
      <c r="A386" s="4"/>
      <c r="B386" s="5" t="s">
        <v>1499</v>
      </c>
      <c r="C386" s="5"/>
      <c r="D386" s="15" t="s">
        <v>640</v>
      </c>
      <c r="E386" s="15"/>
      <c r="F386" s="15"/>
      <c r="G386" s="5"/>
      <c r="H386" s="5" t="s">
        <v>93</v>
      </c>
      <c r="I386" s="5"/>
      <c r="J386" s="5" t="s">
        <v>1544</v>
      </c>
      <c r="K386" s="5"/>
      <c r="L386" s="6"/>
    </row>
    <row r="387" spans="1:12" ht="12.75">
      <c r="A387" s="4"/>
      <c r="B387" s="5"/>
      <c r="C387" s="5"/>
      <c r="D387" s="5"/>
      <c r="E387" s="5"/>
      <c r="F387" s="5"/>
      <c r="G387" s="5"/>
      <c r="H387" s="5"/>
      <c r="I387" s="5"/>
      <c r="J387" s="5"/>
      <c r="K387" s="5"/>
      <c r="L387" s="6"/>
    </row>
    <row r="388" spans="1:12" ht="12.75">
      <c r="A388" s="4"/>
      <c r="B388" s="104" t="s">
        <v>636</v>
      </c>
      <c r="C388" s="5" t="s">
        <v>167</v>
      </c>
      <c r="D388" s="161">
        <f>ReTrans_Origin!D66</f>
        <v>-0.5613975469481101</v>
      </c>
      <c r="E388" s="161">
        <f>ReTrans_Origin!E66</f>
        <v>0.7168125110114011</v>
      </c>
      <c r="F388" s="161">
        <f>ReTrans_Origin!F66</f>
        <v>-0.4135367194556907</v>
      </c>
      <c r="G388" s="5"/>
      <c r="H388" s="104" t="s">
        <v>637</v>
      </c>
      <c r="I388" s="5" t="s">
        <v>167</v>
      </c>
      <c r="J388" s="486">
        <f>ReTrans_Origin!J66</f>
        <v>-2756905.7041250933</v>
      </c>
      <c r="K388" s="5" t="s">
        <v>167</v>
      </c>
      <c r="L388" s="6"/>
    </row>
    <row r="389" spans="1:12" ht="12.75">
      <c r="A389" s="4"/>
      <c r="B389" s="104" t="s">
        <v>638</v>
      </c>
      <c r="C389" s="5" t="s">
        <v>1545</v>
      </c>
      <c r="D389" s="161">
        <f>ReTrans_Origin!D67</f>
        <v>-0.36143043030347477</v>
      </c>
      <c r="E389" s="161">
        <f>ReTrans_Origin!E67</f>
        <v>-0.6619158832268075</v>
      </c>
      <c r="F389" s="161">
        <f>ReTrans_Origin!F67</f>
        <v>-0.6566851662575609</v>
      </c>
      <c r="G389" s="5" t="s">
        <v>641</v>
      </c>
      <c r="H389" s="104" t="s">
        <v>642</v>
      </c>
      <c r="I389" s="5" t="s">
        <v>1546</v>
      </c>
      <c r="J389" s="486">
        <f>ReTrans_Origin!J67</f>
        <v>-4377891.963385336</v>
      </c>
      <c r="K389" s="5" t="s">
        <v>167</v>
      </c>
      <c r="L389" s="6"/>
    </row>
    <row r="390" spans="1:12" ht="12.75">
      <c r="A390" s="4"/>
      <c r="B390" s="104" t="s">
        <v>643</v>
      </c>
      <c r="C390" s="5" t="s">
        <v>167</v>
      </c>
      <c r="D390" s="161">
        <f>ReTrans_Origin!D68</f>
        <v>-0.7444466658742517</v>
      </c>
      <c r="E390" s="161">
        <f>ReTrans_Origin!E68</f>
        <v>-0.21919668699504888</v>
      </c>
      <c r="F390" s="161">
        <f>ReTrans_Origin!F68</f>
        <v>0.6306758074312863</v>
      </c>
      <c r="G390" s="5"/>
      <c r="H390" s="104" t="s">
        <v>644</v>
      </c>
      <c r="I390" s="5" t="s">
        <v>167</v>
      </c>
      <c r="J390" s="486">
        <f>ReTrans_Origin!J68</f>
        <v>4204496.6000832</v>
      </c>
      <c r="K390" s="5" t="s">
        <v>167</v>
      </c>
      <c r="L390" s="6"/>
    </row>
    <row r="391" spans="1:12" ht="12.75">
      <c r="A391" s="4"/>
      <c r="B391" s="5"/>
      <c r="C391" s="5"/>
      <c r="D391" s="5"/>
      <c r="E391" s="5"/>
      <c r="F391" s="5"/>
      <c r="G391" s="5"/>
      <c r="H391" s="5"/>
      <c r="I391" s="5"/>
      <c r="J391" s="5"/>
      <c r="K391" s="5"/>
      <c r="L391" s="6"/>
    </row>
    <row r="392" spans="1:12" ht="12.75">
      <c r="A392" s="4"/>
      <c r="B392" s="5"/>
      <c r="C392" s="5"/>
      <c r="D392" s="5"/>
      <c r="E392" s="5"/>
      <c r="F392" s="5"/>
      <c r="G392" s="5"/>
      <c r="H392" s="5"/>
      <c r="I392" s="5"/>
      <c r="J392" s="5"/>
      <c r="K392" s="5"/>
      <c r="L392" s="6"/>
    </row>
    <row r="393" spans="1:12" ht="12.75">
      <c r="A393" s="4"/>
      <c r="B393" s="5"/>
      <c r="C393" s="5"/>
      <c r="D393" s="5"/>
      <c r="E393" s="5"/>
      <c r="F393" s="5"/>
      <c r="G393" s="5"/>
      <c r="H393" s="5"/>
      <c r="I393" s="5"/>
      <c r="J393" s="5"/>
      <c r="K393" s="5"/>
      <c r="L393" s="6"/>
    </row>
    <row r="394" spans="1:12" ht="12.75">
      <c r="A394" s="4"/>
      <c r="B394" s="5"/>
      <c r="C394" s="5"/>
      <c r="D394" s="5"/>
      <c r="E394" s="5"/>
      <c r="F394" s="5"/>
      <c r="G394" s="5"/>
      <c r="H394" s="5"/>
      <c r="I394" s="5"/>
      <c r="J394" s="5"/>
      <c r="K394" s="5"/>
      <c r="L394" s="6"/>
    </row>
    <row r="395" spans="1:12" ht="13.5" thickBot="1">
      <c r="A395" s="7"/>
      <c r="B395" s="8"/>
      <c r="C395" s="8"/>
      <c r="D395" s="8"/>
      <c r="E395" s="8"/>
      <c r="F395" s="8"/>
      <c r="G395" s="8"/>
      <c r="H395" s="8"/>
      <c r="I395" s="8"/>
      <c r="J395" s="8"/>
      <c r="K395" s="8"/>
      <c r="L395" s="9"/>
    </row>
    <row r="396" ht="13.5" thickBot="1"/>
    <row r="397" spans="1:12" ht="12.75">
      <c r="A397" s="51"/>
      <c r="B397" s="2"/>
      <c r="C397" s="2"/>
      <c r="D397" s="2"/>
      <c r="E397" s="2"/>
      <c r="F397" s="2"/>
      <c r="G397" s="2"/>
      <c r="H397" s="2"/>
      <c r="I397" s="2"/>
      <c r="J397" s="2"/>
      <c r="K397" s="2"/>
      <c r="L397" s="3"/>
    </row>
    <row r="398" spans="1:12" ht="12.75">
      <c r="A398" s="10" t="s">
        <v>353</v>
      </c>
      <c r="B398" s="5"/>
      <c r="C398" s="5"/>
      <c r="D398" s="5"/>
      <c r="E398" s="5"/>
      <c r="F398" s="5"/>
      <c r="G398" s="5"/>
      <c r="H398" s="5"/>
      <c r="I398" s="5"/>
      <c r="J398" s="5"/>
      <c r="K398" s="5"/>
      <c r="L398" s="6"/>
    </row>
    <row r="399" spans="1:12" ht="12.75">
      <c r="A399" s="4"/>
      <c r="B399" s="5"/>
      <c r="C399" s="5"/>
      <c r="D399" s="5"/>
      <c r="E399" s="5"/>
      <c r="F399" s="5"/>
      <c r="G399" s="5"/>
      <c r="H399" s="5"/>
      <c r="I399" s="5"/>
      <c r="J399" s="5"/>
      <c r="K399" s="5"/>
      <c r="L399" s="6"/>
    </row>
    <row r="400" spans="1:12" ht="12.75">
      <c r="A400" s="4"/>
      <c r="B400" s="5" t="s">
        <v>1499</v>
      </c>
      <c r="C400" s="5"/>
      <c r="D400" s="15" t="s">
        <v>640</v>
      </c>
      <c r="E400" s="15"/>
      <c r="F400" s="15"/>
      <c r="G400" s="5"/>
      <c r="H400" s="5" t="s">
        <v>1615</v>
      </c>
      <c r="I400" s="5"/>
      <c r="J400" s="5" t="s">
        <v>1544</v>
      </c>
      <c r="K400" s="5"/>
      <c r="L400" s="6"/>
    </row>
    <row r="401" spans="1:12" ht="12.75">
      <c r="A401" s="4"/>
      <c r="B401" s="5"/>
      <c r="C401" s="5"/>
      <c r="D401" s="5"/>
      <c r="E401" s="5"/>
      <c r="F401" s="5"/>
      <c r="G401" s="5"/>
      <c r="H401" s="5"/>
      <c r="I401" s="5"/>
      <c r="J401" s="5"/>
      <c r="K401" s="5"/>
      <c r="L401" s="6"/>
    </row>
    <row r="402" spans="1:12" ht="12.75">
      <c r="A402" s="4"/>
      <c r="B402" s="104" t="s">
        <v>636</v>
      </c>
      <c r="C402" s="5" t="s">
        <v>167</v>
      </c>
      <c r="D402" s="152">
        <f aca="true" t="shared" si="4" ref="D402:F404">D388</f>
        <v>-0.5613975469481101</v>
      </c>
      <c r="E402" s="152">
        <f t="shared" si="4"/>
        <v>0.7168125110114011</v>
      </c>
      <c r="F402" s="152">
        <f t="shared" si="4"/>
        <v>-0.4135367194556907</v>
      </c>
      <c r="G402" s="5"/>
      <c r="H402" s="195">
        <f>I192</f>
        <v>92678.86016766512</v>
      </c>
      <c r="I402" s="5" t="s">
        <v>167</v>
      </c>
      <c r="J402" s="96">
        <f>J388</f>
        <v>-2756905.7041250933</v>
      </c>
      <c r="K402" s="5" t="s">
        <v>167</v>
      </c>
      <c r="L402" s="6"/>
    </row>
    <row r="403" spans="1:12" ht="12.75">
      <c r="A403" s="4"/>
      <c r="B403" s="104" t="s">
        <v>638</v>
      </c>
      <c r="C403" s="5" t="s">
        <v>1545</v>
      </c>
      <c r="D403" s="152">
        <f t="shared" si="4"/>
        <v>-0.36143043030347477</v>
      </c>
      <c r="E403" s="152">
        <f t="shared" si="4"/>
        <v>-0.6619158832268075</v>
      </c>
      <c r="F403" s="152">
        <f t="shared" si="4"/>
        <v>-0.6566851662575609</v>
      </c>
      <c r="G403" s="5" t="s">
        <v>641</v>
      </c>
      <c r="H403" s="195">
        <f>I193</f>
        <v>-11.593782586379035</v>
      </c>
      <c r="I403" s="5" t="s">
        <v>1546</v>
      </c>
      <c r="J403" s="96">
        <f>J389</f>
        <v>-4377891.963385336</v>
      </c>
      <c r="K403" s="5" t="s">
        <v>167</v>
      </c>
      <c r="L403" s="6"/>
    </row>
    <row r="404" spans="1:12" ht="12.75">
      <c r="A404" s="4"/>
      <c r="B404" s="104" t="s">
        <v>643</v>
      </c>
      <c r="C404" s="5" t="s">
        <v>167</v>
      </c>
      <c r="D404" s="152">
        <f t="shared" si="4"/>
        <v>-0.7444466658742517</v>
      </c>
      <c r="E404" s="152">
        <f t="shared" si="4"/>
        <v>-0.21919668699504888</v>
      </c>
      <c r="F404" s="152">
        <f t="shared" si="4"/>
        <v>0.6306758074312863</v>
      </c>
      <c r="G404" s="5"/>
      <c r="H404" s="195">
        <f>I194</f>
        <v>-296994.20542687003</v>
      </c>
      <c r="I404" s="5" t="s">
        <v>167</v>
      </c>
      <c r="J404" s="96">
        <f>J390</f>
        <v>4204496.6000832</v>
      </c>
      <c r="K404" s="5" t="s">
        <v>167</v>
      </c>
      <c r="L404" s="6"/>
    </row>
    <row r="405" spans="1:12" ht="12.75">
      <c r="A405" s="4"/>
      <c r="B405" s="5"/>
      <c r="C405" s="5"/>
      <c r="D405" s="5"/>
      <c r="E405" s="5"/>
      <c r="F405" s="5"/>
      <c r="G405" s="5"/>
      <c r="H405" s="5"/>
      <c r="I405" s="5"/>
      <c r="J405" s="5"/>
      <c r="K405" s="5"/>
      <c r="L405" s="6"/>
    </row>
    <row r="406" spans="1:12" ht="13.5" thickBot="1">
      <c r="A406" s="4"/>
      <c r="B406" s="5"/>
      <c r="C406" s="5"/>
      <c r="D406" s="5"/>
      <c r="E406" s="5"/>
      <c r="F406" s="5"/>
      <c r="G406" s="5"/>
      <c r="H406" s="5"/>
      <c r="I406" s="5"/>
      <c r="J406" s="5"/>
      <c r="K406" s="5"/>
      <c r="L406" s="6"/>
    </row>
    <row r="407" spans="1:13" ht="13.5" thickBot="1">
      <c r="A407" s="4"/>
      <c r="B407" s="5"/>
      <c r="D407" s="5" t="s">
        <v>1835</v>
      </c>
      <c r="E407" s="24">
        <f>IF(H402="","",(D402*H402+E402*H403+F402*H404)+J402)</f>
        <v>-2686125.690035998</v>
      </c>
      <c r="F407" s="5" t="s">
        <v>167</v>
      </c>
      <c r="G407" s="513">
        <f>E407-ReTrans_Origin!D167</f>
        <v>67643.4066036488</v>
      </c>
      <c r="H407" s="504" t="s">
        <v>978</v>
      </c>
      <c r="I407" s="505"/>
      <c r="J407" s="517" t="s">
        <v>992</v>
      </c>
      <c r="K407" s="518"/>
      <c r="L407" s="518"/>
      <c r="M407" s="519"/>
    </row>
    <row r="408" spans="1:13" ht="13.5" thickBot="1">
      <c r="A408" s="4"/>
      <c r="B408" s="5"/>
      <c r="D408" s="5" t="s">
        <v>1836</v>
      </c>
      <c r="E408" s="24">
        <f>IF(H403="","",(D403*H402+E403*H403+F403*H404)+J403)</f>
        <v>-4216349.560418654</v>
      </c>
      <c r="F408" s="5" t="s">
        <v>167</v>
      </c>
      <c r="G408" s="513">
        <f>E408-ReTrans_Origin!D168</f>
        <v>-37367.80469469633</v>
      </c>
      <c r="H408" s="504" t="s">
        <v>979</v>
      </c>
      <c r="I408" s="505"/>
      <c r="J408" s="520" t="str">
        <f>IF($E$66=1,IF($K$39=1,IF(SUM(G407:G409)&lt;&gt;0,"Sum of Comparison Not Equal to Zero","None"),"None"),"None")</f>
        <v>None</v>
      </c>
      <c r="K408" s="116"/>
      <c r="L408" s="116"/>
      <c r="M408" s="87"/>
    </row>
    <row r="409" spans="1:12" ht="12.75">
      <c r="A409" s="4"/>
      <c r="B409" s="5"/>
      <c r="D409" s="5" t="s">
        <v>1837</v>
      </c>
      <c r="E409" s="24">
        <f>IF(H402="","",(D404*H402+E404*H403+F404*H404)+J404)</f>
        <v>3948197.612643084</v>
      </c>
      <c r="F409" s="5" t="s">
        <v>167</v>
      </c>
      <c r="G409" s="513">
        <f>E409-ReTrans_Origin!D169</f>
        <v>6877.21529989643</v>
      </c>
      <c r="H409" s="504" t="s">
        <v>980</v>
      </c>
      <c r="I409" s="505"/>
      <c r="J409" s="5"/>
      <c r="K409" s="5"/>
      <c r="L409" s="6"/>
    </row>
    <row r="410" spans="1:12" ht="12.75">
      <c r="A410" s="4"/>
      <c r="B410" s="5"/>
      <c r="C410" s="5"/>
      <c r="D410" s="5"/>
      <c r="E410" s="5"/>
      <c r="F410" s="5"/>
      <c r="G410" s="5"/>
      <c r="H410" s="5"/>
      <c r="I410" s="5"/>
      <c r="J410" s="5"/>
      <c r="K410" s="5"/>
      <c r="L410" s="6"/>
    </row>
    <row r="411" spans="1:12" ht="13.5" thickBot="1">
      <c r="A411" s="7"/>
      <c r="B411" s="8"/>
      <c r="C411" s="8"/>
      <c r="D411" s="8"/>
      <c r="E411" s="8"/>
      <c r="F411" s="8"/>
      <c r="G411" s="8"/>
      <c r="H411" s="8"/>
      <c r="I411" s="8"/>
      <c r="J411" s="8"/>
      <c r="K411" s="8"/>
      <c r="L411" s="9"/>
    </row>
    <row r="412" ht="13.5" thickBot="1"/>
    <row r="413" spans="1:12" ht="12.75">
      <c r="A413" s="51"/>
      <c r="B413" s="2"/>
      <c r="C413" s="2"/>
      <c r="D413" s="2"/>
      <c r="E413" s="2"/>
      <c r="F413" s="2"/>
      <c r="G413" s="2"/>
      <c r="H413" s="2"/>
      <c r="I413" s="2"/>
      <c r="J413" s="2"/>
      <c r="K413" s="2"/>
      <c r="L413" s="3"/>
    </row>
    <row r="414" spans="1:12" ht="12.75">
      <c r="A414" s="10" t="s">
        <v>355</v>
      </c>
      <c r="B414" s="5"/>
      <c r="C414" s="5"/>
      <c r="D414" s="5"/>
      <c r="E414" s="5"/>
      <c r="F414" s="5"/>
      <c r="G414" s="5"/>
      <c r="H414" s="5"/>
      <c r="I414" s="5"/>
      <c r="J414" s="5"/>
      <c r="K414" s="5"/>
      <c r="L414" s="6"/>
    </row>
    <row r="415" spans="1:12" ht="12.75">
      <c r="A415" s="4"/>
      <c r="B415" s="5"/>
      <c r="C415" s="5"/>
      <c r="D415" s="5"/>
      <c r="E415" s="5"/>
      <c r="F415" s="5"/>
      <c r="G415" s="5"/>
      <c r="H415" s="5"/>
      <c r="I415" s="5"/>
      <c r="J415" s="5"/>
      <c r="K415" s="5"/>
      <c r="L415" s="6"/>
    </row>
    <row r="416" spans="1:12" ht="12.75">
      <c r="A416" s="4"/>
      <c r="B416" s="5" t="s">
        <v>1499</v>
      </c>
      <c r="C416" s="5"/>
      <c r="D416" s="15" t="s">
        <v>640</v>
      </c>
      <c r="E416" s="15"/>
      <c r="F416" s="15"/>
      <c r="G416" s="5"/>
      <c r="H416" s="5" t="s">
        <v>1615</v>
      </c>
      <c r="I416" s="5"/>
      <c r="J416" s="5" t="s">
        <v>1544</v>
      </c>
      <c r="K416" s="5"/>
      <c r="L416" s="6"/>
    </row>
    <row r="417" spans="1:12" ht="12.75">
      <c r="A417" s="4"/>
      <c r="B417" s="5"/>
      <c r="C417" s="5"/>
      <c r="D417" s="5"/>
      <c r="E417" s="5"/>
      <c r="F417" s="5"/>
      <c r="G417" s="5"/>
      <c r="H417" s="5"/>
      <c r="I417" s="5"/>
      <c r="J417" s="5"/>
      <c r="K417" s="5"/>
      <c r="L417" s="6"/>
    </row>
    <row r="418" spans="1:12" ht="12.75">
      <c r="A418" s="4"/>
      <c r="B418" s="104" t="s">
        <v>636</v>
      </c>
      <c r="C418" s="5" t="s">
        <v>167</v>
      </c>
      <c r="D418" s="152">
        <f aca="true" t="shared" si="5" ref="D418:F420">D388</f>
        <v>-0.5613975469481101</v>
      </c>
      <c r="E418" s="152">
        <f t="shared" si="5"/>
        <v>0.7168125110114011</v>
      </c>
      <c r="F418" s="152">
        <f t="shared" si="5"/>
        <v>-0.4135367194556907</v>
      </c>
      <c r="G418" s="5"/>
      <c r="H418" s="195">
        <f>I251</f>
        <v>92684.77614129556</v>
      </c>
      <c r="I418" s="5" t="s">
        <v>167</v>
      </c>
      <c r="J418" s="96">
        <f>J388</f>
        <v>-2756905.7041250933</v>
      </c>
      <c r="K418" s="5" t="s">
        <v>167</v>
      </c>
      <c r="L418" s="6"/>
    </row>
    <row r="419" spans="1:12" ht="12.75">
      <c r="A419" s="4"/>
      <c r="B419" s="104" t="s">
        <v>638</v>
      </c>
      <c r="C419" s="5" t="s">
        <v>1545</v>
      </c>
      <c r="D419" s="152">
        <f t="shared" si="5"/>
        <v>-0.36143043030347477</v>
      </c>
      <c r="E419" s="152">
        <f t="shared" si="5"/>
        <v>-0.6619158832268075</v>
      </c>
      <c r="F419" s="152">
        <f t="shared" si="5"/>
        <v>-0.6566851662575609</v>
      </c>
      <c r="G419" s="5" t="s">
        <v>641</v>
      </c>
      <c r="H419" s="195">
        <f>I252</f>
        <v>3.9575094600869076</v>
      </c>
      <c r="I419" s="5" t="s">
        <v>1546</v>
      </c>
      <c r="J419" s="96">
        <f>J389</f>
        <v>-4377891.963385336</v>
      </c>
      <c r="K419" s="5" t="s">
        <v>167</v>
      </c>
      <c r="L419" s="6"/>
    </row>
    <row r="420" spans="1:12" ht="12.75">
      <c r="A420" s="4"/>
      <c r="B420" s="104" t="s">
        <v>643</v>
      </c>
      <c r="C420" s="5" t="s">
        <v>167</v>
      </c>
      <c r="D420" s="152">
        <f t="shared" si="5"/>
        <v>-0.7444466658742517</v>
      </c>
      <c r="E420" s="152">
        <f t="shared" si="5"/>
        <v>-0.21919668699504888</v>
      </c>
      <c r="F420" s="152">
        <f t="shared" si="5"/>
        <v>0.6306758074312863</v>
      </c>
      <c r="G420" s="5"/>
      <c r="H420" s="195">
        <f>I253</f>
        <v>-296994.29149799823</v>
      </c>
      <c r="I420" s="5" t="s">
        <v>167</v>
      </c>
      <c r="J420" s="96">
        <f>J390</f>
        <v>4204496.6000832</v>
      </c>
      <c r="K420" s="5" t="s">
        <v>167</v>
      </c>
      <c r="L420" s="6"/>
    </row>
    <row r="421" spans="1:12" ht="12.75">
      <c r="A421" s="4"/>
      <c r="B421" s="5"/>
      <c r="C421" s="5"/>
      <c r="D421" s="5"/>
      <c r="E421" s="5"/>
      <c r="F421" s="5"/>
      <c r="G421" s="5"/>
      <c r="H421" s="5"/>
      <c r="I421" s="5"/>
      <c r="J421" s="5"/>
      <c r="K421" s="5"/>
      <c r="L421" s="6"/>
    </row>
    <row r="422" spans="1:12" ht="13.5" thickBot="1">
      <c r="A422" s="4"/>
      <c r="B422" s="5"/>
      <c r="C422" s="5"/>
      <c r="D422" s="5"/>
      <c r="E422" s="5"/>
      <c r="F422" s="5"/>
      <c r="G422" s="5"/>
      <c r="H422" s="5"/>
      <c r="I422" s="5"/>
      <c r="J422" s="5"/>
      <c r="K422" s="5"/>
      <c r="L422" s="6"/>
    </row>
    <row r="423" spans="1:13" ht="13.5" thickBot="1">
      <c r="A423" s="4"/>
      <c r="B423" s="5"/>
      <c r="D423" s="5" t="s">
        <v>1832</v>
      </c>
      <c r="E423" s="24">
        <f>IF(H418="","",(D418*H418+E418*H419+F418*H420)+J418)</f>
        <v>-2686117.8282948085</v>
      </c>
      <c r="F423" s="5" t="s">
        <v>167</v>
      </c>
      <c r="G423" s="513">
        <f>E423-ReTrans_Origin!D199</f>
        <v>19749.689363214187</v>
      </c>
      <c r="H423" s="504" t="s">
        <v>978</v>
      </c>
      <c r="I423" s="507"/>
      <c r="J423" s="517" t="s">
        <v>993</v>
      </c>
      <c r="K423" s="518"/>
      <c r="L423" s="518"/>
      <c r="M423" s="519"/>
    </row>
    <row r="424" spans="1:13" ht="13.5" thickBot="1">
      <c r="A424" s="4"/>
      <c r="B424" s="5"/>
      <c r="D424" s="5" t="s">
        <v>1833</v>
      </c>
      <c r="E424" s="24">
        <f>IF(H419="","",(D419*H418+E419*H419+F419*H420)+J419)</f>
        <v>-4216361.935757126</v>
      </c>
      <c r="F424" s="5" t="s">
        <v>167</v>
      </c>
      <c r="G424" s="513">
        <f>E424-ReTrans_Origin!D200</f>
        <v>40701.196082722396</v>
      </c>
      <c r="H424" s="504" t="s">
        <v>981</v>
      </c>
      <c r="I424" s="507"/>
      <c r="J424" s="520" t="str">
        <f>IF($E$66=1,IF($K$39=1,IF(SUM(G423:G425)&lt;&gt;0,"Sum of Comparison Not Equal to Zero","None"),"None"),"None")</f>
        <v>None</v>
      </c>
      <c r="K424" s="116"/>
      <c r="L424" s="116"/>
      <c r="M424" s="87"/>
    </row>
    <row r="425" spans="1:12" ht="12.75">
      <c r="A425" s="4"/>
      <c r="B425" s="5"/>
      <c r="D425" s="5" t="s">
        <v>1834</v>
      </c>
      <c r="E425" s="24">
        <f>IF(H418="","",(D420*H418+E420*H419+F420*H420)+J420)</f>
        <v>3948189.745441566</v>
      </c>
      <c r="F425" s="5" t="s">
        <v>167</v>
      </c>
      <c r="G425" s="513">
        <f>E425-ReTrans_Origin!D201</f>
        <v>57581.348904113285</v>
      </c>
      <c r="H425" s="504" t="s">
        <v>980</v>
      </c>
      <c r="I425" s="507"/>
      <c r="J425" s="5"/>
      <c r="K425" s="5"/>
      <c r="L425" s="6"/>
    </row>
    <row r="426" spans="1:12" ht="12.75">
      <c r="A426" s="4"/>
      <c r="B426" s="5"/>
      <c r="C426" s="5"/>
      <c r="D426" s="5"/>
      <c r="E426" s="5"/>
      <c r="F426" s="5"/>
      <c r="G426" s="5"/>
      <c r="H426" s="5"/>
      <c r="I426" s="5"/>
      <c r="J426" s="5"/>
      <c r="K426" s="5"/>
      <c r="L426" s="6"/>
    </row>
    <row r="427" spans="1:12" ht="13.5" thickBot="1">
      <c r="A427" s="7"/>
      <c r="B427" s="8"/>
      <c r="C427" s="8"/>
      <c r="D427" s="8"/>
      <c r="E427" s="8"/>
      <c r="F427" s="8"/>
      <c r="G427" s="8"/>
      <c r="H427" s="8"/>
      <c r="I427" s="8"/>
      <c r="J427" s="8"/>
      <c r="K427" s="8"/>
      <c r="L427" s="9"/>
    </row>
    <row r="428" ht="13.5" thickBot="1"/>
    <row r="429" spans="1:12" ht="12.75">
      <c r="A429" s="51"/>
      <c r="B429" s="2"/>
      <c r="C429" s="2"/>
      <c r="D429" s="2"/>
      <c r="E429" s="2"/>
      <c r="F429" s="2"/>
      <c r="G429" s="2"/>
      <c r="H429" s="2"/>
      <c r="I429" s="2"/>
      <c r="J429" s="2"/>
      <c r="K429" s="2"/>
      <c r="L429" s="3"/>
    </row>
    <row r="430" spans="1:12" ht="12.75">
      <c r="A430" s="10" t="s">
        <v>356</v>
      </c>
      <c r="B430" s="5"/>
      <c r="C430" s="5"/>
      <c r="D430" s="5"/>
      <c r="E430" s="5"/>
      <c r="F430" s="5"/>
      <c r="G430" s="5"/>
      <c r="H430" s="5"/>
      <c r="I430" s="5"/>
      <c r="J430" s="5"/>
      <c r="K430" s="5"/>
      <c r="L430" s="6"/>
    </row>
    <row r="431" spans="1:12" ht="12.75">
      <c r="A431" s="4"/>
      <c r="B431" s="5"/>
      <c r="C431" s="5"/>
      <c r="D431" s="5"/>
      <c r="E431" s="5"/>
      <c r="F431" s="5"/>
      <c r="G431" s="5"/>
      <c r="H431" s="5"/>
      <c r="I431" s="5"/>
      <c r="J431" s="5"/>
      <c r="K431" s="5"/>
      <c r="L431" s="6"/>
    </row>
    <row r="432" spans="1:12" ht="12.75">
      <c r="A432" s="4"/>
      <c r="B432" s="5" t="s">
        <v>1499</v>
      </c>
      <c r="C432" s="5"/>
      <c r="D432" s="15" t="s">
        <v>640</v>
      </c>
      <c r="E432" s="15"/>
      <c r="F432" s="15"/>
      <c r="G432" s="5"/>
      <c r="H432" s="5" t="s">
        <v>1615</v>
      </c>
      <c r="I432" s="5"/>
      <c r="J432" s="5" t="s">
        <v>1544</v>
      </c>
      <c r="K432" s="5"/>
      <c r="L432" s="6"/>
    </row>
    <row r="433" spans="1:12" ht="12.75">
      <c r="A433" s="4"/>
      <c r="B433" s="5"/>
      <c r="C433" s="5"/>
      <c r="D433" s="5"/>
      <c r="E433" s="5"/>
      <c r="F433" s="5"/>
      <c r="G433" s="5"/>
      <c r="H433" s="5"/>
      <c r="I433" s="5"/>
      <c r="J433" s="5"/>
      <c r="K433" s="5"/>
      <c r="L433" s="6"/>
    </row>
    <row r="434" spans="1:12" ht="12.75">
      <c r="A434" s="4"/>
      <c r="B434" s="104" t="s">
        <v>636</v>
      </c>
      <c r="C434" s="5" t="s">
        <v>167</v>
      </c>
      <c r="D434" s="152">
        <f aca="true" t="shared" si="6" ref="D434:F436">D388</f>
        <v>-0.5613975469481101</v>
      </c>
      <c r="E434" s="152">
        <f t="shared" si="6"/>
        <v>0.7168125110114011</v>
      </c>
      <c r="F434" s="152">
        <f t="shared" si="6"/>
        <v>-0.4135367194556907</v>
      </c>
      <c r="G434" s="5"/>
      <c r="H434" s="195">
        <f>I311</f>
        <v>92663.4253655821</v>
      </c>
      <c r="I434" s="5" t="s">
        <v>167</v>
      </c>
      <c r="J434" s="96">
        <f>J388</f>
        <v>-2756905.7041250933</v>
      </c>
      <c r="K434" s="5" t="s">
        <v>167</v>
      </c>
      <c r="L434" s="6"/>
    </row>
    <row r="435" spans="1:12" ht="12.75">
      <c r="A435" s="4"/>
      <c r="B435" s="104" t="s">
        <v>638</v>
      </c>
      <c r="C435" s="5" t="s">
        <v>1545</v>
      </c>
      <c r="D435" s="152">
        <f t="shared" si="6"/>
        <v>-0.36143043030347477</v>
      </c>
      <c r="E435" s="152">
        <f t="shared" si="6"/>
        <v>-0.6619158832268075</v>
      </c>
      <c r="F435" s="152">
        <f t="shared" si="6"/>
        <v>-0.6566851662575609</v>
      </c>
      <c r="G435" s="5" t="s">
        <v>641</v>
      </c>
      <c r="H435" s="195">
        <f>I312</f>
        <v>-3.957424789733431</v>
      </c>
      <c r="I435" s="5" t="s">
        <v>1546</v>
      </c>
      <c r="J435" s="96">
        <f>J389</f>
        <v>-4377891.963385336</v>
      </c>
      <c r="K435" s="5" t="s">
        <v>167</v>
      </c>
      <c r="L435" s="6"/>
    </row>
    <row r="436" spans="1:12" ht="12.75">
      <c r="A436" s="4"/>
      <c r="B436" s="104" t="s">
        <v>643</v>
      </c>
      <c r="C436" s="5" t="s">
        <v>167</v>
      </c>
      <c r="D436" s="152">
        <f t="shared" si="6"/>
        <v>-0.7444466658742517</v>
      </c>
      <c r="E436" s="152">
        <f t="shared" si="6"/>
        <v>-0.21919668699504888</v>
      </c>
      <c r="F436" s="152">
        <f t="shared" si="6"/>
        <v>0.6306758074312863</v>
      </c>
      <c r="G436" s="5"/>
      <c r="H436" s="195">
        <f>I313</f>
        <v>-296993.9808590872</v>
      </c>
      <c r="I436" s="5" t="s">
        <v>167</v>
      </c>
      <c r="J436" s="96">
        <f>J390</f>
        <v>4204496.6000832</v>
      </c>
      <c r="K436" s="5" t="s">
        <v>167</v>
      </c>
      <c r="L436" s="6"/>
    </row>
    <row r="437" spans="1:12" ht="12.75">
      <c r="A437" s="4"/>
      <c r="B437" s="5"/>
      <c r="C437" s="5"/>
      <c r="D437" s="5"/>
      <c r="E437" s="5"/>
      <c r="F437" s="5"/>
      <c r="G437" s="5"/>
      <c r="H437" s="5"/>
      <c r="I437" s="5"/>
      <c r="J437" s="5"/>
      <c r="K437" s="5"/>
      <c r="L437" s="6"/>
    </row>
    <row r="438" spans="1:12" ht="13.5" thickBot="1">
      <c r="A438" s="4"/>
      <c r="B438" s="5"/>
      <c r="C438" s="5"/>
      <c r="D438" s="5"/>
      <c r="E438" s="5"/>
      <c r="F438" s="5"/>
      <c r="G438" s="5"/>
      <c r="H438" s="5"/>
      <c r="I438" s="5"/>
      <c r="J438" s="5"/>
      <c r="K438" s="5"/>
      <c r="L438" s="6"/>
    </row>
    <row r="439" spans="1:13" ht="13.5" thickBot="1">
      <c r="A439" s="4"/>
      <c r="B439" s="5"/>
      <c r="D439" s="5" t="s">
        <v>1829</v>
      </c>
      <c r="E439" s="24">
        <f>IF(H434="","",(D434*H434+E434*H435+F434*H436)+J434)</f>
        <v>-2686111.644006188</v>
      </c>
      <c r="F439" s="5" t="s">
        <v>167</v>
      </c>
      <c r="G439" s="513">
        <f>E439-ReTrans_Origin!D231</f>
        <v>-17527.229048522655</v>
      </c>
      <c r="H439" s="504" t="s">
        <v>978</v>
      </c>
      <c r="I439" s="506"/>
      <c r="J439" s="517" t="s">
        <v>994</v>
      </c>
      <c r="K439" s="518"/>
      <c r="L439" s="518"/>
      <c r="M439" s="519"/>
    </row>
    <row r="440" spans="1:13" ht="13.5" thickBot="1">
      <c r="A440" s="4"/>
      <c r="B440" s="5"/>
      <c r="D440" s="5" t="s">
        <v>1830</v>
      </c>
      <c r="E440" s="24">
        <f>IF(H435="","",(D435*H434+E435*H435+F435*H436)+J435)</f>
        <v>-4216349.183908342</v>
      </c>
      <c r="F440" s="5" t="s">
        <v>167</v>
      </c>
      <c r="G440" s="513">
        <f>E440-ReTrans_Origin!D232</f>
        <v>-36157.728342767805</v>
      </c>
      <c r="H440" s="504" t="s">
        <v>982</v>
      </c>
      <c r="I440" s="506"/>
      <c r="J440" s="520" t="str">
        <f>IF($E$66=1,IF($K$39=1,IF(SUM(G439:G441)&lt;&gt;0,"Sum of Comparison Not Equal to Zero","None"),"None"),"None")</f>
        <v>None</v>
      </c>
      <c r="K440" s="116"/>
      <c r="L440" s="116"/>
      <c r="M440" s="87"/>
    </row>
    <row r="441" spans="1:12" ht="12.75">
      <c r="A441" s="4"/>
      <c r="B441" s="5"/>
      <c r="D441" s="5" t="s">
        <v>1831</v>
      </c>
      <c r="E441" s="24">
        <f>IF(H434="","",(D436*H434+E436*H435+F436*H436)+J436)</f>
        <v>3948207.5707951714</v>
      </c>
      <c r="F441" s="5" t="s">
        <v>167</v>
      </c>
      <c r="G441" s="513">
        <f>E441-ReTrans_Origin!D233</f>
        <v>-50016.515203044284</v>
      </c>
      <c r="H441" s="504" t="s">
        <v>980</v>
      </c>
      <c r="I441" s="506"/>
      <c r="J441" s="5"/>
      <c r="K441" s="5"/>
      <c r="L441" s="6"/>
    </row>
    <row r="442" spans="1:12" ht="12.75">
      <c r="A442" s="4"/>
      <c r="B442" s="5"/>
      <c r="C442" s="5"/>
      <c r="D442" s="5"/>
      <c r="E442" s="5"/>
      <c r="F442" s="5"/>
      <c r="G442" s="5"/>
      <c r="H442" s="5"/>
      <c r="I442" s="5"/>
      <c r="J442" s="5"/>
      <c r="K442" s="5"/>
      <c r="L442" s="6"/>
    </row>
    <row r="443" spans="1:12" ht="13.5" thickBot="1">
      <c r="A443" s="7"/>
      <c r="B443" s="8"/>
      <c r="C443" s="8"/>
      <c r="D443" s="8"/>
      <c r="E443" s="8"/>
      <c r="F443" s="8"/>
      <c r="G443" s="8"/>
      <c r="H443" s="8"/>
      <c r="I443" s="8"/>
      <c r="J443" s="8"/>
      <c r="K443" s="8"/>
      <c r="L443" s="9"/>
    </row>
    <row r="444" ht="13.5" thickBot="1"/>
    <row r="445" spans="1:12" ht="12.75">
      <c r="A445" s="51"/>
      <c r="B445" s="2"/>
      <c r="C445" s="2"/>
      <c r="D445" s="2"/>
      <c r="E445" s="2"/>
      <c r="F445" s="2"/>
      <c r="G445" s="2"/>
      <c r="H445" s="2"/>
      <c r="I445" s="2"/>
      <c r="J445" s="2"/>
      <c r="K445" s="2"/>
      <c r="L445" s="3"/>
    </row>
    <row r="446" spans="1:12" ht="12.75">
      <c r="A446" s="10" t="s">
        <v>357</v>
      </c>
      <c r="B446" s="5"/>
      <c r="C446" s="5"/>
      <c r="D446" s="5"/>
      <c r="E446" s="5"/>
      <c r="F446" s="5"/>
      <c r="G446" s="5"/>
      <c r="H446" s="5"/>
      <c r="I446" s="5"/>
      <c r="J446" s="5"/>
      <c r="K446" s="5"/>
      <c r="L446" s="6"/>
    </row>
    <row r="447" spans="1:12" ht="12.75">
      <c r="A447" s="4"/>
      <c r="B447" s="5"/>
      <c r="C447" s="5"/>
      <c r="D447" s="5"/>
      <c r="E447" s="5"/>
      <c r="F447" s="5"/>
      <c r="G447" s="5"/>
      <c r="H447" s="5"/>
      <c r="I447" s="5"/>
      <c r="J447" s="5"/>
      <c r="K447" s="5"/>
      <c r="L447" s="6"/>
    </row>
    <row r="448" spans="1:12" ht="12.75">
      <c r="A448" s="4"/>
      <c r="B448" s="5" t="s">
        <v>1499</v>
      </c>
      <c r="C448" s="5"/>
      <c r="D448" s="15" t="s">
        <v>640</v>
      </c>
      <c r="E448" s="15"/>
      <c r="F448" s="15"/>
      <c r="G448" s="5"/>
      <c r="H448" s="5" t="s">
        <v>1615</v>
      </c>
      <c r="I448" s="5"/>
      <c r="J448" s="5" t="s">
        <v>1544</v>
      </c>
      <c r="K448" s="5"/>
      <c r="L448" s="6"/>
    </row>
    <row r="449" spans="1:12" ht="12.75">
      <c r="A449" s="4"/>
      <c r="B449" s="5"/>
      <c r="C449" s="5"/>
      <c r="D449" s="5"/>
      <c r="E449" s="5"/>
      <c r="F449" s="5"/>
      <c r="G449" s="5"/>
      <c r="H449" s="5"/>
      <c r="I449" s="5"/>
      <c r="J449" s="5"/>
      <c r="K449" s="5"/>
      <c r="L449" s="6"/>
    </row>
    <row r="450" spans="1:12" ht="12.75">
      <c r="A450" s="4"/>
      <c r="B450" s="104" t="s">
        <v>636</v>
      </c>
      <c r="C450" s="5" t="s">
        <v>167</v>
      </c>
      <c r="D450" s="152">
        <f aca="true" t="shared" si="7" ref="D450:F452">D388</f>
        <v>-0.5613975469481101</v>
      </c>
      <c r="E450" s="152">
        <f t="shared" si="7"/>
        <v>0.7168125110114011</v>
      </c>
      <c r="F450" s="152">
        <f t="shared" si="7"/>
        <v>-0.4135367194556907</v>
      </c>
      <c r="G450" s="5"/>
      <c r="H450" s="195">
        <f>I371</f>
        <v>92669.34115756441</v>
      </c>
      <c r="I450" s="5" t="s">
        <v>167</v>
      </c>
      <c r="J450" s="96">
        <f>J388</f>
        <v>-2756905.7041250933</v>
      </c>
      <c r="K450" s="5" t="s">
        <v>167</v>
      </c>
      <c r="L450" s="6"/>
    </row>
    <row r="451" spans="1:12" ht="12.75">
      <c r="A451" s="4"/>
      <c r="B451" s="104" t="s">
        <v>638</v>
      </c>
      <c r="C451" s="5" t="s">
        <v>1545</v>
      </c>
      <c r="D451" s="152">
        <f t="shared" si="7"/>
        <v>-0.36143043030347477</v>
      </c>
      <c r="E451" s="152">
        <f t="shared" si="7"/>
        <v>-0.6619158832268075</v>
      </c>
      <c r="F451" s="152">
        <f t="shared" si="7"/>
        <v>-0.6566851662575609</v>
      </c>
      <c r="G451" s="5" t="s">
        <v>641</v>
      </c>
      <c r="H451" s="195">
        <f>I372</f>
        <v>11.593671995992084</v>
      </c>
      <c r="I451" s="5" t="s">
        <v>1546</v>
      </c>
      <c r="J451" s="96">
        <f>J389</f>
        <v>-4377891.963385336</v>
      </c>
      <c r="K451" s="5" t="s">
        <v>167</v>
      </c>
      <c r="L451" s="6"/>
    </row>
    <row r="452" spans="1:12" ht="12.75">
      <c r="A452" s="4"/>
      <c r="B452" s="104" t="s">
        <v>643</v>
      </c>
      <c r="C452" s="5" t="s">
        <v>167</v>
      </c>
      <c r="D452" s="152">
        <f t="shared" si="7"/>
        <v>-0.7444466658742517</v>
      </c>
      <c r="E452" s="152">
        <f t="shared" si="7"/>
        <v>-0.21919668699504888</v>
      </c>
      <c r="F452" s="152">
        <f t="shared" si="7"/>
        <v>0.6306758074312863</v>
      </c>
      <c r="G452" s="5"/>
      <c r="H452" s="195">
        <f>I373</f>
        <v>-296994.0669318902</v>
      </c>
      <c r="I452" s="5" t="s">
        <v>167</v>
      </c>
      <c r="J452" s="96">
        <f>J390</f>
        <v>4204496.6000832</v>
      </c>
      <c r="K452" s="5" t="s">
        <v>167</v>
      </c>
      <c r="L452" s="6"/>
    </row>
    <row r="453" spans="1:12" ht="12.75">
      <c r="A453" s="4"/>
      <c r="B453" s="5"/>
      <c r="C453" s="5"/>
      <c r="D453" s="5"/>
      <c r="E453" s="5"/>
      <c r="F453" s="5"/>
      <c r="G453" s="5"/>
      <c r="H453" s="5"/>
      <c r="I453" s="5"/>
      <c r="J453" s="5"/>
      <c r="K453" s="5"/>
      <c r="L453" s="6"/>
    </row>
    <row r="454" spans="1:12" ht="13.5" thickBot="1">
      <c r="A454" s="4"/>
      <c r="B454" s="5"/>
      <c r="C454" s="5"/>
      <c r="D454" s="5"/>
      <c r="E454" s="5"/>
      <c r="F454" s="5"/>
      <c r="G454" s="5"/>
      <c r="H454" s="5"/>
      <c r="I454" s="5"/>
      <c r="J454" s="5"/>
      <c r="K454" s="5"/>
      <c r="L454" s="6"/>
    </row>
    <row r="455" spans="1:13" ht="13.5" thickBot="1">
      <c r="A455" s="4"/>
      <c r="B455" s="5"/>
      <c r="D455" s="5" t="s">
        <v>358</v>
      </c>
      <c r="E455" s="24">
        <f>IF(H450="","",(D450*H450+E450*H451+F450*H452)+J450)</f>
        <v>-2686103.7823022944</v>
      </c>
      <c r="F455" s="5" t="s">
        <v>167</v>
      </c>
      <c r="G455" s="513">
        <f>E455-ReTrans_Origin!D263</f>
        <v>-64075.203867555596</v>
      </c>
      <c r="H455" s="504" t="s">
        <v>978</v>
      </c>
      <c r="I455" s="506"/>
      <c r="J455" s="517" t="s">
        <v>995</v>
      </c>
      <c r="K455" s="518"/>
      <c r="L455" s="518"/>
      <c r="M455" s="519"/>
    </row>
    <row r="456" spans="1:13" ht="13.5" thickBot="1">
      <c r="A456" s="4"/>
      <c r="B456" s="5"/>
      <c r="D456" s="5" t="s">
        <v>359</v>
      </c>
      <c r="E456" s="24">
        <f>IF(H451="","",(D451*H450+E451*H451+F451*H452)+J451)</f>
        <v>-4216361.559050816</v>
      </c>
      <c r="F456" s="5" t="s">
        <v>167</v>
      </c>
      <c r="G456" s="513">
        <f>E456-ReTrans_Origin!D264</f>
        <v>34808.6614027489</v>
      </c>
      <c r="H456" s="504" t="s">
        <v>983</v>
      </c>
      <c r="I456" s="506"/>
      <c r="J456" s="520" t="str">
        <f>IF($E$66=1,IF($K$39=1,IF(SUM(G455:G457)&lt;&gt;0,"Sum of Comparison Not Equal to Zero","None"),"None"),"None")</f>
        <v>None</v>
      </c>
      <c r="K456" s="116"/>
      <c r="L456" s="116"/>
      <c r="M456" s="87"/>
    </row>
    <row r="457" spans="1:12" ht="12.75">
      <c r="A457" s="4"/>
      <c r="B457" s="5"/>
      <c r="D457" s="5" t="s">
        <v>1828</v>
      </c>
      <c r="E457" s="24">
        <f>IF(H450="","",(D452*H450+E452*H451+F452*H452)+J452)</f>
        <v>3948199.703770625</v>
      </c>
      <c r="F457" s="5" t="s">
        <v>167</v>
      </c>
      <c r="G457" s="513">
        <f>E457-ReTrans_Origin!D265</f>
        <v>-5742.26816004049</v>
      </c>
      <c r="H457" s="504" t="s">
        <v>980</v>
      </c>
      <c r="I457" s="506"/>
      <c r="J457" s="5"/>
      <c r="K457" s="5"/>
      <c r="L457" s="6"/>
    </row>
    <row r="458" spans="1:12" ht="12.75">
      <c r="A458" s="4"/>
      <c r="B458" s="5"/>
      <c r="C458" s="5"/>
      <c r="D458" s="5"/>
      <c r="E458" s="5"/>
      <c r="F458" s="5"/>
      <c r="G458" s="5"/>
      <c r="H458" s="5"/>
      <c r="I458" s="5"/>
      <c r="J458" s="5"/>
      <c r="K458" s="5"/>
      <c r="L458" s="6"/>
    </row>
    <row r="459" spans="1:12" ht="13.5" thickBot="1">
      <c r="A459" s="7"/>
      <c r="B459" s="8"/>
      <c r="C459" s="8"/>
      <c r="D459" s="8"/>
      <c r="E459" s="8"/>
      <c r="F459" s="8"/>
      <c r="G459" s="8"/>
      <c r="H459" s="8"/>
      <c r="I459" s="8"/>
      <c r="J459" s="8"/>
      <c r="K459" s="8"/>
      <c r="L459" s="9"/>
    </row>
    <row r="462" ht="18">
      <c r="A462" s="12" t="s">
        <v>1097</v>
      </c>
    </row>
    <row r="464" ht="15.75">
      <c r="A464" s="11" t="s">
        <v>396</v>
      </c>
    </row>
    <row r="465" ht="15.75">
      <c r="A465" s="11" t="s">
        <v>1735</v>
      </c>
    </row>
    <row r="467" spans="2:5" ht="12.75">
      <c r="B467" s="5" t="s">
        <v>1188</v>
      </c>
      <c r="D467" s="188">
        <f>H125</f>
        <v>6370332.740665482</v>
      </c>
      <c r="E467" s="5" t="s">
        <v>167</v>
      </c>
    </row>
    <row r="468" ht="13.5" thickBot="1"/>
    <row r="469" spans="1:12" ht="12.75">
      <c r="A469" s="1"/>
      <c r="B469" s="2"/>
      <c r="C469" s="2"/>
      <c r="D469" s="2"/>
      <c r="E469" s="2"/>
      <c r="F469" s="2"/>
      <c r="G469" s="2"/>
      <c r="H469" s="2"/>
      <c r="I469" s="2"/>
      <c r="J469" s="2"/>
      <c r="K469" s="2"/>
      <c r="L469" s="3"/>
    </row>
    <row r="470" spans="1:12" ht="12.75">
      <c r="A470" s="10" t="s">
        <v>1839</v>
      </c>
      <c r="B470" s="5"/>
      <c r="C470" s="5"/>
      <c r="D470" s="5"/>
      <c r="E470" s="5"/>
      <c r="F470" s="5"/>
      <c r="G470" s="5"/>
      <c r="H470" s="5"/>
      <c r="I470" s="5"/>
      <c r="J470" s="5"/>
      <c r="K470" s="5"/>
      <c r="L470" s="6"/>
    </row>
    <row r="471" spans="1:12" ht="12.75">
      <c r="A471" s="4"/>
      <c r="B471" s="5"/>
      <c r="C471" s="5"/>
      <c r="D471" s="5"/>
      <c r="E471" s="5"/>
      <c r="F471" s="5"/>
      <c r="G471" s="5"/>
      <c r="H471" s="5"/>
      <c r="I471" s="5"/>
      <c r="J471" s="5"/>
      <c r="K471" s="5"/>
      <c r="L471" s="6"/>
    </row>
    <row r="472" spans="1:12" ht="12.75">
      <c r="A472" s="4"/>
      <c r="B472" s="5" t="s">
        <v>266</v>
      </c>
      <c r="C472" s="5"/>
      <c r="D472" s="5"/>
      <c r="E472" s="5"/>
      <c r="F472" s="5"/>
      <c r="G472" s="5"/>
      <c r="H472" s="5"/>
      <c r="I472" s="5"/>
      <c r="J472" s="5"/>
      <c r="L472" s="6"/>
    </row>
    <row r="473" spans="1:12" ht="12.75">
      <c r="A473" s="4"/>
      <c r="B473" s="5"/>
      <c r="C473" s="5"/>
      <c r="D473" s="5"/>
      <c r="E473" s="5"/>
      <c r="F473" s="22" t="s">
        <v>515</v>
      </c>
      <c r="G473" s="5"/>
      <c r="H473" s="5"/>
      <c r="I473" s="5"/>
      <c r="J473" s="5"/>
      <c r="L473" s="6"/>
    </row>
    <row r="474" spans="1:12" ht="12.75">
      <c r="A474" s="4"/>
      <c r="B474" s="5"/>
      <c r="C474" s="5" t="str">
        <f aca="true" t="shared" si="8" ref="C474:D476">D407</f>
        <v>X_gi_pt = </v>
      </c>
      <c r="D474" s="266">
        <f t="shared" si="8"/>
        <v>-2686125.690035998</v>
      </c>
      <c r="E474" s="5" t="s">
        <v>167</v>
      </c>
      <c r="F474" s="5" t="s">
        <v>595</v>
      </c>
      <c r="G474" s="68">
        <f>IF(D474="","",ASIN(D476/$D$467))</f>
        <v>0.668460894368115</v>
      </c>
      <c r="H474" t="s">
        <v>599</v>
      </c>
      <c r="I474" s="68">
        <f>IF(G474="","",DEGREES(G474))</f>
        <v>38.299988016833325</v>
      </c>
      <c r="J474" s="5" t="s">
        <v>1233</v>
      </c>
      <c r="L474" s="6"/>
    </row>
    <row r="475" spans="1:12" ht="12.75">
      <c r="A475" s="4"/>
      <c r="B475" s="5"/>
      <c r="C475" s="5" t="str">
        <f t="shared" si="8"/>
        <v>Y_gi_pt = </v>
      </c>
      <c r="D475" s="266">
        <f t="shared" si="8"/>
        <v>-4216349.560418654</v>
      </c>
      <c r="E475" s="5" t="s">
        <v>167</v>
      </c>
      <c r="F475" s="5" t="s">
        <v>510</v>
      </c>
      <c r="G475" s="389">
        <f>IF(D474/($D$467*COS(G474))&gt;=1,0,ACOS(D474/($D$467*COS(G474))))</f>
        <v>2.13803082642597</v>
      </c>
      <c r="H475" t="s">
        <v>599</v>
      </c>
      <c r="I475" s="68">
        <f>IF(G475="","",DEGREES(G475))</f>
        <v>122.50014282307556</v>
      </c>
      <c r="J475" s="5" t="s">
        <v>1233</v>
      </c>
      <c r="L475" s="6"/>
    </row>
    <row r="476" spans="1:12" ht="12.75">
      <c r="A476" s="4"/>
      <c r="B476" s="5"/>
      <c r="C476" s="5" t="str">
        <f t="shared" si="8"/>
        <v>Z_gi_pt = </v>
      </c>
      <c r="D476" s="266">
        <f t="shared" si="8"/>
        <v>3948197.612643084</v>
      </c>
      <c r="E476" s="5" t="s">
        <v>167</v>
      </c>
      <c r="F476" s="5" t="s">
        <v>423</v>
      </c>
      <c r="G476" s="68">
        <f>IF(D474="","",ASIN(D475/($D$467*COS(G474))))</f>
        <v>-1.0035618271638185</v>
      </c>
      <c r="H476" t="s">
        <v>599</v>
      </c>
      <c r="I476" s="68">
        <f>IF(G476="","",DEGREES(G476))</f>
        <v>-57.49985717692417</v>
      </c>
      <c r="J476" s="5" t="s">
        <v>1233</v>
      </c>
      <c r="L476" s="6"/>
    </row>
    <row r="477" spans="1:12" ht="12.75">
      <c r="A477" s="4"/>
      <c r="B477" s="5"/>
      <c r="C477" s="5"/>
      <c r="D477" s="5"/>
      <c r="E477" s="177"/>
      <c r="F477" s="52"/>
      <c r="G477" s="52"/>
      <c r="H477" s="52"/>
      <c r="I477" s="202"/>
      <c r="J477" s="52"/>
      <c r="K477" s="5"/>
      <c r="L477" s="6"/>
    </row>
    <row r="478" spans="1:12" ht="15.75">
      <c r="A478" s="4"/>
      <c r="B478" s="16" t="s">
        <v>424</v>
      </c>
      <c r="C478" s="5"/>
      <c r="D478" s="5"/>
      <c r="E478" s="5"/>
      <c r="F478" s="5"/>
      <c r="G478" s="5"/>
      <c r="H478" s="5"/>
      <c r="I478" s="202"/>
      <c r="J478" s="52"/>
      <c r="K478" s="5"/>
      <c r="L478" s="6"/>
    </row>
    <row r="479" spans="1:12" ht="13.5" thickBot="1">
      <c r="A479" s="4"/>
      <c r="B479" s="5"/>
      <c r="C479" s="5"/>
      <c r="D479" s="5"/>
      <c r="E479" s="5"/>
      <c r="F479" s="22" t="s">
        <v>518</v>
      </c>
      <c r="G479" s="5"/>
      <c r="H479" s="5"/>
      <c r="I479" s="202"/>
      <c r="J479" s="52"/>
      <c r="K479" s="5"/>
      <c r="L479" s="6"/>
    </row>
    <row r="480" spans="1:17" ht="13.5" thickBot="1">
      <c r="A480" s="4"/>
      <c r="C480" s="26" t="s">
        <v>195</v>
      </c>
      <c r="D480" s="68">
        <f>IF(G474="","",G474)</f>
        <v>0.668460894368115</v>
      </c>
      <c r="E480" t="s">
        <v>599</v>
      </c>
      <c r="F480" s="5"/>
      <c r="G480" s="217">
        <f>IF(G474="","No Earth Intersection",DEGREES(D480))</f>
        <v>38.299988016833325</v>
      </c>
      <c r="H480" s="216"/>
      <c r="I480" s="22" t="s">
        <v>1233</v>
      </c>
      <c r="J480" s="52"/>
      <c r="K480" s="510">
        <f>D480-REC_SPH!D182</f>
        <v>0.0013748930938345394</v>
      </c>
      <c r="L480" s="504" t="s">
        <v>978</v>
      </c>
      <c r="M480" s="506"/>
      <c r="N480" s="517" t="s">
        <v>996</v>
      </c>
      <c r="O480" s="518"/>
      <c r="P480" s="518"/>
      <c r="Q480" s="519"/>
    </row>
    <row r="481" spans="1:17" ht="13.5" thickBot="1">
      <c r="A481" s="4"/>
      <c r="C481" s="26" t="s">
        <v>96</v>
      </c>
      <c r="D481" s="68">
        <f>IF(G474="","",IF(SIGN(G476)=-1,-G475,G475))</f>
        <v>-2.13803082642597</v>
      </c>
      <c r="E481" t="s">
        <v>599</v>
      </c>
      <c r="F481" s="5"/>
      <c r="G481" s="217">
        <f>IF(G474="","No Earth Intersection",DEGREES(D481))</f>
        <v>-122.50014282307556</v>
      </c>
      <c r="H481" s="216"/>
      <c r="I481" s="22" t="s">
        <v>1233</v>
      </c>
      <c r="J481" s="52"/>
      <c r="K481" s="510">
        <f>D481-REC_SPH!D183</f>
        <v>0.015411602727887441</v>
      </c>
      <c r="L481" s="504" t="s">
        <v>983</v>
      </c>
      <c r="M481" s="506"/>
      <c r="N481" s="520" t="str">
        <f>IF($E$66=1,IF($K$39=1,IF(SUM(K480:K481)&lt;&gt;0,"Sum of Comparison Not Equal to Zero","None"),"None"),"None")</f>
        <v>None</v>
      </c>
      <c r="O481" s="116"/>
      <c r="P481" s="116"/>
      <c r="Q481" s="87"/>
    </row>
    <row r="482" spans="1:13" ht="12.75">
      <c r="A482" s="4"/>
      <c r="B482" s="5"/>
      <c r="C482" s="5"/>
      <c r="D482" s="5"/>
      <c r="E482" s="177"/>
      <c r="F482" s="52"/>
      <c r="G482" s="52"/>
      <c r="H482" s="52"/>
      <c r="I482" s="202"/>
      <c r="J482" s="52"/>
      <c r="K482" s="510"/>
      <c r="L482" s="504" t="s">
        <v>980</v>
      </c>
      <c r="M482" s="506"/>
    </row>
    <row r="483" spans="1:12" ht="13.5" thickBot="1">
      <c r="A483" s="7"/>
      <c r="B483" s="8"/>
      <c r="C483" s="8"/>
      <c r="D483" s="8"/>
      <c r="E483" s="8"/>
      <c r="F483" s="8"/>
      <c r="G483" s="198"/>
      <c r="H483" s="8"/>
      <c r="I483" s="8"/>
      <c r="J483" s="8"/>
      <c r="K483" s="511"/>
      <c r="L483" s="9"/>
    </row>
    <row r="484" ht="13.5" thickBot="1">
      <c r="K484" s="268"/>
    </row>
    <row r="485" spans="1:12" ht="12.75">
      <c r="A485" s="1"/>
      <c r="B485" s="2"/>
      <c r="C485" s="2"/>
      <c r="D485" s="2"/>
      <c r="E485" s="2"/>
      <c r="F485" s="2"/>
      <c r="G485" s="2"/>
      <c r="H485" s="2"/>
      <c r="I485" s="2"/>
      <c r="J485" s="2"/>
      <c r="K485" s="512"/>
      <c r="L485" s="3"/>
    </row>
    <row r="486" spans="1:12" ht="12.75">
      <c r="A486" s="10" t="s">
        <v>1840</v>
      </c>
      <c r="B486" s="5"/>
      <c r="C486" s="5"/>
      <c r="D486" s="5"/>
      <c r="E486" s="5"/>
      <c r="F486" s="5"/>
      <c r="G486" s="5"/>
      <c r="H486" s="5"/>
      <c r="I486" s="5"/>
      <c r="J486" s="5"/>
      <c r="K486" s="17"/>
      <c r="L486" s="6"/>
    </row>
    <row r="487" spans="1:12" ht="12.75">
      <c r="A487" s="4"/>
      <c r="B487" s="5"/>
      <c r="C487" s="5"/>
      <c r="D487" s="5"/>
      <c r="E487" s="5"/>
      <c r="F487" s="5"/>
      <c r="G487" s="5"/>
      <c r="H487" s="5"/>
      <c r="I487" s="5"/>
      <c r="J487" s="5"/>
      <c r="K487" s="17"/>
      <c r="L487" s="6"/>
    </row>
    <row r="488" spans="1:12" ht="12.75">
      <c r="A488" s="4"/>
      <c r="B488" s="5" t="s">
        <v>266</v>
      </c>
      <c r="C488" s="5"/>
      <c r="D488" s="5"/>
      <c r="E488" s="5"/>
      <c r="F488" s="5"/>
      <c r="G488" s="5"/>
      <c r="H488" s="5"/>
      <c r="I488" s="5"/>
      <c r="J488" s="5"/>
      <c r="K488" s="268"/>
      <c r="L488" s="6"/>
    </row>
    <row r="489" spans="1:12" ht="12.75">
      <c r="A489" s="4"/>
      <c r="B489" s="5"/>
      <c r="C489" s="5"/>
      <c r="D489" s="5"/>
      <c r="E489" s="5"/>
      <c r="F489" s="22" t="s">
        <v>515</v>
      </c>
      <c r="G489" s="5"/>
      <c r="H489" s="5"/>
      <c r="I489" s="5"/>
      <c r="J489" s="5"/>
      <c r="K489" s="268"/>
      <c r="L489" s="6"/>
    </row>
    <row r="490" spans="1:12" ht="12.75">
      <c r="A490" s="4"/>
      <c r="B490" s="5"/>
      <c r="C490" s="5" t="str">
        <f aca="true" t="shared" si="9" ref="C490:D492">D423</f>
        <v>X_gi_pl = </v>
      </c>
      <c r="D490" s="266">
        <f t="shared" si="9"/>
        <v>-2686117.8282948085</v>
      </c>
      <c r="E490" s="5" t="s">
        <v>167</v>
      </c>
      <c r="F490" s="5" t="s">
        <v>595</v>
      </c>
      <c r="G490" s="68">
        <f>IF(D490="","",ASIN(D492/$D$467))</f>
        <v>0.6684593207045209</v>
      </c>
      <c r="H490" t="s">
        <v>599</v>
      </c>
      <c r="I490" s="68">
        <f>IF(G490="","",DEGREES(G490))</f>
        <v>38.29989785255101</v>
      </c>
      <c r="J490" s="5" t="s">
        <v>1233</v>
      </c>
      <c r="K490" s="268"/>
      <c r="L490" s="6"/>
    </row>
    <row r="491" spans="1:12" ht="12.75">
      <c r="A491" s="4"/>
      <c r="B491" s="5"/>
      <c r="C491" s="5" t="str">
        <f t="shared" si="9"/>
        <v>Y_gi_pl = </v>
      </c>
      <c r="D491" s="266">
        <f t="shared" si="9"/>
        <v>-4216361.935757126</v>
      </c>
      <c r="E491" s="5" t="s">
        <v>167</v>
      </c>
      <c r="F491" s="5" t="s">
        <v>510</v>
      </c>
      <c r="G491" s="389">
        <f>IF(D490/($D$467*COS(G490))&gt;=1,0,ACOS(D490/($D$467*COS(G490))))</f>
        <v>2.1380281700896564</v>
      </c>
      <c r="H491" t="s">
        <v>599</v>
      </c>
      <c r="I491" s="68">
        <f>IF(G491="","",DEGREES(G491))</f>
        <v>122.49999062621582</v>
      </c>
      <c r="J491" s="5" t="s">
        <v>1233</v>
      </c>
      <c r="K491" s="268"/>
      <c r="L491" s="6"/>
    </row>
    <row r="492" spans="1:12" ht="12.75">
      <c r="A492" s="4"/>
      <c r="B492" s="5"/>
      <c r="C492" s="5" t="str">
        <f t="shared" si="9"/>
        <v>Z_gi_pl = </v>
      </c>
      <c r="D492" s="266">
        <f t="shared" si="9"/>
        <v>3948189.745441566</v>
      </c>
      <c r="E492" s="5" t="s">
        <v>167</v>
      </c>
      <c r="F492" s="5" t="s">
        <v>423</v>
      </c>
      <c r="G492" s="68">
        <f>IF(D490="","",ASIN(D491/($D$467*COS(G490))))</f>
        <v>-1.0035644835001427</v>
      </c>
      <c r="H492" t="s">
        <v>599</v>
      </c>
      <c r="I492" s="68">
        <f>IF(G492="","",DEGREES(G492))</f>
        <v>-57.50000937378452</v>
      </c>
      <c r="J492" s="5" t="s">
        <v>1233</v>
      </c>
      <c r="K492" s="268"/>
      <c r="L492" s="6"/>
    </row>
    <row r="493" spans="1:12" ht="12.75">
      <c r="A493" s="4"/>
      <c r="B493" s="5"/>
      <c r="C493" s="5"/>
      <c r="D493" s="5"/>
      <c r="E493" s="177"/>
      <c r="F493" s="52"/>
      <c r="G493" s="52"/>
      <c r="H493" s="52"/>
      <c r="I493" s="202"/>
      <c r="J493" s="52"/>
      <c r="K493" s="17"/>
      <c r="L493" s="6"/>
    </row>
    <row r="494" spans="1:12" ht="15.75">
      <c r="A494" s="4"/>
      <c r="B494" s="16" t="s">
        <v>424</v>
      </c>
      <c r="C494" s="5"/>
      <c r="D494" s="5"/>
      <c r="E494" s="5"/>
      <c r="F494" s="5"/>
      <c r="G494" s="5"/>
      <c r="H494" s="5"/>
      <c r="I494" s="202"/>
      <c r="J494" s="52"/>
      <c r="K494" s="17"/>
      <c r="L494" s="6"/>
    </row>
    <row r="495" spans="1:12" ht="13.5" thickBot="1">
      <c r="A495" s="4"/>
      <c r="B495" s="5"/>
      <c r="C495" s="5"/>
      <c r="D495" s="5"/>
      <c r="E495" s="5"/>
      <c r="F495" s="22" t="s">
        <v>518</v>
      </c>
      <c r="G495" s="5"/>
      <c r="H495" s="5"/>
      <c r="I495" s="202"/>
      <c r="J495" s="52"/>
      <c r="K495" s="17"/>
      <c r="L495" s="6"/>
    </row>
    <row r="496" spans="1:17" ht="13.5" thickBot="1">
      <c r="A496" s="4"/>
      <c r="C496" s="26" t="s">
        <v>195</v>
      </c>
      <c r="D496" s="68">
        <f>IF(G490="","",G490)</f>
        <v>0.6684593207045209</v>
      </c>
      <c r="E496" t="s">
        <v>599</v>
      </c>
      <c r="F496" s="5"/>
      <c r="G496" s="217">
        <f>IF(G490="","No Earth Intersection",DEGREES(D496))</f>
        <v>38.29989785255101</v>
      </c>
      <c r="H496" s="216"/>
      <c r="I496" s="22" t="s">
        <v>1233</v>
      </c>
      <c r="J496" s="52"/>
      <c r="K496" s="510">
        <f>D496-REC_SPH!D214</f>
        <v>0.011466232783710839</v>
      </c>
      <c r="L496" s="504" t="s">
        <v>978</v>
      </c>
      <c r="M496" s="506"/>
      <c r="N496" s="517" t="s">
        <v>997</v>
      </c>
      <c r="O496" s="518"/>
      <c r="P496" s="518"/>
      <c r="Q496" s="519"/>
    </row>
    <row r="497" spans="1:17" ht="13.5" thickBot="1">
      <c r="A497" s="4"/>
      <c r="C497" s="26" t="s">
        <v>96</v>
      </c>
      <c r="D497" s="68">
        <f>IF(G490="","",IF(SIGN(G492)=-1,-G491,G491))</f>
        <v>-2.1380281700896564</v>
      </c>
      <c r="E497" t="s">
        <v>599</v>
      </c>
      <c r="F497" s="5"/>
      <c r="G497" s="217">
        <f>IF(G490="","No Earth Intersection",DEGREES(D497))</f>
        <v>-122.49999062621582</v>
      </c>
      <c r="H497" s="216"/>
      <c r="I497" s="22" t="s">
        <v>1233</v>
      </c>
      <c r="J497" s="52"/>
      <c r="K497" s="510">
        <f>D497-REC_SPH!D215</f>
        <v>-0.0010332610091912109</v>
      </c>
      <c r="L497" s="504" t="s">
        <v>981</v>
      </c>
      <c r="M497" s="506"/>
      <c r="N497" s="520" t="str">
        <f>IF($E$66=1,IF($K$39=1,IF(SUM(K496:K497)&lt;&gt;0,"Sum of Comparison Not Equal to Zero","None"),"None"),"None")</f>
        <v>None</v>
      </c>
      <c r="O497" s="116"/>
      <c r="P497" s="116"/>
      <c r="Q497" s="87"/>
    </row>
    <row r="498" spans="1:13" ht="12.75">
      <c r="A498" s="4"/>
      <c r="B498" s="5"/>
      <c r="C498" s="5"/>
      <c r="D498" s="5"/>
      <c r="E498" s="177"/>
      <c r="F498" s="52"/>
      <c r="G498" s="52"/>
      <c r="H498" s="52"/>
      <c r="I498" s="202"/>
      <c r="J498" s="52"/>
      <c r="K498" s="17"/>
      <c r="L498" s="504" t="s">
        <v>980</v>
      </c>
      <c r="M498" s="506"/>
    </row>
    <row r="499" spans="1:12" ht="13.5" thickBot="1">
      <c r="A499" s="7"/>
      <c r="B499" s="8"/>
      <c r="C499" s="8"/>
      <c r="D499" s="8"/>
      <c r="E499" s="8"/>
      <c r="F499" s="8"/>
      <c r="G499" s="198"/>
      <c r="H499" s="8"/>
      <c r="I499" s="8"/>
      <c r="J499" s="8"/>
      <c r="K499" s="511"/>
      <c r="L499" s="9"/>
    </row>
    <row r="500" ht="13.5" thickBot="1">
      <c r="K500" s="268"/>
    </row>
    <row r="501" spans="1:12" ht="12.75">
      <c r="A501" s="1"/>
      <c r="B501" s="2"/>
      <c r="C501" s="2"/>
      <c r="D501" s="2"/>
      <c r="E501" s="2"/>
      <c r="F501" s="2"/>
      <c r="G501" s="2"/>
      <c r="H501" s="2"/>
      <c r="I501" s="2"/>
      <c r="J501" s="2"/>
      <c r="K501" s="512"/>
      <c r="L501" s="3"/>
    </row>
    <row r="502" spans="1:12" ht="12.75">
      <c r="A502" s="10" t="s">
        <v>1841</v>
      </c>
      <c r="B502" s="5"/>
      <c r="C502" s="5"/>
      <c r="D502" s="5"/>
      <c r="E502" s="5"/>
      <c r="F502" s="5"/>
      <c r="G502" s="5"/>
      <c r="H502" s="5"/>
      <c r="I502" s="5"/>
      <c r="J502" s="5"/>
      <c r="K502" s="17"/>
      <c r="L502" s="6"/>
    </row>
    <row r="503" spans="1:12" ht="12.75">
      <c r="A503" s="4"/>
      <c r="B503" s="5"/>
      <c r="C503" s="5"/>
      <c r="D503" s="5"/>
      <c r="E503" s="5"/>
      <c r="F503" s="5"/>
      <c r="G503" s="5"/>
      <c r="H503" s="5"/>
      <c r="I503" s="5"/>
      <c r="J503" s="5"/>
      <c r="K503" s="17"/>
      <c r="L503" s="6"/>
    </row>
    <row r="504" spans="1:12" ht="12.75">
      <c r="A504" s="4"/>
      <c r="B504" s="5" t="s">
        <v>266</v>
      </c>
      <c r="C504" s="5"/>
      <c r="D504" s="5"/>
      <c r="E504" s="5"/>
      <c r="F504" s="5"/>
      <c r="G504" s="5"/>
      <c r="H504" s="5"/>
      <c r="I504" s="5"/>
      <c r="J504" s="5"/>
      <c r="K504" s="268"/>
      <c r="L504" s="6"/>
    </row>
    <row r="505" spans="1:12" ht="12.75">
      <c r="A505" s="4"/>
      <c r="B505" s="5"/>
      <c r="C505" s="5"/>
      <c r="D505" s="5"/>
      <c r="E505" s="5"/>
      <c r="F505" s="22" t="s">
        <v>515</v>
      </c>
      <c r="G505" s="5"/>
      <c r="H505" s="5"/>
      <c r="I505" s="5"/>
      <c r="J505" s="5"/>
      <c r="K505" s="268"/>
      <c r="L505" s="6"/>
    </row>
    <row r="506" spans="1:12" ht="12.75">
      <c r="A506" s="4"/>
      <c r="B506" s="5"/>
      <c r="C506" s="52" t="str">
        <f aca="true" t="shared" si="10" ref="C506:D508">D439</f>
        <v>X_gi_pr = </v>
      </c>
      <c r="D506" s="266">
        <f t="shared" si="10"/>
        <v>-2686111.644006188</v>
      </c>
      <c r="E506" s="5" t="s">
        <v>167</v>
      </c>
      <c r="F506" s="5" t="s">
        <v>595</v>
      </c>
      <c r="G506" s="68">
        <f>IF(D506="","",ASIN(D508/$D$467))</f>
        <v>0.6684628862839735</v>
      </c>
      <c r="H506" t="s">
        <v>599</v>
      </c>
      <c r="I506" s="68">
        <f>IF(G506="","",DEGREES(G506))</f>
        <v>38.30010214520517</v>
      </c>
      <c r="J506" s="5" t="s">
        <v>1233</v>
      </c>
      <c r="K506" s="268"/>
      <c r="L506" s="6"/>
    </row>
    <row r="507" spans="1:12" ht="12.75">
      <c r="A507" s="4"/>
      <c r="B507" s="5"/>
      <c r="C507" s="52" t="str">
        <f t="shared" si="10"/>
        <v>Y_gi_pr = </v>
      </c>
      <c r="D507" s="266">
        <f t="shared" si="10"/>
        <v>-4216349.183908342</v>
      </c>
      <c r="E507" s="5" t="s">
        <v>167</v>
      </c>
      <c r="F507" s="5" t="s">
        <v>510</v>
      </c>
      <c r="G507" s="389">
        <f>IF(D506/($D$467*COS(G506))&gt;=1,0,ACOS(D506/($D$467*COS(G506))))</f>
        <v>2.1380284972937855</v>
      </c>
      <c r="H507" t="s">
        <v>599</v>
      </c>
      <c r="I507" s="68">
        <f>IF(G507="","",DEGREES(G507))</f>
        <v>122.50000937363146</v>
      </c>
      <c r="J507" s="5" t="s">
        <v>1233</v>
      </c>
      <c r="K507" s="268"/>
      <c r="L507" s="6"/>
    </row>
    <row r="508" spans="1:12" ht="12.75">
      <c r="A508" s="4"/>
      <c r="B508" s="5"/>
      <c r="C508" s="52" t="str">
        <f t="shared" si="10"/>
        <v>Z_gi_pr = </v>
      </c>
      <c r="D508" s="266">
        <f t="shared" si="10"/>
        <v>3948207.5707951714</v>
      </c>
      <c r="E508" s="5" t="s">
        <v>167</v>
      </c>
      <c r="F508" s="5" t="s">
        <v>423</v>
      </c>
      <c r="G508" s="68">
        <f>IF(D506="","",ASIN(D507/($D$467*COS(G506))))</f>
        <v>-1.0035641562960023</v>
      </c>
      <c r="H508" t="s">
        <v>599</v>
      </c>
      <c r="I508" s="68">
        <f>IF(G508="","",DEGREES(G508))</f>
        <v>-57.49999062636823</v>
      </c>
      <c r="J508" s="5" t="s">
        <v>1233</v>
      </c>
      <c r="K508" s="268"/>
      <c r="L508" s="6"/>
    </row>
    <row r="509" spans="1:12" ht="12.75">
      <c r="A509" s="4"/>
      <c r="B509" s="5"/>
      <c r="C509" s="5"/>
      <c r="D509" s="5"/>
      <c r="E509" s="177"/>
      <c r="F509" s="52"/>
      <c r="G509" s="52"/>
      <c r="H509" s="52"/>
      <c r="I509" s="202"/>
      <c r="J509" s="52"/>
      <c r="K509" s="17"/>
      <c r="L509" s="6"/>
    </row>
    <row r="510" spans="1:12" ht="15.75">
      <c r="A510" s="4"/>
      <c r="B510" s="16" t="s">
        <v>424</v>
      </c>
      <c r="C510" s="5"/>
      <c r="D510" s="5"/>
      <c r="E510" s="5"/>
      <c r="F510" s="5"/>
      <c r="G510" s="5"/>
      <c r="H510" s="5"/>
      <c r="I510" s="202"/>
      <c r="J510" s="52"/>
      <c r="K510" s="17"/>
      <c r="L510" s="6"/>
    </row>
    <row r="511" spans="1:12" ht="13.5" thickBot="1">
      <c r="A511" s="4"/>
      <c r="B511" s="5"/>
      <c r="C511" s="5"/>
      <c r="D511" s="5"/>
      <c r="E511" s="5"/>
      <c r="F511" s="22" t="s">
        <v>518</v>
      </c>
      <c r="G511" s="5"/>
      <c r="H511" s="5"/>
      <c r="I511" s="202"/>
      <c r="J511" s="52"/>
      <c r="K511" s="17"/>
      <c r="L511" s="6"/>
    </row>
    <row r="512" spans="1:17" ht="13.5" thickBot="1">
      <c r="A512" s="4"/>
      <c r="C512" s="26" t="s">
        <v>195</v>
      </c>
      <c r="D512" s="68">
        <f>IF(G506="","",G506)</f>
        <v>0.6684628862839735</v>
      </c>
      <c r="E512" t="s">
        <v>599</v>
      </c>
      <c r="F512" s="5"/>
      <c r="G512" s="217">
        <f>IF(G506="","No Earth Intersection",DEGREES(D512))</f>
        <v>38.30010214520517</v>
      </c>
      <c r="H512" s="216"/>
      <c r="I512" s="22" t="s">
        <v>1233</v>
      </c>
      <c r="J512" s="52"/>
      <c r="K512" s="510">
        <f>D512-REC_SPH!D246</f>
        <v>-0.010044755178410747</v>
      </c>
      <c r="L512" s="504" t="s">
        <v>978</v>
      </c>
      <c r="M512" s="506"/>
      <c r="N512" s="517" t="s">
        <v>998</v>
      </c>
      <c r="O512" s="518"/>
      <c r="P512" s="518"/>
      <c r="Q512" s="519"/>
    </row>
    <row r="513" spans="1:17" ht="13.5" thickBot="1">
      <c r="A513" s="4"/>
      <c r="C513" s="26" t="s">
        <v>96</v>
      </c>
      <c r="D513" s="68">
        <f>IF(G506="","",IF(SIGN(G508)=-1,-G507,G507))</f>
        <v>-2.1380284972937855</v>
      </c>
      <c r="E513" t="s">
        <v>599</v>
      </c>
      <c r="F513" s="5"/>
      <c r="G513" s="217">
        <f>IF(G506="","No Earth Intersection",DEGREES(D513))</f>
        <v>-122.50000937363146</v>
      </c>
      <c r="H513" s="216"/>
      <c r="I513" s="22" t="s">
        <v>1233</v>
      </c>
      <c r="J513" s="52"/>
      <c r="K513" s="510">
        <f>D513-REC_SPH!D247</f>
        <v>0.0009366564982729031</v>
      </c>
      <c r="L513" s="504" t="s">
        <v>982</v>
      </c>
      <c r="M513" s="506"/>
      <c r="N513" s="520" t="str">
        <f>IF($E$66=1,IF($K$39=1,IF(SUM(K512:K513)&lt;&gt;0,"Sum of Comparison Not Equal to Zero","None"),"None"),"None")</f>
        <v>None</v>
      </c>
      <c r="O513" s="116"/>
      <c r="P513" s="116"/>
      <c r="Q513" s="87"/>
    </row>
    <row r="514" spans="1:13" ht="12.75">
      <c r="A514" s="4"/>
      <c r="B514" s="5"/>
      <c r="C514" s="5"/>
      <c r="D514" s="5"/>
      <c r="E514" s="177"/>
      <c r="F514" s="52"/>
      <c r="G514" s="52"/>
      <c r="H514" s="52"/>
      <c r="I514" s="202"/>
      <c r="J514" s="52"/>
      <c r="K514" s="17"/>
      <c r="L514" s="504" t="s">
        <v>980</v>
      </c>
      <c r="M514" s="506"/>
    </row>
    <row r="515" spans="1:12" ht="13.5" thickBot="1">
      <c r="A515" s="7"/>
      <c r="B515" s="8"/>
      <c r="C515" s="8"/>
      <c r="D515" s="8"/>
      <c r="E515" s="8"/>
      <c r="F515" s="8"/>
      <c r="G515" s="198"/>
      <c r="H515" s="8"/>
      <c r="I515" s="8"/>
      <c r="J515" s="8"/>
      <c r="K515" s="511"/>
      <c r="L515" s="9"/>
    </row>
    <row r="516" ht="13.5" thickBot="1">
      <c r="K516" s="268"/>
    </row>
    <row r="517" spans="1:12" ht="12.75">
      <c r="A517" s="1"/>
      <c r="B517" s="2"/>
      <c r="C517" s="2"/>
      <c r="D517" s="2"/>
      <c r="E517" s="2"/>
      <c r="F517" s="2"/>
      <c r="G517" s="2"/>
      <c r="H517" s="2"/>
      <c r="I517" s="2"/>
      <c r="J517" s="2"/>
      <c r="K517" s="512"/>
      <c r="L517" s="3"/>
    </row>
    <row r="518" spans="1:12" ht="12.75">
      <c r="A518" s="10" t="s">
        <v>394</v>
      </c>
      <c r="B518" s="5"/>
      <c r="C518" s="5"/>
      <c r="D518" s="5"/>
      <c r="E518" s="5"/>
      <c r="F518" s="5"/>
      <c r="G518" s="5"/>
      <c r="H518" s="5"/>
      <c r="I518" s="5"/>
      <c r="J518" s="5"/>
      <c r="K518" s="17"/>
      <c r="L518" s="6"/>
    </row>
    <row r="519" spans="1:12" ht="12.75">
      <c r="A519" s="4"/>
      <c r="B519" s="5"/>
      <c r="C519" s="5"/>
      <c r="D519" s="5"/>
      <c r="E519" s="5"/>
      <c r="F519" s="5"/>
      <c r="G519" s="5"/>
      <c r="H519" s="5"/>
      <c r="I519" s="5"/>
      <c r="J519" s="5"/>
      <c r="K519" s="17"/>
      <c r="L519" s="6"/>
    </row>
    <row r="520" spans="1:12" ht="12.75">
      <c r="A520" s="4"/>
      <c r="B520" s="5" t="s">
        <v>266</v>
      </c>
      <c r="C520" s="5"/>
      <c r="D520" s="5"/>
      <c r="E520" s="5"/>
      <c r="F520" s="5"/>
      <c r="G520" s="5"/>
      <c r="H520" s="5"/>
      <c r="I520" s="5"/>
      <c r="J520" s="5"/>
      <c r="K520" s="268"/>
      <c r="L520" s="6"/>
    </row>
    <row r="521" spans="1:12" ht="12.75">
      <c r="A521" s="4"/>
      <c r="B521" s="5"/>
      <c r="C521" s="5"/>
      <c r="D521" s="5"/>
      <c r="E521" s="5"/>
      <c r="F521" s="22" t="s">
        <v>515</v>
      </c>
      <c r="G521" s="5"/>
      <c r="H521" s="5"/>
      <c r="I521" s="5"/>
      <c r="J521" s="5"/>
      <c r="K521" s="268"/>
      <c r="L521" s="6"/>
    </row>
    <row r="522" spans="1:12" ht="12.75">
      <c r="A522" s="4"/>
      <c r="B522" s="5"/>
      <c r="C522" s="5" t="str">
        <f aca="true" t="shared" si="11" ref="C522:D524">D455</f>
        <v>X_gi_pb = </v>
      </c>
      <c r="D522" s="266">
        <f t="shared" si="11"/>
        <v>-2686103.7823022944</v>
      </c>
      <c r="E522" s="5" t="s">
        <v>167</v>
      </c>
      <c r="F522" s="5" t="s">
        <v>595</v>
      </c>
      <c r="G522" s="68">
        <f>IF(D522="","",ASIN(D524/$D$467))</f>
        <v>0.6684613126533033</v>
      </c>
      <c r="H522" t="s">
        <v>599</v>
      </c>
      <c r="I522" s="68">
        <f>IF(G522="","",DEGREES(G522))</f>
        <v>38.30001198280925</v>
      </c>
      <c r="J522" s="5" t="s">
        <v>1233</v>
      </c>
      <c r="K522" s="268"/>
      <c r="L522" s="6"/>
    </row>
    <row r="523" spans="1:12" ht="12.75">
      <c r="A523" s="4"/>
      <c r="B523" s="5"/>
      <c r="C523" s="5" t="str">
        <f t="shared" si="11"/>
        <v>Y_gi_pb = </v>
      </c>
      <c r="D523" s="266">
        <f t="shared" si="11"/>
        <v>-4216361.559050816</v>
      </c>
      <c r="E523" s="5" t="s">
        <v>167</v>
      </c>
      <c r="F523" s="5" t="s">
        <v>510</v>
      </c>
      <c r="G523" s="389">
        <f>IF(D522/($D$467*COS(G522))&gt;=1,0,ACOS(D522/($D$467*COS(G522))))</f>
        <v>2.1380258409835426</v>
      </c>
      <c r="H523" t="s">
        <v>599</v>
      </c>
      <c r="I523" s="68">
        <f>IF(G523="","",DEGREES(G523))</f>
        <v>122.49985717826547</v>
      </c>
      <c r="J523" s="5" t="s">
        <v>1233</v>
      </c>
      <c r="K523" s="268"/>
      <c r="L523" s="6"/>
    </row>
    <row r="524" spans="1:12" ht="12.75">
      <c r="A524" s="4"/>
      <c r="B524" s="5"/>
      <c r="C524" s="5" t="str">
        <f t="shared" si="11"/>
        <v>Z_gi_pb = </v>
      </c>
      <c r="D524" s="266">
        <f t="shared" si="11"/>
        <v>3948199.703770625</v>
      </c>
      <c r="E524" s="5" t="s">
        <v>167</v>
      </c>
      <c r="F524" s="5" t="s">
        <v>423</v>
      </c>
      <c r="G524" s="68">
        <f>IF(D522="","",ASIN(D523/($D$467*COS(G522))))</f>
        <v>-1.0035668126062494</v>
      </c>
      <c r="H524" t="s">
        <v>599</v>
      </c>
      <c r="I524" s="68">
        <f>IF(G524="","",DEGREES(G524))</f>
        <v>-57.50014282173447</v>
      </c>
      <c r="J524" s="5" t="s">
        <v>1233</v>
      </c>
      <c r="K524" s="268"/>
      <c r="L524" s="6"/>
    </row>
    <row r="525" spans="1:12" ht="12.75">
      <c r="A525" s="4"/>
      <c r="B525" s="5"/>
      <c r="C525" s="5"/>
      <c r="D525" s="5"/>
      <c r="E525" s="177"/>
      <c r="F525" s="52"/>
      <c r="G525" s="52"/>
      <c r="H525" s="52"/>
      <c r="I525" s="202"/>
      <c r="J525" s="52"/>
      <c r="K525" s="17"/>
      <c r="L525" s="6"/>
    </row>
    <row r="526" spans="1:12" ht="15.75">
      <c r="A526" s="4"/>
      <c r="B526" s="16" t="s">
        <v>424</v>
      </c>
      <c r="C526" s="5"/>
      <c r="D526" s="5"/>
      <c r="E526" s="5"/>
      <c r="F526" s="5"/>
      <c r="G526" s="5"/>
      <c r="H526" s="5"/>
      <c r="I526" s="202"/>
      <c r="J526" s="52"/>
      <c r="K526" s="17"/>
      <c r="L526" s="6"/>
    </row>
    <row r="527" spans="1:12" ht="13.5" thickBot="1">
      <c r="A527" s="4"/>
      <c r="B527" s="5"/>
      <c r="C527" s="5"/>
      <c r="D527" s="5"/>
      <c r="E527" s="5"/>
      <c r="F527" s="22" t="s">
        <v>518</v>
      </c>
      <c r="G527" s="5"/>
      <c r="H527" s="5"/>
      <c r="I527" s="202"/>
      <c r="J527" s="52"/>
      <c r="K527" s="17"/>
      <c r="L527" s="6"/>
    </row>
    <row r="528" spans="1:17" ht="13.5" thickBot="1">
      <c r="A528" s="4"/>
      <c r="C528" s="26" t="s">
        <v>195</v>
      </c>
      <c r="D528" s="68">
        <f>IF(G522="","",G522)</f>
        <v>0.6684613126533033</v>
      </c>
      <c r="E528" t="s">
        <v>599</v>
      </c>
      <c r="F528" s="5"/>
      <c r="G528" s="217">
        <f>IF(G522="","No Earth Intersection",DEGREES(D528))</f>
        <v>38.30001198280925</v>
      </c>
      <c r="H528" s="216"/>
      <c r="I528" s="22" t="s">
        <v>1233</v>
      </c>
      <c r="J528" s="52"/>
      <c r="K528" s="510">
        <f>D528-REC_SPH!D278</f>
        <v>-0.0011491394003345645</v>
      </c>
      <c r="L528" s="504" t="s">
        <v>978</v>
      </c>
      <c r="M528" s="506"/>
      <c r="N528" s="517" t="s">
        <v>999</v>
      </c>
      <c r="O528" s="518"/>
      <c r="P528" s="518"/>
      <c r="Q528" s="519"/>
    </row>
    <row r="529" spans="1:17" ht="13.5" thickBot="1">
      <c r="A529" s="4"/>
      <c r="C529" s="26" t="s">
        <v>96</v>
      </c>
      <c r="D529" s="68">
        <f>IF(G522="","",IF(SIGN(G524)=-1,-G523,G523))</f>
        <v>-2.1380258409835426</v>
      </c>
      <c r="E529" t="s">
        <v>599</v>
      </c>
      <c r="F529" s="5"/>
      <c r="G529" s="217">
        <f>IF(G522="","No Earth Intersection",DEGREES(D529))</f>
        <v>-122.49985717826547</v>
      </c>
      <c r="H529" s="216"/>
      <c r="I529" s="22" t="s">
        <v>1233</v>
      </c>
      <c r="J529" s="52"/>
      <c r="K529" s="510">
        <f>D529-REC_SPH!D279</f>
        <v>-0.014564454616369904</v>
      </c>
      <c r="L529" s="504" t="s">
        <v>983</v>
      </c>
      <c r="M529" s="506"/>
      <c r="N529" s="520" t="str">
        <f>IF($E$66=1,IF($K$39=1,IF(SUM(K528:K529)&lt;&gt;0,"Sum of Comparison Not Equal to Zero","None"),"None"),"None")</f>
        <v>None</v>
      </c>
      <c r="O529" s="116"/>
      <c r="P529" s="116"/>
      <c r="Q529" s="87"/>
    </row>
    <row r="530" spans="1:13" ht="12.75">
      <c r="A530" s="4"/>
      <c r="B530" s="5"/>
      <c r="C530" s="5"/>
      <c r="D530" s="5"/>
      <c r="E530" s="177"/>
      <c r="F530" s="52"/>
      <c r="G530" s="52"/>
      <c r="H530" s="52"/>
      <c r="I530" s="202"/>
      <c r="J530" s="52"/>
      <c r="K530" s="5"/>
      <c r="L530" s="504" t="s">
        <v>980</v>
      </c>
      <c r="M530" s="506"/>
    </row>
    <row r="531" spans="1:12" ht="13.5" thickBot="1">
      <c r="A531" s="7"/>
      <c r="B531" s="8"/>
      <c r="C531" s="8"/>
      <c r="D531" s="8"/>
      <c r="E531" s="8"/>
      <c r="F531" s="8"/>
      <c r="G531" s="198"/>
      <c r="H531" s="8"/>
      <c r="I531" s="8"/>
      <c r="J531" s="8"/>
      <c r="K531" s="8"/>
      <c r="L531" s="9"/>
    </row>
    <row r="534" ht="15.75">
      <c r="A534" s="11" t="s">
        <v>1320</v>
      </c>
    </row>
    <row r="535" ht="15.75">
      <c r="A535" s="11" t="s">
        <v>395</v>
      </c>
    </row>
    <row r="537" spans="2:5" ht="12.75">
      <c r="B537" s="5" t="s">
        <v>1165</v>
      </c>
      <c r="C537" s="5"/>
      <c r="D537" s="5"/>
      <c r="E537" s="5"/>
    </row>
    <row r="538" spans="2:5" ht="12.75">
      <c r="B538" s="5" t="s">
        <v>1552</v>
      </c>
      <c r="C538" s="5"/>
      <c r="D538" s="5"/>
      <c r="E538" s="5"/>
    </row>
    <row r="539" spans="2:5" ht="12.75">
      <c r="B539" s="5"/>
      <c r="C539" s="26" t="str">
        <f>Surf_Dist!K80</f>
        <v>X_ce = </v>
      </c>
      <c r="D539" s="406">
        <f>Surf_Dist!L80</f>
        <v>0</v>
      </c>
      <c r="E539" s="5" t="s">
        <v>167</v>
      </c>
    </row>
    <row r="540" spans="2:9" ht="12.75">
      <c r="B540" s="5"/>
      <c r="C540" s="26" t="str">
        <f>Surf_Dist!K81</f>
        <v>Y_ce = </v>
      </c>
      <c r="D540" s="406">
        <f>Surf_Dist!L81</f>
        <v>0</v>
      </c>
      <c r="E540" s="5" t="s">
        <v>167</v>
      </c>
      <c r="F540" s="5" t="s">
        <v>1188</v>
      </c>
      <c r="H540" s="188">
        <f>D467</f>
        <v>6370332.740665482</v>
      </c>
      <c r="I540" s="5" t="s">
        <v>167</v>
      </c>
    </row>
    <row r="541" spans="2:5" ht="12.75">
      <c r="B541" s="5"/>
      <c r="C541" s="26" t="str">
        <f>Surf_Dist!K82</f>
        <v>Z_ce = </v>
      </c>
      <c r="D541" s="406">
        <f>Surf_Dist!L82</f>
        <v>0</v>
      </c>
      <c r="E541" s="5" t="s">
        <v>167</v>
      </c>
    </row>
    <row r="543" ht="13.5" thickBot="1"/>
    <row r="544" spans="1:13" ht="12.75">
      <c r="A544" s="1"/>
      <c r="B544" s="2"/>
      <c r="C544" s="2"/>
      <c r="D544" s="2"/>
      <c r="E544" s="2"/>
      <c r="F544" s="2"/>
      <c r="G544" s="2"/>
      <c r="H544" s="2"/>
      <c r="I544" s="2"/>
      <c r="J544" s="2"/>
      <c r="K544" s="2"/>
      <c r="L544" s="2"/>
      <c r="M544" s="3"/>
    </row>
    <row r="545" spans="1:13" ht="12.75">
      <c r="A545" s="10" t="s">
        <v>1260</v>
      </c>
      <c r="B545" s="5"/>
      <c r="C545" s="5"/>
      <c r="D545" s="5"/>
      <c r="E545" s="5"/>
      <c r="F545" s="5"/>
      <c r="G545" s="5"/>
      <c r="H545" s="5"/>
      <c r="I545" s="5"/>
      <c r="J545" s="5"/>
      <c r="K545" s="5"/>
      <c r="L545" s="5"/>
      <c r="M545" s="6"/>
    </row>
    <row r="546" spans="1:13" ht="12.75">
      <c r="A546" s="4"/>
      <c r="B546" s="5"/>
      <c r="C546" s="5"/>
      <c r="D546" s="5"/>
      <c r="E546" s="5"/>
      <c r="F546" s="5"/>
      <c r="G546" s="5"/>
      <c r="H546" s="5"/>
      <c r="I546" s="5"/>
      <c r="J546" s="5"/>
      <c r="K546" s="5"/>
      <c r="L546" s="5"/>
      <c r="M546" s="6"/>
    </row>
    <row r="547" spans="1:13" ht="12.75">
      <c r="A547" s="4"/>
      <c r="B547" s="5" t="s">
        <v>337</v>
      </c>
      <c r="C547" s="5"/>
      <c r="D547" s="5"/>
      <c r="E547" s="5"/>
      <c r="F547" s="5"/>
      <c r="G547" s="5"/>
      <c r="H547" s="5"/>
      <c r="I547" s="5"/>
      <c r="J547" s="5"/>
      <c r="K547" s="5"/>
      <c r="L547" s="5"/>
      <c r="M547" s="6"/>
    </row>
    <row r="548" spans="1:13" ht="12.75">
      <c r="A548" s="4"/>
      <c r="B548" s="5"/>
      <c r="C548" s="5"/>
      <c r="D548" s="5"/>
      <c r="E548" s="5"/>
      <c r="F548" s="5"/>
      <c r="G548" s="5"/>
      <c r="H548" s="5"/>
      <c r="I548" s="5"/>
      <c r="J548" s="5"/>
      <c r="K548" s="5"/>
      <c r="L548" s="5"/>
      <c r="M548" s="6"/>
    </row>
    <row r="549" spans="1:13" ht="13.5" thickBot="1">
      <c r="A549" s="4"/>
      <c r="B549" s="5"/>
      <c r="C549" s="22" t="s">
        <v>306</v>
      </c>
      <c r="D549" s="5"/>
      <c r="E549" s="5"/>
      <c r="F549" s="5"/>
      <c r="G549" s="5" t="s">
        <v>307</v>
      </c>
      <c r="H549" s="5"/>
      <c r="I549" s="22" t="s">
        <v>734</v>
      </c>
      <c r="J549" s="5"/>
      <c r="K549" s="5"/>
      <c r="L549" s="5"/>
      <c r="M549" s="6"/>
    </row>
    <row r="550" spans="1:18" ht="13.5" thickBot="1">
      <c r="A550" s="4"/>
      <c r="B550" s="5"/>
      <c r="C550" s="5"/>
      <c r="D550" s="5" t="str">
        <f aca="true" t="shared" si="12" ref="D550:E552">C474</f>
        <v>X_gi_pt = </v>
      </c>
      <c r="E550" s="266">
        <f t="shared" si="12"/>
        <v>-2686125.690035998</v>
      </c>
      <c r="F550" s="5" t="s">
        <v>167</v>
      </c>
      <c r="G550" s="5" t="s">
        <v>308</v>
      </c>
      <c r="H550" s="5"/>
      <c r="I550" s="5"/>
      <c r="J550" s="26" t="s">
        <v>364</v>
      </c>
      <c r="K550" s="185">
        <f>IF(E550="","",(E550-$L$80)/G552)</f>
        <v>-0.4216617560475174</v>
      </c>
      <c r="L550" s="509">
        <f>K550-Surf_Dist!K101</f>
        <v>0.01061850445767698</v>
      </c>
      <c r="M550" s="772" t="s">
        <v>978</v>
      </c>
      <c r="N550" s="772"/>
      <c r="O550" s="517" t="s">
        <v>1000</v>
      </c>
      <c r="P550" s="518"/>
      <c r="Q550" s="518"/>
      <c r="R550" s="519"/>
    </row>
    <row r="551" spans="1:18" ht="13.5" thickBot="1">
      <c r="A551" s="4"/>
      <c r="B551" s="5"/>
      <c r="C551" s="5"/>
      <c r="D551" s="5" t="str">
        <f t="shared" si="12"/>
        <v>Y_gi_pt = </v>
      </c>
      <c r="E551" s="266">
        <f t="shared" si="12"/>
        <v>-4216349.560418654</v>
      </c>
      <c r="F551" s="5" t="s">
        <v>167</v>
      </c>
      <c r="G551" s="5" t="s">
        <v>261</v>
      </c>
      <c r="H551" s="5"/>
      <c r="I551" s="5"/>
      <c r="J551" s="26" t="s">
        <v>365</v>
      </c>
      <c r="K551" s="185">
        <f>IF(E550="","",(E551-$L$81)/G552)</f>
        <v>-0.6618727360194682</v>
      </c>
      <c r="L551" s="509">
        <f>K551-Surf_Dist!K102</f>
        <v>-0.005865910968224086</v>
      </c>
      <c r="M551" s="772" t="s">
        <v>979</v>
      </c>
      <c r="N551" s="772"/>
      <c r="O551" s="520" t="str">
        <f>IF($E$66=1,IF($K$39=1,IF(SUM(L550:L552)&lt;&gt;0,"Sum of Comparison Not Equal to Zero","None"),"None"),"None")</f>
        <v>None</v>
      </c>
      <c r="P551" s="116"/>
      <c r="Q551" s="116"/>
      <c r="R551" s="87"/>
    </row>
    <row r="552" spans="1:14" ht="12.75">
      <c r="A552" s="4"/>
      <c r="B552" s="5"/>
      <c r="C552" s="5"/>
      <c r="D552" s="5" t="str">
        <f t="shared" si="12"/>
        <v>Z_gi_pt = </v>
      </c>
      <c r="E552" s="266">
        <f t="shared" si="12"/>
        <v>3948197.612643084</v>
      </c>
      <c r="F552" s="5" t="s">
        <v>167</v>
      </c>
      <c r="G552" s="189">
        <f>IF(E550="","",SQRT((E550-$D$539)^2+(E551-$D$540)^2+(E552-$D$541)^2))</f>
        <v>6370332.740665474</v>
      </c>
      <c r="H552" s="5" t="s">
        <v>167</v>
      </c>
      <c r="I552" s="5"/>
      <c r="J552" s="26" t="s">
        <v>366</v>
      </c>
      <c r="K552" s="185">
        <f>IF(E550="","",(E552-$L$82)/G552)</f>
        <v>0.6197788676625136</v>
      </c>
      <c r="L552" s="509">
        <f>K552-Surf_Dist!K103</f>
        <v>0.001079569243848888</v>
      </c>
      <c r="M552" s="772" t="s">
        <v>980</v>
      </c>
      <c r="N552" s="772"/>
    </row>
    <row r="553" spans="1:13" ht="12.75">
      <c r="A553" s="4"/>
      <c r="B553" s="5"/>
      <c r="C553" s="5"/>
      <c r="D553" s="5"/>
      <c r="E553" s="5"/>
      <c r="F553" s="5"/>
      <c r="G553" s="5"/>
      <c r="H553" s="5"/>
      <c r="I553" s="5"/>
      <c r="J553" s="5"/>
      <c r="K553" s="5"/>
      <c r="L553" s="17"/>
      <c r="M553" s="6"/>
    </row>
    <row r="554" spans="1:13" ht="12.75">
      <c r="A554" s="4"/>
      <c r="B554" s="5"/>
      <c r="C554" s="5"/>
      <c r="D554" s="5"/>
      <c r="E554" s="5"/>
      <c r="F554" s="5"/>
      <c r="G554" s="5"/>
      <c r="H554" s="5"/>
      <c r="I554" s="5"/>
      <c r="J554" s="5"/>
      <c r="K554" s="5"/>
      <c r="L554" s="17"/>
      <c r="M554" s="6"/>
    </row>
    <row r="555" spans="1:13" ht="12.75">
      <c r="A555" s="4"/>
      <c r="B555" s="5" t="s">
        <v>338</v>
      </c>
      <c r="C555" s="5"/>
      <c r="D555" s="5"/>
      <c r="E555" s="5"/>
      <c r="F555" s="5"/>
      <c r="G555" s="5"/>
      <c r="H555" s="5"/>
      <c r="I555" s="5"/>
      <c r="J555" s="5"/>
      <c r="K555" s="5"/>
      <c r="L555" s="17"/>
      <c r="M555" s="6"/>
    </row>
    <row r="556" spans="1:13" ht="12.75">
      <c r="A556" s="4"/>
      <c r="B556" s="5"/>
      <c r="C556" s="5"/>
      <c r="D556" s="5"/>
      <c r="E556" s="5"/>
      <c r="F556" s="5"/>
      <c r="G556" s="5"/>
      <c r="H556" s="5"/>
      <c r="I556" s="5"/>
      <c r="J556" s="5"/>
      <c r="K556" s="5"/>
      <c r="L556" s="17"/>
      <c r="M556" s="6"/>
    </row>
    <row r="557" spans="1:13" ht="13.5" thickBot="1">
      <c r="A557" s="4"/>
      <c r="B557" s="5"/>
      <c r="C557" s="22" t="s">
        <v>306</v>
      </c>
      <c r="D557" s="5"/>
      <c r="E557" s="5"/>
      <c r="F557" s="5"/>
      <c r="G557" s="5" t="s">
        <v>307</v>
      </c>
      <c r="H557" s="5"/>
      <c r="I557" s="22" t="s">
        <v>734</v>
      </c>
      <c r="J557" s="5"/>
      <c r="K557" s="5"/>
      <c r="L557" s="17"/>
      <c r="M557" s="6"/>
    </row>
    <row r="558" spans="1:18" ht="13.5" thickBot="1">
      <c r="A558" s="4"/>
      <c r="B558" s="5"/>
      <c r="C558" s="5"/>
      <c r="D558" s="5" t="str">
        <f aca="true" t="shared" si="13" ref="D558:E560">C490</f>
        <v>X_gi_pl = </v>
      </c>
      <c r="E558" s="266">
        <f t="shared" si="13"/>
        <v>-2686117.8282948085</v>
      </c>
      <c r="F558" s="5" t="s">
        <v>167</v>
      </c>
      <c r="G558" s="5" t="s">
        <v>308</v>
      </c>
      <c r="H558" s="5"/>
      <c r="I558" s="5"/>
      <c r="J558" s="26" t="s">
        <v>367</v>
      </c>
      <c r="K558" s="185">
        <f>IF(E558="","",(E558-$L$80)/G560)</f>
        <v>-0.4216605219296906</v>
      </c>
      <c r="L558" s="509">
        <f>K558-Surf_Dist!K117</f>
        <v>0.003100260248125597</v>
      </c>
      <c r="M558" s="504" t="s">
        <v>978</v>
      </c>
      <c r="N558" s="506"/>
      <c r="O558" s="517" t="s">
        <v>1001</v>
      </c>
      <c r="P558" s="518"/>
      <c r="Q558" s="518"/>
      <c r="R558" s="519"/>
    </row>
    <row r="559" spans="1:18" ht="13.5" thickBot="1">
      <c r="A559" s="4"/>
      <c r="B559" s="5"/>
      <c r="C559" s="5"/>
      <c r="D559" s="5" t="str">
        <f t="shared" si="13"/>
        <v>Y_gi_pl = </v>
      </c>
      <c r="E559" s="266">
        <f t="shared" si="13"/>
        <v>-4216361.935757126</v>
      </c>
      <c r="F559" s="5" t="s">
        <v>167</v>
      </c>
      <c r="G559" s="5" t="s">
        <v>261</v>
      </c>
      <c r="H559" s="5"/>
      <c r="I559" s="5"/>
      <c r="J559" s="26" t="s">
        <v>368</v>
      </c>
      <c r="K559" s="185">
        <f>IF(E558="","",(E559-$L$81)/G560)</f>
        <v>-0.6618746786712828</v>
      </c>
      <c r="L559" s="509">
        <f>K559-Surf_Dist!K118</f>
        <v>0.006389178986351718</v>
      </c>
      <c r="M559" s="504" t="s">
        <v>981</v>
      </c>
      <c r="N559" s="506"/>
      <c r="O559" s="520" t="str">
        <f>IF($E$66=1,IF($K$39=1,IF(SUM(L558:L560)&lt;&gt;0,"Sum of Comparison Not Equal to Zero","None"),"None"),"None")</f>
        <v>None</v>
      </c>
      <c r="P559" s="116"/>
      <c r="Q559" s="116"/>
      <c r="R559" s="87"/>
    </row>
    <row r="560" spans="1:14" ht="12.75">
      <c r="A560" s="4"/>
      <c r="B560" s="5"/>
      <c r="C560" s="5"/>
      <c r="D560" s="5" t="str">
        <f t="shared" si="13"/>
        <v>Z_gi_pl = </v>
      </c>
      <c r="E560" s="266">
        <f t="shared" si="13"/>
        <v>3948189.745441566</v>
      </c>
      <c r="F560" s="5" t="s">
        <v>167</v>
      </c>
      <c r="G560" s="189">
        <f>IF(E558="","",SQRT((E558-$D$539)^2+(E559-$D$540)^2+(E560-$D$541)^2))</f>
        <v>6370332.7406654935</v>
      </c>
      <c r="H560" s="5" t="s">
        <v>167</v>
      </c>
      <c r="I560" s="5"/>
      <c r="J560" s="26" t="s">
        <v>369</v>
      </c>
      <c r="K560" s="185">
        <f>IF(E558="","",(E560-$L$82)/G560)</f>
        <v>0.6197776326875365</v>
      </c>
      <c r="L560" s="509">
        <f>K560-Surf_Dist!K119</f>
        <v>0.00903898606999487</v>
      </c>
      <c r="M560" s="504" t="s">
        <v>980</v>
      </c>
      <c r="N560" s="506"/>
    </row>
    <row r="561" spans="1:13" ht="12.75">
      <c r="A561" s="4"/>
      <c r="B561" s="5"/>
      <c r="C561" s="5"/>
      <c r="D561" s="5"/>
      <c r="E561" s="5"/>
      <c r="F561" s="5"/>
      <c r="G561" s="5"/>
      <c r="H561" s="5"/>
      <c r="I561" s="5"/>
      <c r="J561" s="5"/>
      <c r="K561" s="5"/>
      <c r="L561" s="17"/>
      <c r="M561" s="6"/>
    </row>
    <row r="562" spans="1:13" ht="12.75">
      <c r="A562" s="4"/>
      <c r="B562" s="5"/>
      <c r="C562" s="5"/>
      <c r="D562" s="5"/>
      <c r="E562" s="5"/>
      <c r="F562" s="5"/>
      <c r="G562" s="5"/>
      <c r="H562" s="5"/>
      <c r="I562" s="5"/>
      <c r="J562" s="5"/>
      <c r="K562" s="5"/>
      <c r="L562" s="17"/>
      <c r="M562" s="6"/>
    </row>
    <row r="563" spans="1:13" ht="12.75">
      <c r="A563" s="4"/>
      <c r="B563" s="5" t="s">
        <v>339</v>
      </c>
      <c r="C563" s="5"/>
      <c r="D563" s="5"/>
      <c r="E563" s="5"/>
      <c r="F563" s="5"/>
      <c r="G563" s="5"/>
      <c r="H563" s="5"/>
      <c r="I563" s="5"/>
      <c r="J563" s="5"/>
      <c r="K563" s="5"/>
      <c r="L563" s="17"/>
      <c r="M563" s="6"/>
    </row>
    <row r="564" spans="1:13" ht="12.75">
      <c r="A564" s="4"/>
      <c r="B564" s="5"/>
      <c r="C564" s="5"/>
      <c r="D564" s="5"/>
      <c r="E564" s="5"/>
      <c r="F564" s="5"/>
      <c r="G564" s="5"/>
      <c r="H564" s="5"/>
      <c r="I564" s="5"/>
      <c r="J564" s="5"/>
      <c r="K564" s="5"/>
      <c r="L564" s="17"/>
      <c r="M564" s="6"/>
    </row>
    <row r="565" spans="1:13" ht="13.5" thickBot="1">
      <c r="A565" s="4"/>
      <c r="B565" s="5"/>
      <c r="C565" s="22" t="s">
        <v>306</v>
      </c>
      <c r="D565" s="5"/>
      <c r="E565" s="5"/>
      <c r="F565" s="5"/>
      <c r="G565" s="5" t="s">
        <v>307</v>
      </c>
      <c r="H565" s="5"/>
      <c r="I565" s="22" t="s">
        <v>734</v>
      </c>
      <c r="J565" s="5"/>
      <c r="K565" s="5"/>
      <c r="L565" s="17"/>
      <c r="M565" s="6"/>
    </row>
    <row r="566" spans="1:18" ht="13.5" thickBot="1">
      <c r="A566" s="4"/>
      <c r="B566" s="5"/>
      <c r="C566" s="5"/>
      <c r="D566" s="5" t="str">
        <f aca="true" t="shared" si="14" ref="D566:E568">C506</f>
        <v>X_gi_pr = </v>
      </c>
      <c r="E566" s="266">
        <f t="shared" si="14"/>
        <v>-2686111.644006188</v>
      </c>
      <c r="F566" s="5" t="s">
        <v>167</v>
      </c>
      <c r="G566" s="5" t="s">
        <v>308</v>
      </c>
      <c r="H566" s="5"/>
      <c r="I566" s="5"/>
      <c r="J566" s="26" t="s">
        <v>370</v>
      </c>
      <c r="K566" s="185">
        <f>IF(E566="","",(E566-$L$80)/G568)</f>
        <v>-0.42165955113446474</v>
      </c>
      <c r="L566" s="509">
        <f>K566-Surf_Dist!K133</f>
        <v>-0.002751383603032509</v>
      </c>
      <c r="M566" s="504" t="s">
        <v>978</v>
      </c>
      <c r="N566" s="506"/>
      <c r="O566" s="517" t="s">
        <v>1002</v>
      </c>
      <c r="P566" s="518"/>
      <c r="Q566" s="518"/>
      <c r="R566" s="519"/>
    </row>
    <row r="567" spans="1:18" ht="13.5" thickBot="1">
      <c r="A567" s="4"/>
      <c r="B567" s="5"/>
      <c r="C567" s="5"/>
      <c r="D567" s="5" t="str">
        <f t="shared" si="14"/>
        <v>Y_gi_pr = </v>
      </c>
      <c r="E567" s="266">
        <f t="shared" si="14"/>
        <v>-4216349.183908342</v>
      </c>
      <c r="F567" s="5" t="s">
        <v>167</v>
      </c>
      <c r="G567" s="5" t="s">
        <v>261</v>
      </c>
      <c r="H567" s="5"/>
      <c r="I567" s="5"/>
      <c r="J567" s="26" t="s">
        <v>1806</v>
      </c>
      <c r="K567" s="185">
        <f>IF(E566="","",(E567-$L$81)/G568)</f>
        <v>-0.6618726769157562</v>
      </c>
      <c r="L567" s="509">
        <f>K567-Surf_Dist!K134</f>
        <v>-0.005675956000219751</v>
      </c>
      <c r="M567" s="504" t="s">
        <v>982</v>
      </c>
      <c r="N567" s="506"/>
      <c r="O567" s="520" t="str">
        <f>IF($E$66=1,IF($K$39=1,IF(SUM(L566:L568)&lt;&gt;0,"Sum of Comparison Not Equal to Zero","None"),"None"),"None")</f>
        <v>None</v>
      </c>
      <c r="P567" s="116"/>
      <c r="Q567" s="116"/>
      <c r="R567" s="87"/>
    </row>
    <row r="568" spans="1:14" ht="12.75">
      <c r="A568" s="4"/>
      <c r="B568" s="5"/>
      <c r="C568" s="5"/>
      <c r="D568" s="5" t="str">
        <f t="shared" si="14"/>
        <v>Z_gi_pr = </v>
      </c>
      <c r="E568" s="266">
        <f t="shared" si="14"/>
        <v>3948207.5707951714</v>
      </c>
      <c r="F568" s="5" t="s">
        <v>167</v>
      </c>
      <c r="G568" s="189">
        <f>IF(E566="","",SQRT((E566-$D$539)^2+(E567-$D$540)^2+(E568-$D$541)^2))</f>
        <v>6370332.740665473</v>
      </c>
      <c r="H568" s="5" t="s">
        <v>167</v>
      </c>
      <c r="I568" s="5"/>
      <c r="J568" s="26" t="s">
        <v>1807</v>
      </c>
      <c r="K568" s="185">
        <f>IF(E566="","",(E568-$L$82)/G568)</f>
        <v>0.6197804308700403</v>
      </c>
      <c r="L568" s="509">
        <f>K568-Surf_Dist!K135</f>
        <v>-0.007851476090683929</v>
      </c>
      <c r="M568" s="504" t="s">
        <v>980</v>
      </c>
      <c r="N568" s="506"/>
    </row>
    <row r="569" spans="1:13" ht="12.75">
      <c r="A569" s="4"/>
      <c r="B569" s="5"/>
      <c r="C569" s="5"/>
      <c r="D569" s="5"/>
      <c r="E569" s="5"/>
      <c r="F569" s="5"/>
      <c r="G569" s="5"/>
      <c r="H569" s="5"/>
      <c r="I569" s="5"/>
      <c r="J569" s="5"/>
      <c r="K569" s="5"/>
      <c r="L569" s="17"/>
      <c r="M569" s="6"/>
    </row>
    <row r="570" spans="1:13" ht="12.75">
      <c r="A570" s="4"/>
      <c r="B570" s="5"/>
      <c r="C570" s="5"/>
      <c r="D570" s="5"/>
      <c r="E570" s="5"/>
      <c r="F570" s="5"/>
      <c r="G570" s="5"/>
      <c r="H570" s="5"/>
      <c r="I570" s="5"/>
      <c r="J570" s="5"/>
      <c r="K570" s="5"/>
      <c r="L570" s="17"/>
      <c r="M570" s="6"/>
    </row>
    <row r="571" spans="1:13" ht="12.75">
      <c r="A571" s="4"/>
      <c r="B571" s="5" t="s">
        <v>340</v>
      </c>
      <c r="C571" s="5"/>
      <c r="D571" s="5"/>
      <c r="E571" s="5"/>
      <c r="F571" s="5"/>
      <c r="G571" s="5"/>
      <c r="H571" s="5"/>
      <c r="I571" s="5"/>
      <c r="J571" s="5"/>
      <c r="K571" s="5"/>
      <c r="L571" s="17"/>
      <c r="M571" s="6"/>
    </row>
    <row r="572" spans="1:13" ht="12.75">
      <c r="A572" s="4"/>
      <c r="B572" s="5"/>
      <c r="C572" s="5"/>
      <c r="D572" s="5"/>
      <c r="E572" s="5"/>
      <c r="F572" s="5"/>
      <c r="G572" s="5"/>
      <c r="H572" s="5"/>
      <c r="I572" s="5"/>
      <c r="J572" s="5"/>
      <c r="K572" s="5"/>
      <c r="L572" s="17"/>
      <c r="M572" s="6"/>
    </row>
    <row r="573" spans="1:13" ht="13.5" thickBot="1">
      <c r="A573" s="4"/>
      <c r="B573" s="5"/>
      <c r="C573" s="22" t="s">
        <v>306</v>
      </c>
      <c r="D573" s="5"/>
      <c r="E573" s="5"/>
      <c r="F573" s="5"/>
      <c r="G573" s="5" t="s">
        <v>307</v>
      </c>
      <c r="H573" s="5"/>
      <c r="I573" s="22" t="s">
        <v>734</v>
      </c>
      <c r="J573" s="5"/>
      <c r="K573" s="5"/>
      <c r="L573" s="17"/>
      <c r="M573" s="6"/>
    </row>
    <row r="574" spans="1:18" ht="13.5" thickBot="1">
      <c r="A574" s="4"/>
      <c r="B574" s="5"/>
      <c r="C574" s="5"/>
      <c r="D574" s="5" t="str">
        <f aca="true" t="shared" si="15" ref="D574:E576">C522</f>
        <v>X_gi_pb = </v>
      </c>
      <c r="E574" s="266">
        <f t="shared" si="15"/>
        <v>-2686103.7823022944</v>
      </c>
      <c r="F574" s="5" t="s">
        <v>167</v>
      </c>
      <c r="G574" s="5" t="s">
        <v>308</v>
      </c>
      <c r="H574" s="5"/>
      <c r="I574" s="5"/>
      <c r="J574" s="26" t="s">
        <v>1808</v>
      </c>
      <c r="K574" s="185">
        <f>IF(E574="","",(E574-$L$80)/G576)</f>
        <v>-0.4216583170224934</v>
      </c>
      <c r="L574" s="509">
        <f>K574-Surf_Dist!K149</f>
        <v>-0.010058376300900285</v>
      </c>
      <c r="M574" s="504" t="s">
        <v>978</v>
      </c>
      <c r="N574" s="506"/>
      <c r="O574" s="517" t="s">
        <v>1003</v>
      </c>
      <c r="P574" s="518"/>
      <c r="Q574" s="518"/>
      <c r="R574" s="519"/>
    </row>
    <row r="575" spans="1:18" ht="13.5" thickBot="1">
      <c r="A575" s="4"/>
      <c r="B575" s="5"/>
      <c r="C575" s="5"/>
      <c r="D575" s="5" t="str">
        <f t="shared" si="15"/>
        <v>Y_gi_pb = </v>
      </c>
      <c r="E575" s="266">
        <f t="shared" si="15"/>
        <v>-4216361.559050816</v>
      </c>
      <c r="F575" s="5" t="s">
        <v>167</v>
      </c>
      <c r="G575" s="5" t="s">
        <v>261</v>
      </c>
      <c r="H575" s="5"/>
      <c r="I575" s="5"/>
      <c r="J575" s="26" t="s">
        <v>1809</v>
      </c>
      <c r="K575" s="185">
        <f>IF(E574="","",(E575-$L$81)/G576)</f>
        <v>-0.6618746195368048</v>
      </c>
      <c r="L575" s="509">
        <f>K575-Surf_Dist!K150</f>
        <v>0.005464182613341473</v>
      </c>
      <c r="M575" s="504" t="s">
        <v>983</v>
      </c>
      <c r="N575" s="506"/>
      <c r="O575" s="520" t="str">
        <f>IF($E$66=1,IF($K$39=1,IF(SUM(L574:L576)&lt;&gt;0,"Sum of Comparison Not Equal to Zero","None"),"None"),"None")</f>
        <v>None</v>
      </c>
      <c r="P575" s="116"/>
      <c r="Q575" s="116"/>
      <c r="R575" s="87"/>
    </row>
    <row r="576" spans="1:14" ht="12.75">
      <c r="A576" s="4"/>
      <c r="B576" s="5"/>
      <c r="C576" s="5"/>
      <c r="D576" s="5" t="str">
        <f t="shared" si="15"/>
        <v>Z_gi_pb = </v>
      </c>
      <c r="E576" s="266">
        <f t="shared" si="15"/>
        <v>3948199.703770625</v>
      </c>
      <c r="F576" s="5" t="s">
        <v>167</v>
      </c>
      <c r="G576" s="189">
        <f>IF(E574="","",SQRT((E574-$D$539)^2+(E575-$D$540)^2+(E576-$D$541)^2))</f>
        <v>6370332.7406654805</v>
      </c>
      <c r="H576" s="5" t="s">
        <v>167</v>
      </c>
      <c r="I576" s="5"/>
      <c r="J576" s="26" t="s">
        <v>1810</v>
      </c>
      <c r="K576" s="185">
        <f>IF(E574="","",(E576-$L$82)/G576)</f>
        <v>0.619779195922845</v>
      </c>
      <c r="L576" s="509">
        <f>K576-Surf_Dist!K151</f>
        <v>-0.0009014078846116824</v>
      </c>
      <c r="M576" s="504" t="s">
        <v>980</v>
      </c>
      <c r="N576" s="506"/>
    </row>
    <row r="577" spans="1:13" ht="12.75">
      <c r="A577" s="4"/>
      <c r="B577" s="5"/>
      <c r="C577" s="5"/>
      <c r="D577" s="5"/>
      <c r="E577" s="5"/>
      <c r="F577" s="5"/>
      <c r="G577" s="5"/>
      <c r="H577" s="5"/>
      <c r="I577" s="5"/>
      <c r="J577" s="5"/>
      <c r="K577" s="5"/>
      <c r="L577" s="5"/>
      <c r="M577" s="6"/>
    </row>
    <row r="578" spans="1:13" ht="13.5" thickBot="1">
      <c r="A578" s="7"/>
      <c r="B578" s="8"/>
      <c r="C578" s="8"/>
      <c r="D578" s="8"/>
      <c r="E578" s="8"/>
      <c r="F578" s="8"/>
      <c r="G578" s="8"/>
      <c r="H578" s="8"/>
      <c r="I578" s="8"/>
      <c r="J578" s="8"/>
      <c r="K578" s="8"/>
      <c r="L578" s="8"/>
      <c r="M578" s="9"/>
    </row>
    <row r="579" spans="1:13" ht="13.5" thickBot="1">
      <c r="A579" s="5"/>
      <c r="B579" s="5"/>
      <c r="C579" s="5"/>
      <c r="D579" s="5"/>
      <c r="E579" s="5"/>
      <c r="F579" s="5"/>
      <c r="G579" s="5"/>
      <c r="H579" s="5"/>
      <c r="I579" s="5"/>
      <c r="J579" s="5"/>
      <c r="K579" s="5"/>
      <c r="L579" s="5"/>
      <c r="M579" s="5"/>
    </row>
    <row r="580" spans="1:12" ht="12.75">
      <c r="A580" s="1"/>
      <c r="B580" s="2"/>
      <c r="C580" s="2"/>
      <c r="D580" s="2"/>
      <c r="E580" s="2"/>
      <c r="F580" s="2"/>
      <c r="G580" s="2"/>
      <c r="H580" s="2"/>
      <c r="I580" s="2"/>
      <c r="J580" s="2"/>
      <c r="K580" s="2"/>
      <c r="L580" s="3"/>
    </row>
    <row r="581" spans="1:12" ht="12.75">
      <c r="A581" s="10" t="s">
        <v>110</v>
      </c>
      <c r="B581" s="5"/>
      <c r="C581" s="5"/>
      <c r="D581" s="5"/>
      <c r="E581" s="5"/>
      <c r="F581" s="5"/>
      <c r="G581" s="5"/>
      <c r="H581" s="5"/>
      <c r="I581" s="5"/>
      <c r="J581" s="5"/>
      <c r="K581" s="5"/>
      <c r="L581" s="6"/>
    </row>
    <row r="582" spans="1:12" ht="12.75">
      <c r="A582" s="10"/>
      <c r="B582" s="5"/>
      <c r="C582" s="5"/>
      <c r="D582" s="5"/>
      <c r="E582" s="5"/>
      <c r="F582" s="5"/>
      <c r="G582" s="5"/>
      <c r="H582" s="5"/>
      <c r="I582" s="5"/>
      <c r="J582" s="5"/>
      <c r="K582" s="5"/>
      <c r="L582" s="6"/>
    </row>
    <row r="583" spans="1:12" ht="12.75">
      <c r="A583" s="10"/>
      <c r="B583" s="5" t="s">
        <v>956</v>
      </c>
      <c r="C583" s="5"/>
      <c r="D583" s="5"/>
      <c r="E583" s="5"/>
      <c r="F583" s="5"/>
      <c r="G583" s="5"/>
      <c r="H583" s="5"/>
      <c r="I583" s="5"/>
      <c r="J583" s="5"/>
      <c r="K583" s="5"/>
      <c r="L583" s="6"/>
    </row>
    <row r="584" spans="1:12" ht="12.75">
      <c r="A584" s="10"/>
      <c r="B584" s="5" t="s">
        <v>264</v>
      </c>
      <c r="C584" s="5"/>
      <c r="D584" s="5"/>
      <c r="E584" s="5"/>
      <c r="F584" s="5"/>
      <c r="G584" s="5"/>
      <c r="H584" s="5"/>
      <c r="I584" s="5"/>
      <c r="J584" s="5"/>
      <c r="K584" s="5"/>
      <c r="L584" s="6"/>
    </row>
    <row r="585" spans="1:12" ht="12.75">
      <c r="A585" s="10"/>
      <c r="B585" s="5"/>
      <c r="C585" s="5"/>
      <c r="D585" s="5"/>
      <c r="E585" s="5"/>
      <c r="F585" s="5"/>
      <c r="G585" s="5"/>
      <c r="H585" s="5"/>
      <c r="I585" s="5"/>
      <c r="J585" s="5"/>
      <c r="K585" s="5"/>
      <c r="L585" s="6"/>
    </row>
    <row r="586" spans="1:12" ht="12.75">
      <c r="A586" s="4"/>
      <c r="B586" s="5" t="s">
        <v>149</v>
      </c>
      <c r="C586" s="5"/>
      <c r="D586" s="5"/>
      <c r="E586" s="5"/>
      <c r="F586" s="5"/>
      <c r="G586" s="5"/>
      <c r="H586" s="5"/>
      <c r="I586" s="5"/>
      <c r="J586" s="5"/>
      <c r="K586" s="5"/>
      <c r="L586" s="6"/>
    </row>
    <row r="587" spans="1:12" ht="12.75">
      <c r="A587" s="4"/>
      <c r="B587" s="5"/>
      <c r="C587" s="5"/>
      <c r="D587" s="5"/>
      <c r="E587" s="5"/>
      <c r="F587" s="5"/>
      <c r="G587" s="5"/>
      <c r="H587" s="5"/>
      <c r="I587" s="5"/>
      <c r="J587" s="5"/>
      <c r="K587" s="5"/>
      <c r="L587" s="6"/>
    </row>
    <row r="588" spans="1:12" ht="18">
      <c r="A588" s="4"/>
      <c r="B588" s="5"/>
      <c r="C588" s="218" t="s">
        <v>1337</v>
      </c>
      <c r="D588" s="218"/>
      <c r="E588" s="218"/>
      <c r="F588" s="218"/>
      <c r="G588" s="5"/>
      <c r="H588" s="5"/>
      <c r="I588" s="5"/>
      <c r="J588" s="5"/>
      <c r="K588" s="5"/>
      <c r="L588" s="6"/>
    </row>
    <row r="589" spans="1:12" ht="12.75">
      <c r="A589" s="4"/>
      <c r="B589" s="5"/>
      <c r="C589" s="126" t="s">
        <v>1338</v>
      </c>
      <c r="D589" s="5"/>
      <c r="E589" s="5"/>
      <c r="F589" s="5"/>
      <c r="G589" s="5"/>
      <c r="H589" s="5"/>
      <c r="I589" s="5"/>
      <c r="J589" s="5"/>
      <c r="K589" s="5"/>
      <c r="L589" s="6"/>
    </row>
    <row r="590" spans="1:12" ht="12.75">
      <c r="A590" s="4"/>
      <c r="B590" s="5"/>
      <c r="C590" s="22" t="s">
        <v>1547</v>
      </c>
      <c r="D590" s="22" t="s">
        <v>1348</v>
      </c>
      <c r="E590" s="22"/>
      <c r="F590" s="22" t="s">
        <v>150</v>
      </c>
      <c r="G590" s="5"/>
      <c r="H590" s="5"/>
      <c r="I590" s="5"/>
      <c r="J590" s="5"/>
      <c r="K590" s="5"/>
      <c r="L590" s="6"/>
    </row>
    <row r="591" spans="1:12" ht="12.75">
      <c r="A591" s="4"/>
      <c r="B591" s="264" t="s">
        <v>151</v>
      </c>
      <c r="C591" s="5"/>
      <c r="D591" s="5"/>
      <c r="E591" s="5"/>
      <c r="F591" s="5"/>
      <c r="G591" s="110" t="s">
        <v>152</v>
      </c>
      <c r="H591" s="5"/>
      <c r="I591" s="5"/>
      <c r="J591" s="5"/>
      <c r="K591" s="5"/>
      <c r="L591" s="6"/>
    </row>
    <row r="592" spans="1:12" ht="12.75">
      <c r="A592" s="4"/>
      <c r="B592" s="5"/>
      <c r="C592" s="5"/>
      <c r="D592" s="5"/>
      <c r="E592" s="261" t="s">
        <v>153</v>
      </c>
      <c r="F592" s="5"/>
      <c r="G592" s="5"/>
      <c r="H592" s="5"/>
      <c r="I592" s="5"/>
      <c r="J592" s="5"/>
      <c r="K592" s="5"/>
      <c r="L592" s="6"/>
    </row>
    <row r="593" spans="1:12" ht="12.75">
      <c r="A593" s="4"/>
      <c r="B593" s="5"/>
      <c r="C593" s="5"/>
      <c r="D593" s="5"/>
      <c r="E593" s="262"/>
      <c r="F593" s="5"/>
      <c r="G593" s="5"/>
      <c r="H593" s="5"/>
      <c r="I593" s="5"/>
      <c r="J593" s="5"/>
      <c r="K593" s="5"/>
      <c r="L593" s="6"/>
    </row>
    <row r="594" spans="1:12" ht="12.75">
      <c r="A594" s="4"/>
      <c r="B594" s="5"/>
      <c r="C594" s="5"/>
      <c r="D594" s="5"/>
      <c r="E594" s="5"/>
      <c r="F594" s="5"/>
      <c r="G594" s="5"/>
      <c r="H594" s="5"/>
      <c r="I594" s="5"/>
      <c r="J594" s="5"/>
      <c r="K594" s="5"/>
      <c r="L594" s="6"/>
    </row>
    <row r="595" spans="1:12" ht="12.75">
      <c r="A595" s="4"/>
      <c r="B595" s="5"/>
      <c r="C595" s="5"/>
      <c r="D595" s="5"/>
      <c r="E595" s="5"/>
      <c r="F595" s="5"/>
      <c r="G595" s="5"/>
      <c r="H595" s="5"/>
      <c r="I595" s="5"/>
      <c r="J595" s="5"/>
      <c r="K595" s="5"/>
      <c r="L595" s="6"/>
    </row>
    <row r="596" spans="1:12" ht="12.75">
      <c r="A596" s="4"/>
      <c r="B596" s="5"/>
      <c r="C596" s="5"/>
      <c r="D596" s="5"/>
      <c r="E596" s="5"/>
      <c r="F596" s="5"/>
      <c r="G596" s="5"/>
      <c r="H596" s="5" t="s">
        <v>1034</v>
      </c>
      <c r="I596" s="5"/>
      <c r="J596" s="5"/>
      <c r="K596" s="5"/>
      <c r="L596" s="6"/>
    </row>
    <row r="597" spans="1:12" ht="12.75">
      <c r="A597" s="4"/>
      <c r="B597" s="5"/>
      <c r="C597" s="5"/>
      <c r="D597" s="5"/>
      <c r="E597" s="5"/>
      <c r="F597" s="5"/>
      <c r="G597" s="5"/>
      <c r="H597" s="5" t="s">
        <v>960</v>
      </c>
      <c r="I597" s="5"/>
      <c r="J597" s="5"/>
      <c r="K597" s="5"/>
      <c r="L597" s="6"/>
    </row>
    <row r="598" spans="1:12" ht="12.75">
      <c r="A598" s="4"/>
      <c r="B598" s="5"/>
      <c r="C598" s="5"/>
      <c r="D598" s="5"/>
      <c r="E598" s="5"/>
      <c r="F598" s="5"/>
      <c r="G598" s="5"/>
      <c r="H598" s="5"/>
      <c r="I598" s="5"/>
      <c r="J598" s="5"/>
      <c r="K598" s="5"/>
      <c r="L598" s="6"/>
    </row>
    <row r="599" spans="1:12" ht="12.75">
      <c r="A599" s="4"/>
      <c r="B599" s="5"/>
      <c r="C599" s="5"/>
      <c r="D599" s="5"/>
      <c r="E599" s="126"/>
      <c r="F599" s="5"/>
      <c r="G599" s="5"/>
      <c r="H599" s="5"/>
      <c r="I599" s="5"/>
      <c r="J599" s="5"/>
      <c r="K599" s="5"/>
      <c r="L599" s="6"/>
    </row>
    <row r="600" spans="1:12" ht="12.75">
      <c r="A600" s="4"/>
      <c r="B600" s="264" t="s">
        <v>154</v>
      </c>
      <c r="C600" s="5"/>
      <c r="D600" s="5"/>
      <c r="E600" s="110" t="s">
        <v>245</v>
      </c>
      <c r="F600" s="22"/>
      <c r="G600" s="110" t="s">
        <v>155</v>
      </c>
      <c r="H600" s="5"/>
      <c r="I600" s="5"/>
      <c r="J600" s="5"/>
      <c r="K600" s="5"/>
      <c r="L600" s="6"/>
    </row>
    <row r="601" spans="1:12" ht="15.75">
      <c r="A601" s="4"/>
      <c r="B601" s="5"/>
      <c r="C601" s="5"/>
      <c r="D601" s="5"/>
      <c r="E601" s="126" t="s">
        <v>1266</v>
      </c>
      <c r="F601" s="5"/>
      <c r="G601" s="374" t="s">
        <v>40</v>
      </c>
      <c r="H601" s="5"/>
      <c r="I601" s="5"/>
      <c r="J601" s="5"/>
      <c r="K601" s="5"/>
      <c r="L601" s="6"/>
    </row>
    <row r="602" spans="1:12" ht="12.75">
      <c r="A602" s="4"/>
      <c r="B602" s="5"/>
      <c r="C602" s="5"/>
      <c r="D602" s="5"/>
      <c r="E602" s="261"/>
      <c r="F602" s="5"/>
      <c r="G602" s="5"/>
      <c r="H602" s="5"/>
      <c r="I602" s="5"/>
      <c r="J602" s="5"/>
      <c r="K602" s="5"/>
      <c r="L602" s="6"/>
    </row>
    <row r="603" spans="1:12" ht="12.75">
      <c r="A603" s="4"/>
      <c r="B603" s="5"/>
      <c r="C603" s="5"/>
      <c r="D603" s="5"/>
      <c r="E603" s="262"/>
      <c r="F603" s="5"/>
      <c r="G603" s="5"/>
      <c r="H603" s="5"/>
      <c r="I603" s="5"/>
      <c r="J603" s="5"/>
      <c r="K603" s="5"/>
      <c r="L603" s="6"/>
    </row>
    <row r="604" spans="1:12" ht="12.75">
      <c r="A604" s="4"/>
      <c r="B604" s="5"/>
      <c r="C604" s="5"/>
      <c r="D604" s="5"/>
      <c r="E604" s="5"/>
      <c r="F604" s="5"/>
      <c r="G604" s="5"/>
      <c r="H604" s="5"/>
      <c r="I604" s="5"/>
      <c r="J604" s="5"/>
      <c r="K604" s="5"/>
      <c r="L604" s="6"/>
    </row>
    <row r="605" spans="1:12" ht="12.75">
      <c r="A605" s="4"/>
      <c r="B605" s="5"/>
      <c r="C605" s="5"/>
      <c r="D605" s="5"/>
      <c r="E605" s="5"/>
      <c r="F605" s="5"/>
      <c r="G605" s="5"/>
      <c r="H605" s="5"/>
      <c r="I605" s="5"/>
      <c r="J605" s="5"/>
      <c r="K605" s="5"/>
      <c r="L605" s="6"/>
    </row>
    <row r="606" spans="1:12" ht="12.75">
      <c r="A606" s="4"/>
      <c r="B606" s="5"/>
      <c r="C606" s="5"/>
      <c r="D606" s="5"/>
      <c r="E606" s="5"/>
      <c r="F606" s="5"/>
      <c r="G606" s="5"/>
      <c r="H606" s="5"/>
      <c r="I606" s="5"/>
      <c r="J606" s="5"/>
      <c r="K606" s="5"/>
      <c r="L606" s="6"/>
    </row>
    <row r="607" spans="1:12" ht="12.75">
      <c r="A607" s="4"/>
      <c r="B607" s="5"/>
      <c r="C607" s="5"/>
      <c r="D607" s="5"/>
      <c r="E607" s="261"/>
      <c r="F607" s="5"/>
      <c r="G607" s="5"/>
      <c r="H607" s="5"/>
      <c r="I607" s="5"/>
      <c r="J607" s="5"/>
      <c r="K607" s="5"/>
      <c r="L607" s="6"/>
    </row>
    <row r="608" spans="1:12" ht="12.75">
      <c r="A608" s="4"/>
      <c r="B608" s="5"/>
      <c r="C608" s="5"/>
      <c r="D608" s="5"/>
      <c r="E608" s="262"/>
      <c r="F608" s="5"/>
      <c r="G608" s="5"/>
      <c r="H608" s="5"/>
      <c r="I608" s="5"/>
      <c r="J608" s="5"/>
      <c r="K608" s="5"/>
      <c r="L608" s="6"/>
    </row>
    <row r="609" spans="1:12" ht="15.75">
      <c r="A609" s="4"/>
      <c r="B609" s="264" t="s">
        <v>156</v>
      </c>
      <c r="C609" s="5"/>
      <c r="D609" s="5"/>
      <c r="E609" s="374" t="s">
        <v>41</v>
      </c>
      <c r="F609" s="5"/>
      <c r="G609" s="110" t="s">
        <v>157</v>
      </c>
      <c r="H609" s="5"/>
      <c r="I609" s="5"/>
      <c r="J609" s="5"/>
      <c r="K609" s="5"/>
      <c r="L609" s="6"/>
    </row>
    <row r="610" spans="1:12" ht="12.75">
      <c r="A610" s="4"/>
      <c r="B610" s="5"/>
      <c r="C610" s="22" t="s">
        <v>1339</v>
      </c>
      <c r="D610" s="147" t="s">
        <v>1339</v>
      </c>
      <c r="E610" s="261"/>
      <c r="F610" s="147" t="s">
        <v>1339</v>
      </c>
      <c r="G610" s="5"/>
      <c r="H610" s="5"/>
      <c r="I610" s="5"/>
      <c r="J610" s="5"/>
      <c r="K610" s="5"/>
      <c r="L610" s="6"/>
    </row>
    <row r="611" spans="1:12" ht="12.75">
      <c r="A611" s="4"/>
      <c r="B611" s="5"/>
      <c r="C611" s="22" t="s">
        <v>1340</v>
      </c>
      <c r="D611" s="147" t="s">
        <v>1341</v>
      </c>
      <c r="E611" s="262"/>
      <c r="F611" s="147" t="s">
        <v>1342</v>
      </c>
      <c r="G611" s="5"/>
      <c r="H611" s="5"/>
      <c r="I611" s="5"/>
      <c r="J611" s="5"/>
      <c r="K611" s="5"/>
      <c r="L611" s="6"/>
    </row>
    <row r="612" spans="1:12" ht="12.75">
      <c r="A612" s="4"/>
      <c r="B612" s="5"/>
      <c r="C612" s="5"/>
      <c r="D612" s="264" t="s">
        <v>158</v>
      </c>
      <c r="E612" s="5"/>
      <c r="F612" s="5"/>
      <c r="G612" s="5"/>
      <c r="H612" s="5"/>
      <c r="I612" s="5"/>
      <c r="J612" s="5"/>
      <c r="K612" s="5"/>
      <c r="L612" s="6"/>
    </row>
    <row r="613" spans="1:12" ht="13.5" thickBot="1">
      <c r="A613" s="7"/>
      <c r="B613" s="8"/>
      <c r="C613" s="8"/>
      <c r="D613" s="8"/>
      <c r="E613" s="8"/>
      <c r="F613" s="8"/>
      <c r="G613" s="8"/>
      <c r="H613" s="8"/>
      <c r="I613" s="8"/>
      <c r="J613" s="8"/>
      <c r="K613" s="8"/>
      <c r="L613" s="9"/>
    </row>
    <row r="614" spans="1:13" ht="12.75">
      <c r="A614" s="5"/>
      <c r="B614" s="5"/>
      <c r="C614" s="5"/>
      <c r="D614" s="5"/>
      <c r="E614" s="5"/>
      <c r="F614" s="5"/>
      <c r="G614" s="5"/>
      <c r="H614" s="5"/>
      <c r="I614" s="5"/>
      <c r="J614" s="5"/>
      <c r="K614" s="5"/>
      <c r="L614" s="5"/>
      <c r="M614" s="5"/>
    </row>
    <row r="615" spans="1:13" ht="12.75">
      <c r="A615" s="5"/>
      <c r="B615" s="5"/>
      <c r="C615" s="5"/>
      <c r="D615" s="5"/>
      <c r="E615" s="5"/>
      <c r="F615" s="5"/>
      <c r="G615" s="5"/>
      <c r="H615" s="5"/>
      <c r="I615" s="5"/>
      <c r="J615" s="5"/>
      <c r="K615" s="5"/>
      <c r="L615" s="5"/>
      <c r="M615" s="5"/>
    </row>
    <row r="616" ht="13.5" thickBot="1"/>
    <row r="617" spans="1:13" ht="12.75">
      <c r="A617" s="1"/>
      <c r="B617" s="2"/>
      <c r="C617" s="2"/>
      <c r="D617" s="2"/>
      <c r="E617" s="2"/>
      <c r="F617" s="2"/>
      <c r="G617" s="2"/>
      <c r="H617" s="2"/>
      <c r="I617" s="2"/>
      <c r="J617" s="2"/>
      <c r="K617" s="2"/>
      <c r="L617" s="2"/>
      <c r="M617" s="3"/>
    </row>
    <row r="618" spans="1:13" ht="12.75">
      <c r="A618" s="10" t="s">
        <v>94</v>
      </c>
      <c r="B618" s="5"/>
      <c r="C618" s="5"/>
      <c r="D618" s="5"/>
      <c r="E618" s="5"/>
      <c r="F618" s="5"/>
      <c r="G618" s="5"/>
      <c r="H618" s="5"/>
      <c r="I618" s="5"/>
      <c r="J618" s="5"/>
      <c r="K618" s="5"/>
      <c r="L618" s="5"/>
      <c r="M618" s="6"/>
    </row>
    <row r="619" spans="1:13" ht="12.75">
      <c r="A619" s="4"/>
      <c r="B619" s="5"/>
      <c r="C619" s="5"/>
      <c r="D619" s="5"/>
      <c r="E619" s="5"/>
      <c r="F619" s="5"/>
      <c r="G619" s="5"/>
      <c r="H619" s="5"/>
      <c r="I619" s="5"/>
      <c r="J619" s="5"/>
      <c r="K619" s="5"/>
      <c r="L619" s="5"/>
      <c r="M619" s="6"/>
    </row>
    <row r="620" spans="1:13" ht="12.75">
      <c r="A620" s="4"/>
      <c r="B620" s="22" t="s">
        <v>1033</v>
      </c>
      <c r="C620" s="5"/>
      <c r="D620" s="5"/>
      <c r="E620" s="5"/>
      <c r="F620" s="5"/>
      <c r="G620" s="5"/>
      <c r="H620" s="5"/>
      <c r="I620" s="5"/>
      <c r="J620" s="5"/>
      <c r="K620" s="5"/>
      <c r="L620" s="5"/>
      <c r="M620" s="6"/>
    </row>
    <row r="621" spans="1:13" ht="13.5" thickBot="1">
      <c r="A621" s="4"/>
      <c r="B621" s="5"/>
      <c r="C621" s="5"/>
      <c r="D621" s="5"/>
      <c r="E621" s="5"/>
      <c r="F621" s="5"/>
      <c r="G621" s="5"/>
      <c r="H621" s="5"/>
      <c r="I621" s="5"/>
      <c r="J621" s="5"/>
      <c r="K621" s="5"/>
      <c r="L621" s="5"/>
      <c r="M621" s="6"/>
    </row>
    <row r="622" spans="1:21" ht="13.5" thickBot="1">
      <c r="A622" s="4"/>
      <c r="B622" s="22" t="s">
        <v>362</v>
      </c>
      <c r="C622" s="5"/>
      <c r="D622" s="5"/>
      <c r="E622" s="147" t="s">
        <v>363</v>
      </c>
      <c r="F622" s="26"/>
      <c r="G622" s="22" t="s">
        <v>182</v>
      </c>
      <c r="H622" s="5"/>
      <c r="I622" s="5"/>
      <c r="J622" s="5"/>
      <c r="K622" s="22" t="s">
        <v>963</v>
      </c>
      <c r="L622" s="5"/>
      <c r="M622" s="6"/>
      <c r="N622" s="504" t="s">
        <v>978</v>
      </c>
      <c r="O622" s="506"/>
      <c r="P622" s="505"/>
      <c r="Q622" s="505"/>
      <c r="R622" s="773" t="s">
        <v>1004</v>
      </c>
      <c r="S622" s="774"/>
      <c r="T622" s="775"/>
      <c r="U622" s="516"/>
    </row>
    <row r="623" spans="1:21" ht="13.5" thickBot="1">
      <c r="A623" s="4"/>
      <c r="B623" s="26" t="str">
        <f aca="true" t="shared" si="16" ref="B623:C625">J550</f>
        <v>i_gi_pt = </v>
      </c>
      <c r="C623" s="406">
        <f t="shared" si="16"/>
        <v>-0.4216617560475174</v>
      </c>
      <c r="D623" s="26" t="str">
        <f aca="true" t="shared" si="17" ref="D623:E625">J574</f>
        <v>i_gi_pb = </v>
      </c>
      <c r="E623" s="406">
        <f t="shared" si="17"/>
        <v>-0.4216583170224934</v>
      </c>
      <c r="F623" s="70"/>
      <c r="G623" s="46"/>
      <c r="H623" s="70" t="s">
        <v>127</v>
      </c>
      <c r="I623" s="72">
        <f>IF((I624*I625)=0,"",C623*E623+C624*E624+C625*E625)</f>
        <v>0.9999999999922589</v>
      </c>
      <c r="J623" s="5"/>
      <c r="K623" s="488">
        <f>IF(I626="","",I626*$H$540)</f>
        <v>25.065686632391603</v>
      </c>
      <c r="L623" s="5" t="s">
        <v>167</v>
      </c>
      <c r="M623" s="508">
        <f>IF(K623="","",IF(Surf_Dist!K287="","",K623-Surf_Dist!K287))</f>
        <v>-150730.04493335664</v>
      </c>
      <c r="N623" s="504" t="s">
        <v>1032</v>
      </c>
      <c r="O623" s="506"/>
      <c r="P623" s="505"/>
      <c r="Q623" s="505"/>
      <c r="R623" s="776" t="str">
        <f>IF($E$66=1,IF($K$39=1,IF(SUM(M623)&lt;&gt;0,"Sum of Comparison Not Equal to Zero","None"),"None"),"None")</f>
        <v>None</v>
      </c>
      <c r="S623" s="777"/>
      <c r="T623" s="778"/>
      <c r="U623" s="516"/>
    </row>
    <row r="624" spans="1:17" ht="12.75">
      <c r="A624" s="4"/>
      <c r="B624" s="26" t="str">
        <f t="shared" si="16"/>
        <v>j_gi_pt = </v>
      </c>
      <c r="C624" s="406">
        <f t="shared" si="16"/>
        <v>-0.6618727360194682</v>
      </c>
      <c r="D624" s="26" t="str">
        <f t="shared" si="17"/>
        <v>j_gi_pb = </v>
      </c>
      <c r="E624" s="406">
        <f t="shared" si="17"/>
        <v>-0.6618746195368048</v>
      </c>
      <c r="F624" s="46"/>
      <c r="G624" s="46"/>
      <c r="H624" s="70" t="s">
        <v>128</v>
      </c>
      <c r="I624" s="72">
        <f>IF(C623="","0",SQRT(C623^2+C624^2+C625^2))</f>
        <v>1</v>
      </c>
      <c r="J624" s="5"/>
      <c r="K624" s="489">
        <f>IF(K623="","",(K623*(39.37/12)))</f>
        <v>82.23634022643812</v>
      </c>
      <c r="L624" s="5" t="s">
        <v>1826</v>
      </c>
      <c r="M624" s="6"/>
      <c r="N624" s="504" t="s">
        <v>980</v>
      </c>
      <c r="O624" s="506"/>
      <c r="P624" s="505"/>
      <c r="Q624" s="505"/>
    </row>
    <row r="625" spans="1:13" ht="12.75">
      <c r="A625" s="4"/>
      <c r="B625" s="26" t="str">
        <f t="shared" si="16"/>
        <v>k_gi_pt = </v>
      </c>
      <c r="C625" s="406">
        <f t="shared" si="16"/>
        <v>0.6197788676625136</v>
      </c>
      <c r="D625" s="26" t="str">
        <f t="shared" si="17"/>
        <v>k_gi_pb = </v>
      </c>
      <c r="E625" s="406">
        <f t="shared" si="17"/>
        <v>0.619779195922845</v>
      </c>
      <c r="F625" s="46"/>
      <c r="G625" s="46"/>
      <c r="H625" s="70" t="s">
        <v>129</v>
      </c>
      <c r="I625" s="72">
        <f>IF(E623="","0",SQRT(E623^2+E624^2+E625^2))</f>
        <v>1</v>
      </c>
      <c r="J625" s="5"/>
      <c r="K625" s="5"/>
      <c r="L625" s="5"/>
      <c r="M625" s="6"/>
    </row>
    <row r="626" spans="1:13" ht="12.75">
      <c r="A626" s="4"/>
      <c r="B626" s="5"/>
      <c r="C626" s="5"/>
      <c r="D626" s="5"/>
      <c r="E626" s="5"/>
      <c r="F626" s="5"/>
      <c r="G626" s="5"/>
      <c r="H626" s="70" t="s">
        <v>21</v>
      </c>
      <c r="I626" s="72">
        <f>IF((I624*I625)=0,"",ACOS(I623/(I624*I625)))</f>
        <v>3.934753120882206E-06</v>
      </c>
      <c r="J626" s="5" t="s">
        <v>599</v>
      </c>
      <c r="K626" s="5"/>
      <c r="L626" s="5"/>
      <c r="M626" s="6"/>
    </row>
    <row r="627" spans="1:13" ht="12.75">
      <c r="A627" s="4"/>
      <c r="B627" s="5"/>
      <c r="C627" s="5"/>
      <c r="D627" s="5"/>
      <c r="E627" s="5"/>
      <c r="F627" s="5"/>
      <c r="G627" s="5"/>
      <c r="H627" s="5"/>
      <c r="I627" s="68">
        <f>IF(I626="","",DEGREES(I626))</f>
        <v>0.00022544474725247945</v>
      </c>
      <c r="J627" s="5" t="s">
        <v>1233</v>
      </c>
      <c r="K627" s="5"/>
      <c r="L627" s="5"/>
      <c r="M627" s="6"/>
    </row>
    <row r="628" spans="1:13" ht="12.75">
      <c r="A628" s="4"/>
      <c r="B628" s="5"/>
      <c r="C628" s="5"/>
      <c r="D628" s="5"/>
      <c r="E628" s="5"/>
      <c r="F628" s="5"/>
      <c r="G628" s="5"/>
      <c r="H628" s="5"/>
      <c r="I628" s="5"/>
      <c r="J628" s="5"/>
      <c r="K628" s="5"/>
      <c r="L628" s="5"/>
      <c r="M628" s="6"/>
    </row>
    <row r="629" spans="1:13" ht="12.75">
      <c r="A629" s="4"/>
      <c r="B629" s="5"/>
      <c r="C629" s="5"/>
      <c r="D629" s="5"/>
      <c r="E629" s="5"/>
      <c r="F629" s="5"/>
      <c r="G629" s="5"/>
      <c r="H629" s="5"/>
      <c r="I629" s="5"/>
      <c r="J629" s="5"/>
      <c r="K629" s="5"/>
      <c r="L629" s="5"/>
      <c r="M629" s="6"/>
    </row>
    <row r="630" spans="1:13" ht="12.75">
      <c r="A630" s="4"/>
      <c r="B630" s="22" t="s">
        <v>961</v>
      </c>
      <c r="C630" s="5"/>
      <c r="D630" s="5"/>
      <c r="E630" s="5"/>
      <c r="F630" s="5"/>
      <c r="G630" s="5"/>
      <c r="H630" s="5"/>
      <c r="I630" s="5"/>
      <c r="J630" s="5"/>
      <c r="K630" s="5"/>
      <c r="L630" s="5"/>
      <c r="M630" s="6"/>
    </row>
    <row r="631" spans="1:13" ht="13.5" thickBot="1">
      <c r="A631" s="4"/>
      <c r="B631" s="5"/>
      <c r="C631" s="5"/>
      <c r="D631" s="5"/>
      <c r="E631" s="5"/>
      <c r="F631" s="5"/>
      <c r="G631" s="5"/>
      <c r="H631" s="5"/>
      <c r="I631" s="5"/>
      <c r="J631" s="5"/>
      <c r="K631" s="5"/>
      <c r="L631" s="5"/>
      <c r="M631" s="6"/>
    </row>
    <row r="632" spans="1:20" ht="13.5" thickBot="1">
      <c r="A632" s="4"/>
      <c r="B632" s="22" t="s">
        <v>1812</v>
      </c>
      <c r="C632" s="5"/>
      <c r="D632" s="5"/>
      <c r="E632" s="147" t="s">
        <v>1813</v>
      </c>
      <c r="F632" s="26"/>
      <c r="G632" s="22" t="s">
        <v>182</v>
      </c>
      <c r="H632" s="5"/>
      <c r="I632" s="5"/>
      <c r="J632" s="5"/>
      <c r="K632" s="22" t="s">
        <v>962</v>
      </c>
      <c r="L632" s="5"/>
      <c r="M632" s="6"/>
      <c r="N632" s="504" t="s">
        <v>978</v>
      </c>
      <c r="O632" s="506"/>
      <c r="P632" s="505"/>
      <c r="Q632" s="505"/>
      <c r="R632" s="773" t="s">
        <v>911</v>
      </c>
      <c r="S632" s="774"/>
      <c r="T632" s="775"/>
    </row>
    <row r="633" spans="1:20" ht="13.5" thickBot="1">
      <c r="A633" s="4"/>
      <c r="B633" s="26" t="str">
        <f aca="true" t="shared" si="18" ref="B633:C635">J558</f>
        <v>i_gi_pl = </v>
      </c>
      <c r="C633" s="406">
        <f t="shared" si="18"/>
        <v>-0.4216605219296906</v>
      </c>
      <c r="D633" s="26" t="str">
        <f aca="true" t="shared" si="19" ref="D633:E635">J566</f>
        <v>i_gi_pr = </v>
      </c>
      <c r="E633" s="406">
        <f t="shared" si="19"/>
        <v>-0.42165955113446474</v>
      </c>
      <c r="F633" s="70"/>
      <c r="G633" s="46"/>
      <c r="H633" s="70" t="s">
        <v>127</v>
      </c>
      <c r="I633" s="72">
        <f>IF((I634*I635)=0,"",C633*E633+C634*E634+C635*E635)</f>
        <v>0.9999999999936104</v>
      </c>
      <c r="J633" s="5"/>
      <c r="K633" s="488">
        <f>IF(I636="","",I636*$H$540)</f>
        <v>22.772590692684766</v>
      </c>
      <c r="L633" s="5" t="s">
        <v>167</v>
      </c>
      <c r="M633" s="508">
        <f>IF(K633="","",IF(Surf_Dist!K298="","",K633-Surf_Dist!K298))</f>
        <v>-137385.9354126219</v>
      </c>
      <c r="N633" s="504" t="s">
        <v>1031</v>
      </c>
      <c r="O633" s="506"/>
      <c r="P633" s="505"/>
      <c r="Q633" s="505"/>
      <c r="R633" s="776" t="str">
        <f>IF($E$66=1,IF($K$39=1,IF(SUM(M633)&lt;&gt;0,"Sum of Comparison Not Equal to Zero","None"),"None"),"None")</f>
        <v>None</v>
      </c>
      <c r="S633" s="777"/>
      <c r="T633" s="778"/>
    </row>
    <row r="634" spans="1:17" ht="12.75">
      <c r="A634" s="4"/>
      <c r="B634" s="26" t="str">
        <f t="shared" si="18"/>
        <v>j_gi_pl = </v>
      </c>
      <c r="C634" s="406">
        <f t="shared" si="18"/>
        <v>-0.6618746786712828</v>
      </c>
      <c r="D634" s="26" t="str">
        <f t="shared" si="19"/>
        <v>j_gi_pr = </v>
      </c>
      <c r="E634" s="406">
        <f t="shared" si="19"/>
        <v>-0.6618726769157562</v>
      </c>
      <c r="F634" s="46"/>
      <c r="G634" s="46"/>
      <c r="H634" s="70" t="s">
        <v>128</v>
      </c>
      <c r="I634" s="72">
        <f>IF(C633="","0",SQRT(C633^2+C634^2+C635^2))</f>
        <v>1</v>
      </c>
      <c r="J634" s="5"/>
      <c r="K634" s="489">
        <f>IF(K633="","",(K633*(39.37/12)))</f>
        <v>74.7130746309166</v>
      </c>
      <c r="L634" s="5" t="s">
        <v>1826</v>
      </c>
      <c r="M634" s="6"/>
      <c r="N634" s="504" t="s">
        <v>980</v>
      </c>
      <c r="O634" s="506"/>
      <c r="P634" s="505"/>
      <c r="Q634" s="505"/>
    </row>
    <row r="635" spans="1:13" ht="12.75">
      <c r="A635" s="4"/>
      <c r="B635" s="26" t="str">
        <f t="shared" si="18"/>
        <v>k_gi_pl = </v>
      </c>
      <c r="C635" s="406">
        <f t="shared" si="18"/>
        <v>0.6197776326875365</v>
      </c>
      <c r="D635" s="26" t="str">
        <f t="shared" si="19"/>
        <v>k_gi_pr = </v>
      </c>
      <c r="E635" s="406">
        <f t="shared" si="19"/>
        <v>0.6197804308700403</v>
      </c>
      <c r="F635" s="46"/>
      <c r="G635" s="46"/>
      <c r="H635" s="70" t="s">
        <v>129</v>
      </c>
      <c r="I635" s="72">
        <f>IF(E633="","0",SQRT(E633^2+E634^2+E635^2))</f>
        <v>1</v>
      </c>
      <c r="J635" s="5"/>
      <c r="K635" s="5"/>
      <c r="L635" s="5"/>
      <c r="M635" s="6"/>
    </row>
    <row r="636" spans="1:13" ht="12.75">
      <c r="A636" s="4"/>
      <c r="B636" s="5"/>
      <c r="C636" s="5"/>
      <c r="D636" s="5"/>
      <c r="E636" s="5"/>
      <c r="F636" s="5"/>
      <c r="G636" s="5"/>
      <c r="H636" s="70" t="s">
        <v>21</v>
      </c>
      <c r="I636" s="72">
        <f>IF((I634*I635)=0,"",ACOS(I633/(I634*I635)))</f>
        <v>3.5747882598524683E-06</v>
      </c>
      <c r="J636" s="5" t="s">
        <v>599</v>
      </c>
      <c r="K636" s="5"/>
      <c r="L636" s="5"/>
      <c r="M636" s="6"/>
    </row>
    <row r="637" spans="1:13" ht="12.75">
      <c r="A637" s="4"/>
      <c r="B637" s="5"/>
      <c r="C637" s="5"/>
      <c r="D637" s="5"/>
      <c r="E637" s="5"/>
      <c r="F637" s="5"/>
      <c r="G637" s="5"/>
      <c r="H637" s="5"/>
      <c r="I637" s="68">
        <f>IF(I636="","",DEGREES(I636))</f>
        <v>0.00020482027994246226</v>
      </c>
      <c r="J637" s="5" t="s">
        <v>1233</v>
      </c>
      <c r="K637" s="5"/>
      <c r="L637" s="5"/>
      <c r="M637" s="6"/>
    </row>
    <row r="638" spans="1:13" ht="12.75">
      <c r="A638" s="4"/>
      <c r="B638" s="5"/>
      <c r="C638" s="5"/>
      <c r="D638" s="5"/>
      <c r="E638" s="5"/>
      <c r="F638" s="5"/>
      <c r="G638" s="5"/>
      <c r="H638" s="5"/>
      <c r="I638" s="5"/>
      <c r="J638" s="5"/>
      <c r="K638" s="5"/>
      <c r="L638" s="5"/>
      <c r="M638" s="6"/>
    </row>
    <row r="639" spans="1:13" ht="13.5" thickBot="1">
      <c r="A639" s="7"/>
      <c r="B639" s="8"/>
      <c r="C639" s="8"/>
      <c r="D639" s="8"/>
      <c r="E639" s="8"/>
      <c r="F639" s="8"/>
      <c r="G639" s="8"/>
      <c r="H639" s="8"/>
      <c r="I639" s="8"/>
      <c r="J639" s="8"/>
      <c r="K639" s="8"/>
      <c r="L639" s="8"/>
      <c r="M639" s="9"/>
    </row>
    <row r="642" spans="2:12" ht="15.75">
      <c r="B642" s="225" t="s">
        <v>655</v>
      </c>
      <c r="C642" s="226"/>
      <c r="D642" s="226"/>
      <c r="E642" s="226"/>
      <c r="G642" s="515" t="s">
        <v>984</v>
      </c>
      <c r="H642" s="515"/>
      <c r="I642" s="515"/>
      <c r="J642" s="515"/>
      <c r="K642" s="505"/>
      <c r="L642" s="505"/>
    </row>
    <row r="643" ht="13.5" thickBot="1"/>
    <row r="644" spans="3:9" ht="15.75">
      <c r="C644" s="219" t="s">
        <v>656</v>
      </c>
      <c r="D644" s="219" t="s">
        <v>657</v>
      </c>
      <c r="E644" s="223" t="s">
        <v>656</v>
      </c>
      <c r="G644" s="219" t="s">
        <v>656</v>
      </c>
      <c r="H644" s="219" t="s">
        <v>657</v>
      </c>
      <c r="I644" s="223" t="s">
        <v>656</v>
      </c>
    </row>
    <row r="645" spans="3:9" ht="16.5" thickBot="1">
      <c r="C645" s="220" t="s">
        <v>658</v>
      </c>
      <c r="D645" s="228"/>
      <c r="E645" s="224" t="s">
        <v>659</v>
      </c>
      <c r="G645" s="220" t="s">
        <v>658</v>
      </c>
      <c r="H645" s="228"/>
      <c r="I645" s="224" t="s">
        <v>659</v>
      </c>
    </row>
    <row r="646" spans="3:9" ht="15.75">
      <c r="C646" s="229">
        <v>1</v>
      </c>
      <c r="D646" s="231" t="str">
        <f>IF(G18="None","None","Error")</f>
        <v>None</v>
      </c>
      <c r="E646" s="237">
        <f aca="true" t="shared" si="20" ref="E646:E658">IF(D646="None",0,1)</f>
        <v>0</v>
      </c>
      <c r="G646" s="525" t="s">
        <v>912</v>
      </c>
      <c r="H646" s="231" t="str">
        <f>IF(O89="None","None","Error")</f>
        <v>None</v>
      </c>
      <c r="I646" s="237">
        <f aca="true" t="shared" si="21" ref="I646:I667">IF(H646="None",0,1)</f>
        <v>0</v>
      </c>
    </row>
    <row r="647" spans="3:9" ht="15.75">
      <c r="C647" s="221">
        <v>2</v>
      </c>
      <c r="D647" s="232" t="str">
        <f>IF(I157="None","None","Error")</f>
        <v>None</v>
      </c>
      <c r="E647" s="238">
        <f t="shared" si="20"/>
        <v>0</v>
      </c>
      <c r="G647" s="240" t="s">
        <v>913</v>
      </c>
      <c r="H647" s="232" t="str">
        <f>IF(O97="None","None","Error")</f>
        <v>None</v>
      </c>
      <c r="I647" s="238">
        <f t="shared" si="21"/>
        <v>0</v>
      </c>
    </row>
    <row r="648" spans="3:9" ht="15.75">
      <c r="C648" s="221">
        <v>3</v>
      </c>
      <c r="D648" s="232" t="str">
        <f>IF(I183="None","None","Error")</f>
        <v>None</v>
      </c>
      <c r="E648" s="238">
        <f t="shared" si="20"/>
        <v>0</v>
      </c>
      <c r="G648" s="240" t="s">
        <v>914</v>
      </c>
      <c r="H648" s="232" t="str">
        <f>IF(O105="None","None","Error")</f>
        <v>None</v>
      </c>
      <c r="I648" s="238">
        <f t="shared" si="21"/>
        <v>0</v>
      </c>
    </row>
    <row r="649" spans="3:9" ht="15.75">
      <c r="C649" s="221">
        <v>4</v>
      </c>
      <c r="D649" s="232" t="str">
        <f>IF(I188="None","None","Error")</f>
        <v>None</v>
      </c>
      <c r="E649" s="238">
        <f t="shared" si="20"/>
        <v>0</v>
      </c>
      <c r="G649" s="240" t="s">
        <v>915</v>
      </c>
      <c r="H649" s="232" t="str">
        <f>IF(O113="None","None","Error")</f>
        <v>None</v>
      </c>
      <c r="I649" s="238">
        <f t="shared" si="21"/>
        <v>0</v>
      </c>
    </row>
    <row r="650" spans="3:9" ht="15.75">
      <c r="C650" s="240">
        <v>5</v>
      </c>
      <c r="D650" s="232" t="str">
        <f>IF(I216="None","None","Error")</f>
        <v>None</v>
      </c>
      <c r="E650" s="238">
        <f t="shared" si="20"/>
        <v>0</v>
      </c>
      <c r="G650" s="240" t="s">
        <v>916</v>
      </c>
      <c r="H650" s="232" t="str">
        <f>IF(N193="None","None","Error")</f>
        <v>None</v>
      </c>
      <c r="I650" s="238">
        <f t="shared" si="21"/>
        <v>0</v>
      </c>
    </row>
    <row r="651" spans="3:9" ht="15.75">
      <c r="C651" s="240">
        <v>6</v>
      </c>
      <c r="D651" s="232" t="str">
        <f>IF(I242="None","None","Error")</f>
        <v>None</v>
      </c>
      <c r="E651" s="238">
        <f t="shared" si="20"/>
        <v>0</v>
      </c>
      <c r="G651" s="240" t="s">
        <v>917</v>
      </c>
      <c r="H651" s="232" t="str">
        <f>IF(N252="None","None","Error")</f>
        <v>None</v>
      </c>
      <c r="I651" s="238">
        <f t="shared" si="21"/>
        <v>0</v>
      </c>
    </row>
    <row r="652" spans="3:9" ht="15.75">
      <c r="C652" s="240">
        <v>7</v>
      </c>
      <c r="D652" s="232" t="str">
        <f>IF(I247="None","None","Error")</f>
        <v>None</v>
      </c>
      <c r="E652" s="238">
        <f t="shared" si="20"/>
        <v>0</v>
      </c>
      <c r="G652" s="240" t="s">
        <v>918</v>
      </c>
      <c r="H652" s="232" t="str">
        <f>IF(N312="None","None","Error")</f>
        <v>None</v>
      </c>
      <c r="I652" s="238">
        <f t="shared" si="21"/>
        <v>0</v>
      </c>
    </row>
    <row r="653" spans="3:9" ht="15.75">
      <c r="C653" s="240">
        <v>8</v>
      </c>
      <c r="D653" s="232" t="str">
        <f>IF(I276="None","None","Error")</f>
        <v>None</v>
      </c>
      <c r="E653" s="238">
        <f t="shared" si="20"/>
        <v>0</v>
      </c>
      <c r="G653" s="240" t="s">
        <v>919</v>
      </c>
      <c r="H653" s="232" t="str">
        <f>IF(N372="None","None","Error")</f>
        <v>None</v>
      </c>
      <c r="I653" s="238">
        <f t="shared" si="21"/>
        <v>0</v>
      </c>
    </row>
    <row r="654" spans="3:9" ht="15.75">
      <c r="C654" s="240">
        <v>9</v>
      </c>
      <c r="D654" s="232" t="str">
        <f>IF(I302="None","None","Error")</f>
        <v>None</v>
      </c>
      <c r="E654" s="238">
        <f t="shared" si="20"/>
        <v>0</v>
      </c>
      <c r="G654" s="240" t="s">
        <v>920</v>
      </c>
      <c r="H654" s="232" t="str">
        <f>IF(J408="None","None","Error")</f>
        <v>None</v>
      </c>
      <c r="I654" s="238">
        <f t="shared" si="21"/>
        <v>0</v>
      </c>
    </row>
    <row r="655" spans="3:9" ht="15.75">
      <c r="C655" s="240">
        <v>10</v>
      </c>
      <c r="D655" s="232" t="str">
        <f>IF(I307="None","None","Error")</f>
        <v>None</v>
      </c>
      <c r="E655" s="238">
        <f t="shared" si="20"/>
        <v>0</v>
      </c>
      <c r="G655" s="240" t="s">
        <v>921</v>
      </c>
      <c r="H655" s="232" t="str">
        <f>IF(J424="None","None","Error")</f>
        <v>None</v>
      </c>
      <c r="I655" s="238">
        <f t="shared" si="21"/>
        <v>0</v>
      </c>
    </row>
    <row r="656" spans="3:9" ht="15.75">
      <c r="C656" s="240">
        <v>11</v>
      </c>
      <c r="D656" s="232" t="str">
        <f>IF(I336="None","None","Error")</f>
        <v>None</v>
      </c>
      <c r="E656" s="238">
        <f t="shared" si="20"/>
        <v>0</v>
      </c>
      <c r="G656" s="240" t="s">
        <v>922</v>
      </c>
      <c r="H656" s="232" t="str">
        <f>IF(J440="None","None","Error")</f>
        <v>None</v>
      </c>
      <c r="I656" s="238">
        <f t="shared" si="21"/>
        <v>0</v>
      </c>
    </row>
    <row r="657" spans="3:9" ht="15.75">
      <c r="C657" s="240">
        <v>12</v>
      </c>
      <c r="D657" s="232" t="str">
        <f>IF(I362="None","None","Error")</f>
        <v>None</v>
      </c>
      <c r="E657" s="238">
        <f t="shared" si="20"/>
        <v>0</v>
      </c>
      <c r="G657" s="240" t="s">
        <v>923</v>
      </c>
      <c r="H657" s="232" t="str">
        <f>IF(J456="None","None","Error")</f>
        <v>None</v>
      </c>
      <c r="I657" s="238">
        <f t="shared" si="21"/>
        <v>0</v>
      </c>
    </row>
    <row r="658" spans="3:9" ht="16.5" thickBot="1">
      <c r="C658" s="230">
        <v>13</v>
      </c>
      <c r="D658" s="233" t="str">
        <f>IF(I367="None","None","Error")</f>
        <v>None</v>
      </c>
      <c r="E658" s="239">
        <f t="shared" si="20"/>
        <v>0</v>
      </c>
      <c r="G658" s="240" t="s">
        <v>924</v>
      </c>
      <c r="H658" s="521" t="str">
        <f>IF(N481="None","None","Error")</f>
        <v>None</v>
      </c>
      <c r="I658" s="522">
        <f t="shared" si="21"/>
        <v>0</v>
      </c>
    </row>
    <row r="659" spans="7:9" ht="16.5" thickBot="1">
      <c r="G659" s="221" t="s">
        <v>925</v>
      </c>
      <c r="H659" s="232" t="str">
        <f>IF(N497="None","None","Error")</f>
        <v>None</v>
      </c>
      <c r="I659" s="238">
        <f t="shared" si="21"/>
        <v>0</v>
      </c>
    </row>
    <row r="660" spans="3:9" ht="16.5" thickBot="1">
      <c r="C660" s="234" t="s">
        <v>660</v>
      </c>
      <c r="D660" s="235"/>
      <c r="E660" s="236">
        <f>SUM(E646:E658)</f>
        <v>0</v>
      </c>
      <c r="G660" s="221" t="s">
        <v>926</v>
      </c>
      <c r="H660" s="232" t="str">
        <f>IF(N513="None","None","Error")</f>
        <v>None</v>
      </c>
      <c r="I660" s="238">
        <f t="shared" si="21"/>
        <v>0</v>
      </c>
    </row>
    <row r="661" spans="7:9" ht="15.75">
      <c r="G661" s="523" t="s">
        <v>927</v>
      </c>
      <c r="H661" s="524" t="str">
        <f>IF(N529="None","None","Error")</f>
        <v>None</v>
      </c>
      <c r="I661" s="285">
        <f t="shared" si="21"/>
        <v>0</v>
      </c>
    </row>
    <row r="662" spans="7:9" ht="15.75">
      <c r="G662" s="240" t="s">
        <v>928</v>
      </c>
      <c r="H662" s="232" t="str">
        <f>IF(O551="None","None","Error")</f>
        <v>None</v>
      </c>
      <c r="I662" s="238">
        <f t="shared" si="21"/>
        <v>0</v>
      </c>
    </row>
    <row r="663" spans="7:9" ht="15.75">
      <c r="G663" s="240" t="s">
        <v>929</v>
      </c>
      <c r="H663" s="232" t="str">
        <f>IF(O559="None","None","Error")</f>
        <v>None</v>
      </c>
      <c r="I663" s="238">
        <f t="shared" si="21"/>
        <v>0</v>
      </c>
    </row>
    <row r="664" spans="7:9" ht="15.75">
      <c r="G664" s="240" t="s">
        <v>930</v>
      </c>
      <c r="H664" s="232" t="str">
        <f>IF(O567="None","None","Error")</f>
        <v>None</v>
      </c>
      <c r="I664" s="238">
        <f t="shared" si="21"/>
        <v>0</v>
      </c>
    </row>
    <row r="665" spans="7:9" ht="15.75">
      <c r="G665" s="240" t="s">
        <v>931</v>
      </c>
      <c r="H665" s="232" t="str">
        <f>IF(O575="None","None","Error")</f>
        <v>None</v>
      </c>
      <c r="I665" s="238">
        <f t="shared" si="21"/>
        <v>0</v>
      </c>
    </row>
    <row r="666" spans="7:9" ht="15.75">
      <c r="G666" s="240" t="s">
        <v>932</v>
      </c>
      <c r="H666" s="232" t="str">
        <f>IF(R623="None","None","Error")</f>
        <v>None</v>
      </c>
      <c r="I666" s="238">
        <f t="shared" si="21"/>
        <v>0</v>
      </c>
    </row>
    <row r="667" spans="7:9" ht="16.5" thickBot="1">
      <c r="G667" s="230" t="s">
        <v>933</v>
      </c>
      <c r="H667" s="233" t="str">
        <f>IF(R633="None","None","Error")</f>
        <v>None</v>
      </c>
      <c r="I667" s="239">
        <f t="shared" si="21"/>
        <v>0</v>
      </c>
    </row>
    <row r="668" ht="13.5" thickBot="1"/>
    <row r="669" spans="7:9" ht="16.5" thickBot="1">
      <c r="G669" s="526" t="s">
        <v>1030</v>
      </c>
      <c r="H669" s="527"/>
      <c r="I669" s="236">
        <f>SUM(I646:I667)</f>
        <v>0</v>
      </c>
    </row>
  </sheetData>
  <sheetProtection password="CFF3" sheet="1" objects="1" scenarios="1"/>
  <mergeCells count="8">
    <mergeCell ref="R622:T622"/>
    <mergeCell ref="R623:T623"/>
    <mergeCell ref="R632:T632"/>
    <mergeCell ref="R633:T633"/>
    <mergeCell ref="E66:F66"/>
    <mergeCell ref="M550:N550"/>
    <mergeCell ref="M551:N551"/>
    <mergeCell ref="M552:N552"/>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1"/>
  <dimension ref="A1:K131"/>
  <sheetViews>
    <sheetView workbookViewId="0" topLeftCell="A1">
      <selection activeCell="A1" sqref="A1"/>
    </sheetView>
  </sheetViews>
  <sheetFormatPr defaultColWidth="9.00390625" defaultRowHeight="12.75"/>
  <cols>
    <col min="1" max="2" width="11.375" style="0" customWidth="1"/>
    <col min="3" max="3" width="15.00390625" style="0" customWidth="1"/>
    <col min="4" max="16384" width="11.375" style="0" customWidth="1"/>
  </cols>
  <sheetData>
    <row r="1" spans="1:10" ht="23.25">
      <c r="A1" s="458" t="s">
        <v>343</v>
      </c>
      <c r="B1" s="298"/>
      <c r="C1" s="298"/>
      <c r="D1" s="298"/>
      <c r="E1" s="298"/>
      <c r="F1" s="298"/>
      <c r="G1" s="298"/>
      <c r="H1" s="298"/>
      <c r="I1" s="298"/>
      <c r="J1" s="298"/>
    </row>
    <row r="2" spans="1:10" ht="15" customHeight="1">
      <c r="A2" s="472"/>
      <c r="B2" s="202"/>
      <c r="C2" s="202"/>
      <c r="D2" s="202"/>
      <c r="E2" s="202"/>
      <c r="F2" s="202"/>
      <c r="G2" s="202"/>
      <c r="H2" s="202"/>
      <c r="I2" s="202"/>
      <c r="J2" s="202"/>
    </row>
    <row r="3" spans="1:11" ht="18.75" customHeight="1">
      <c r="A3" s="491" t="s">
        <v>950</v>
      </c>
      <c r="B3" s="298"/>
      <c r="C3" s="298"/>
      <c r="D3" s="298"/>
      <c r="E3" s="298"/>
      <c r="F3" s="298"/>
      <c r="G3" s="298"/>
      <c r="H3" s="298"/>
      <c r="I3" s="298"/>
      <c r="J3" s="298"/>
      <c r="K3" s="298"/>
    </row>
    <row r="4" spans="1:11" ht="18.75" customHeight="1">
      <c r="A4" s="492" t="s">
        <v>947</v>
      </c>
      <c r="B4" s="298"/>
      <c r="C4" s="298"/>
      <c r="D4" s="298"/>
      <c r="E4" s="298"/>
      <c r="F4" s="298"/>
      <c r="G4" s="298"/>
      <c r="H4" s="298"/>
      <c r="I4" s="298"/>
      <c r="J4" s="298"/>
      <c r="K4" s="298"/>
    </row>
    <row r="5" spans="1:11" ht="15" customHeight="1">
      <c r="A5" s="458"/>
      <c r="B5" s="298"/>
      <c r="C5" s="298"/>
      <c r="D5" s="298"/>
      <c r="E5" s="298"/>
      <c r="F5" s="298"/>
      <c r="G5" s="298"/>
      <c r="H5" s="298"/>
      <c r="I5" s="298"/>
      <c r="J5" s="298"/>
      <c r="K5" s="298"/>
    </row>
    <row r="6" spans="1:10" ht="15" customHeight="1">
      <c r="A6" s="472"/>
      <c r="B6" s="202"/>
      <c r="C6" s="202"/>
      <c r="D6" s="202"/>
      <c r="E6" s="202"/>
      <c r="F6" s="202"/>
      <c r="G6" s="202"/>
      <c r="H6" s="202"/>
      <c r="I6" s="202"/>
      <c r="J6" s="202"/>
    </row>
    <row r="8" ht="23.25">
      <c r="A8" s="25" t="s">
        <v>1346</v>
      </c>
    </row>
    <row r="9" ht="12.75">
      <c r="A9" t="s">
        <v>71</v>
      </c>
    </row>
    <row r="12" spans="1:7" ht="13.5" customHeight="1">
      <c r="A12" s="124" t="s">
        <v>1262</v>
      </c>
      <c r="C12" s="124" t="s">
        <v>1263</v>
      </c>
      <c r="E12" s="302"/>
      <c r="G12" s="124" t="s">
        <v>1445</v>
      </c>
    </row>
    <row r="13" spans="1:9" ht="13.5" customHeight="1">
      <c r="A13">
        <v>40</v>
      </c>
      <c r="B13">
        <v>1</v>
      </c>
      <c r="C13" t="s">
        <v>1343</v>
      </c>
      <c r="D13">
        <v>55</v>
      </c>
      <c r="E13" s="321">
        <v>55</v>
      </c>
      <c r="G13" s="44" t="s">
        <v>1446</v>
      </c>
      <c r="I13" s="407"/>
    </row>
    <row r="14" spans="1:11" ht="13.5" customHeight="1">
      <c r="A14">
        <v>50</v>
      </c>
      <c r="B14">
        <v>2</v>
      </c>
      <c r="C14" t="s">
        <v>1216</v>
      </c>
      <c r="D14">
        <v>105</v>
      </c>
      <c r="E14" s="274">
        <v>120</v>
      </c>
      <c r="G14" s="146" t="s">
        <v>1447</v>
      </c>
      <c r="H14" s="52"/>
      <c r="I14" s="52"/>
      <c r="J14" s="52"/>
      <c r="K14" s="52"/>
    </row>
    <row r="15" spans="1:11" ht="13.5" customHeight="1">
      <c r="A15">
        <v>70</v>
      </c>
      <c r="B15">
        <v>3</v>
      </c>
      <c r="C15" t="s">
        <v>1215</v>
      </c>
      <c r="D15">
        <v>55</v>
      </c>
      <c r="E15" s="274">
        <v>55</v>
      </c>
      <c r="G15" s="304"/>
      <c r="H15" s="310"/>
      <c r="I15" s="310"/>
      <c r="J15" s="310"/>
      <c r="K15" s="304"/>
    </row>
    <row r="16" spans="1:11" ht="13.5" customHeight="1">
      <c r="A16">
        <v>90</v>
      </c>
      <c r="B16">
        <v>4</v>
      </c>
      <c r="C16" t="s">
        <v>1217</v>
      </c>
      <c r="D16">
        <v>57</v>
      </c>
      <c r="E16" s="274">
        <v>57</v>
      </c>
      <c r="G16" s="304"/>
      <c r="H16" s="304"/>
      <c r="I16" s="304"/>
      <c r="J16" s="304"/>
      <c r="K16" s="304"/>
    </row>
    <row r="17" spans="1:11" ht="13.5" customHeight="1">
      <c r="A17">
        <v>100</v>
      </c>
      <c r="B17">
        <v>5</v>
      </c>
      <c r="C17" t="s">
        <v>1120</v>
      </c>
      <c r="D17">
        <v>115</v>
      </c>
      <c r="E17" s="321">
        <v>115</v>
      </c>
      <c r="G17" s="304"/>
      <c r="H17" s="305"/>
      <c r="I17" s="306"/>
      <c r="J17" s="307"/>
      <c r="K17" s="304"/>
    </row>
    <row r="18" spans="1:11" ht="13.5" customHeight="1">
      <c r="A18">
        <v>180</v>
      </c>
      <c r="B18">
        <v>6</v>
      </c>
      <c r="C18" t="s">
        <v>1344</v>
      </c>
      <c r="D18">
        <v>36</v>
      </c>
      <c r="E18" s="274">
        <v>24</v>
      </c>
      <c r="G18" s="304"/>
      <c r="H18" s="305"/>
      <c r="I18" s="308"/>
      <c r="J18" s="309"/>
      <c r="K18" s="304"/>
    </row>
    <row r="19" spans="1:11" ht="13.5" customHeight="1">
      <c r="A19">
        <v>250</v>
      </c>
      <c r="B19">
        <v>7</v>
      </c>
      <c r="C19" t="s">
        <v>1261</v>
      </c>
      <c r="E19" s="268"/>
      <c r="G19" s="304"/>
      <c r="H19" s="304"/>
      <c r="I19" s="304"/>
      <c r="J19" s="304"/>
      <c r="K19" s="304"/>
    </row>
    <row r="20" spans="1:5" ht="13.5" customHeight="1">
      <c r="A20">
        <v>300</v>
      </c>
      <c r="E20" s="268"/>
    </row>
    <row r="21" spans="1:5" ht="13.5" customHeight="1">
      <c r="A21">
        <v>350</v>
      </c>
      <c r="E21" s="268"/>
    </row>
    <row r="22" spans="1:5" ht="12.75">
      <c r="A22">
        <v>400</v>
      </c>
      <c r="E22" s="268"/>
    </row>
    <row r="23" spans="1:5" ht="12.75">
      <c r="A23">
        <v>500</v>
      </c>
      <c r="E23" s="268"/>
    </row>
    <row r="24" spans="1:5" ht="12.75">
      <c r="A24" t="s">
        <v>1261</v>
      </c>
      <c r="E24" s="268"/>
    </row>
    <row r="25" ht="12.75">
      <c r="E25" s="268"/>
    </row>
    <row r="26" ht="12.75">
      <c r="E26" s="268"/>
    </row>
    <row r="27" ht="12.75">
      <c r="E27" s="268"/>
    </row>
    <row r="28" ht="12.75">
      <c r="E28" s="268"/>
    </row>
    <row r="29" ht="12.75">
      <c r="E29" s="303"/>
    </row>
    <row r="100" spans="1:9" ht="12.75">
      <c r="A100" s="425" t="s">
        <v>885</v>
      </c>
      <c r="B100" s="426"/>
      <c r="C100" s="426"/>
      <c r="D100" s="426"/>
      <c r="E100" s="426"/>
      <c r="F100" s="426"/>
      <c r="G100" s="426"/>
      <c r="H100" s="426"/>
      <c r="I100" s="424"/>
    </row>
    <row r="101" spans="1:9" ht="12.75">
      <c r="A101" s="425"/>
      <c r="B101" s="425" t="s">
        <v>886</v>
      </c>
      <c r="C101" s="426"/>
      <c r="D101" s="426"/>
      <c r="E101" s="426"/>
      <c r="F101" s="426"/>
      <c r="G101" s="426"/>
      <c r="H101" s="426"/>
      <c r="I101" s="424"/>
    </row>
    <row r="103" spans="1:8" ht="12.75">
      <c r="A103" s="425" t="s">
        <v>935</v>
      </c>
      <c r="B103" s="426"/>
      <c r="C103" s="426"/>
      <c r="D103" s="426"/>
      <c r="E103" s="426"/>
      <c r="F103" s="426"/>
      <c r="G103" s="426"/>
      <c r="H103" s="426"/>
    </row>
    <row r="104" spans="1:8" ht="12.75">
      <c r="A104" s="425"/>
      <c r="B104" s="426"/>
      <c r="C104" s="426"/>
      <c r="D104" s="426"/>
      <c r="E104" s="426"/>
      <c r="F104" s="426"/>
      <c r="G104" s="426"/>
      <c r="H104" s="426"/>
    </row>
    <row r="105" spans="1:8" ht="12.75">
      <c r="A105" s="425"/>
      <c r="B105" s="426"/>
      <c r="C105" s="426"/>
      <c r="D105" s="426"/>
      <c r="E105" s="426"/>
      <c r="F105" s="426"/>
      <c r="G105" s="426"/>
      <c r="H105" s="426"/>
    </row>
    <row r="106" spans="1:8" ht="12.75">
      <c r="A106" s="426"/>
      <c r="B106" s="426"/>
      <c r="C106" s="426"/>
      <c r="D106" s="426"/>
      <c r="E106" s="426"/>
      <c r="F106" s="426"/>
      <c r="G106" s="426"/>
      <c r="H106" s="426"/>
    </row>
    <row r="107" spans="1:8" ht="12.75">
      <c r="A107" s="425" t="s">
        <v>887</v>
      </c>
      <c r="B107" s="426"/>
      <c r="C107" s="426"/>
      <c r="D107" s="426"/>
      <c r="E107" s="426"/>
      <c r="F107" s="426"/>
      <c r="G107" s="426"/>
      <c r="H107" s="426"/>
    </row>
    <row r="108" spans="1:8" ht="12.75">
      <c r="A108" s="425"/>
      <c r="B108" s="426"/>
      <c r="C108" s="426"/>
      <c r="D108" s="426"/>
      <c r="E108" s="426"/>
      <c r="F108" s="426"/>
      <c r="G108" s="426"/>
      <c r="H108" s="426"/>
    </row>
    <row r="109" spans="1:8" ht="12.75">
      <c r="A109" s="425"/>
      <c r="B109" s="426"/>
      <c r="C109" s="426"/>
      <c r="D109" s="426"/>
      <c r="E109" s="426"/>
      <c r="F109" s="426"/>
      <c r="G109" s="426"/>
      <c r="H109" s="426"/>
    </row>
    <row r="110" spans="1:8" ht="12.75">
      <c r="A110" s="425"/>
      <c r="B110" s="426" t="s">
        <v>842</v>
      </c>
      <c r="C110" s="426"/>
      <c r="D110" s="426"/>
      <c r="E110" s="426"/>
      <c r="F110" s="426"/>
      <c r="G110" s="426"/>
      <c r="H110" s="426"/>
    </row>
    <row r="111" spans="1:8" ht="12.75">
      <c r="A111" s="425"/>
      <c r="B111" s="426" t="s">
        <v>647</v>
      </c>
      <c r="C111" s="426"/>
      <c r="D111" s="426"/>
      <c r="E111" s="426"/>
      <c r="F111" s="426"/>
      <c r="G111" s="426"/>
      <c r="H111" s="426"/>
    </row>
    <row r="112" spans="1:8" ht="12.75">
      <c r="A112" s="425"/>
      <c r="B112" s="426" t="s">
        <v>646</v>
      </c>
      <c r="C112" s="426"/>
      <c r="D112" s="426"/>
      <c r="E112" s="426"/>
      <c r="F112" s="426"/>
      <c r="G112" s="426"/>
      <c r="H112" s="426"/>
    </row>
    <row r="113" spans="1:8" ht="12.75">
      <c r="A113" s="426"/>
      <c r="B113" s="426" t="s">
        <v>1049</v>
      </c>
      <c r="C113" s="426"/>
      <c r="D113" s="426"/>
      <c r="E113" s="426"/>
      <c r="F113" s="426"/>
      <c r="G113" s="426"/>
      <c r="H113" s="426"/>
    </row>
    <row r="114" spans="1:8" ht="12.75">
      <c r="A114" s="426"/>
      <c r="B114" s="426"/>
      <c r="C114" s="426"/>
      <c r="D114" s="426"/>
      <c r="E114" s="426"/>
      <c r="F114" s="426"/>
      <c r="G114" s="426"/>
      <c r="H114" s="426"/>
    </row>
    <row r="115" spans="1:8" ht="12.75">
      <c r="A115" s="426"/>
      <c r="B115" s="426"/>
      <c r="C115" s="426"/>
      <c r="D115" s="426"/>
      <c r="E115" s="426"/>
      <c r="F115" s="426"/>
      <c r="G115" s="426"/>
      <c r="H115" s="426"/>
    </row>
    <row r="116" spans="1:8" ht="12.75">
      <c r="A116" s="426"/>
      <c r="B116" s="425" t="s">
        <v>1351</v>
      </c>
      <c r="C116" s="426"/>
      <c r="D116" s="426"/>
      <c r="E116" s="426"/>
      <c r="F116" s="426"/>
      <c r="G116" s="426"/>
      <c r="H116" s="426"/>
    </row>
    <row r="117" spans="1:8" ht="12.75">
      <c r="A117" s="426"/>
      <c r="B117" s="425"/>
      <c r="C117" s="426"/>
      <c r="D117" s="426"/>
      <c r="E117" s="426"/>
      <c r="F117" s="426"/>
      <c r="G117" s="426"/>
      <c r="H117" s="426"/>
    </row>
    <row r="118" spans="1:8" ht="12.75">
      <c r="A118" s="426"/>
      <c r="B118" s="426" t="s">
        <v>69</v>
      </c>
      <c r="C118" s="426"/>
      <c r="D118" s="426"/>
      <c r="E118" s="426"/>
      <c r="F118" s="426"/>
      <c r="G118" s="426"/>
      <c r="H118" s="426"/>
    </row>
    <row r="119" spans="1:8" ht="12.75">
      <c r="A119" s="426"/>
      <c r="B119" s="426" t="s">
        <v>1352</v>
      </c>
      <c r="C119" s="426"/>
      <c r="D119" s="426"/>
      <c r="E119" s="426"/>
      <c r="F119" s="426"/>
      <c r="G119" s="426"/>
      <c r="H119" s="426"/>
    </row>
    <row r="120" spans="1:8" ht="12.75">
      <c r="A120" s="426"/>
      <c r="B120" s="426"/>
      <c r="C120" s="426"/>
      <c r="D120" s="426"/>
      <c r="E120" s="426"/>
      <c r="F120" s="426"/>
      <c r="G120" s="426"/>
      <c r="H120" s="426"/>
    </row>
    <row r="121" spans="1:8" ht="12.75">
      <c r="A121" s="426"/>
      <c r="B121" s="426" t="s">
        <v>1325</v>
      </c>
      <c r="C121" s="426"/>
      <c r="D121" s="426"/>
      <c r="E121" s="426"/>
      <c r="F121" s="426"/>
      <c r="G121" s="426"/>
      <c r="H121" s="426"/>
    </row>
    <row r="122" spans="1:8" ht="12.75">
      <c r="A122" s="426"/>
      <c r="B122" s="426" t="s">
        <v>1326</v>
      </c>
      <c r="C122" s="426"/>
      <c r="D122" s="426"/>
      <c r="E122" s="426"/>
      <c r="F122" s="426"/>
      <c r="G122" s="426"/>
      <c r="H122" s="426"/>
    </row>
    <row r="123" spans="1:8" ht="12.75">
      <c r="A123" s="426"/>
      <c r="B123" s="426" t="s">
        <v>1271</v>
      </c>
      <c r="C123" s="426"/>
      <c r="D123" s="426"/>
      <c r="E123" s="426"/>
      <c r="F123" s="426"/>
      <c r="G123" s="426"/>
      <c r="H123" s="426"/>
    </row>
    <row r="124" spans="1:8" ht="12.75">
      <c r="A124" s="426"/>
      <c r="B124" s="426" t="s">
        <v>1597</v>
      </c>
      <c r="C124" s="426"/>
      <c r="D124" s="426"/>
      <c r="E124" s="426"/>
      <c r="F124" s="426"/>
      <c r="G124" s="426"/>
      <c r="H124" s="426"/>
    </row>
    <row r="125" spans="1:8" ht="12.75">
      <c r="A125" s="426"/>
      <c r="B125" s="426" t="s">
        <v>1272</v>
      </c>
      <c r="C125" s="426"/>
      <c r="D125" s="426"/>
      <c r="E125" s="426"/>
      <c r="F125" s="426"/>
      <c r="G125" s="426"/>
      <c r="H125" s="426"/>
    </row>
    <row r="126" spans="1:8" ht="12.75">
      <c r="A126" s="426"/>
      <c r="B126" s="426"/>
      <c r="C126" s="426"/>
      <c r="D126" s="426"/>
      <c r="E126" s="426"/>
      <c r="F126" s="426"/>
      <c r="G126" s="426"/>
      <c r="H126" s="426"/>
    </row>
    <row r="127" spans="1:8" ht="12.75">
      <c r="A127" s="426"/>
      <c r="B127" s="426"/>
      <c r="C127" s="426"/>
      <c r="D127" s="426"/>
      <c r="E127" s="426"/>
      <c r="F127" s="426"/>
      <c r="G127" s="426"/>
      <c r="H127" s="426"/>
    </row>
    <row r="128" spans="1:8" ht="12.75">
      <c r="A128" s="426"/>
      <c r="B128" s="426"/>
      <c r="C128" s="426"/>
      <c r="D128" s="426"/>
      <c r="E128" s="426"/>
      <c r="F128" s="426"/>
      <c r="G128" s="426"/>
      <c r="H128" s="426"/>
    </row>
    <row r="129" spans="1:8" ht="12.75">
      <c r="A129" s="426"/>
      <c r="B129" s="426"/>
      <c r="C129" s="426"/>
      <c r="D129" s="426"/>
      <c r="E129" s="426"/>
      <c r="F129" s="426"/>
      <c r="G129" s="426"/>
      <c r="H129" s="426"/>
    </row>
    <row r="130" spans="1:8" ht="12.75">
      <c r="A130" s="426"/>
      <c r="B130" s="426"/>
      <c r="C130" s="426"/>
      <c r="D130" s="426"/>
      <c r="E130" s="426"/>
      <c r="F130" s="426"/>
      <c r="G130" s="426"/>
      <c r="H130" s="426"/>
    </row>
    <row r="131" spans="1:8" ht="12.75">
      <c r="A131" s="426"/>
      <c r="B131" s="426"/>
      <c r="C131" s="426"/>
      <c r="D131" s="426"/>
      <c r="E131" s="426"/>
      <c r="F131" s="426"/>
      <c r="G131" s="426"/>
      <c r="H131" s="426"/>
    </row>
  </sheetData>
  <sheetProtection password="CFF3" sheet="1" objects="1" scenarios="1"/>
  <printOptions gridLines="1"/>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M155"/>
  <sheetViews>
    <sheetView workbookViewId="0" topLeftCell="A1">
      <selection activeCell="A1" sqref="A1:L1"/>
    </sheetView>
  </sheetViews>
  <sheetFormatPr defaultColWidth="9.00390625" defaultRowHeight="12.75"/>
  <cols>
    <col min="1" max="1" width="8.00390625" style="0" customWidth="1"/>
    <col min="2" max="10" width="11.375" style="0" customWidth="1"/>
    <col min="11" max="11" width="12.875" style="0" customWidth="1"/>
    <col min="12" max="12" width="10.00390625" style="0" customWidth="1"/>
    <col min="13" max="16384" width="11.375" style="0" customWidth="1"/>
  </cols>
  <sheetData>
    <row r="1" spans="1:12" ht="23.25">
      <c r="A1" s="702" t="str">
        <f>Introduction!A1</f>
        <v>Earth Sciences and Image Analysis Laboratory - NASA, Johnson Space Center</v>
      </c>
      <c r="B1" s="702"/>
      <c r="C1" s="702"/>
      <c r="D1" s="702"/>
      <c r="E1" s="702"/>
      <c r="F1" s="702"/>
      <c r="G1" s="702"/>
      <c r="H1" s="702"/>
      <c r="I1" s="702"/>
      <c r="J1" s="702"/>
      <c r="K1" s="702"/>
      <c r="L1" s="702"/>
    </row>
    <row r="2" spans="1:12" ht="23.25">
      <c r="A2" s="702" t="s">
        <v>948</v>
      </c>
      <c r="B2" s="702"/>
      <c r="C2" s="702"/>
      <c r="D2" s="702"/>
      <c r="E2" s="702"/>
      <c r="F2" s="702"/>
      <c r="G2" s="702"/>
      <c r="H2" s="702"/>
      <c r="I2" s="702"/>
      <c r="J2" s="702"/>
      <c r="K2" s="702"/>
      <c r="L2" s="702"/>
    </row>
    <row r="4" spans="1:12" ht="15.75">
      <c r="A4" s="703" t="str">
        <f>Introduction!A4</f>
        <v>Revision:  3.01    Released: 11/01/02</v>
      </c>
      <c r="B4" s="703"/>
      <c r="C4" s="703"/>
      <c r="D4" s="703"/>
      <c r="E4" s="703"/>
      <c r="F4" s="703"/>
      <c r="G4" s="703"/>
      <c r="H4" s="703"/>
      <c r="I4" s="703"/>
      <c r="J4" s="703"/>
      <c r="K4" s="703"/>
      <c r="L4" s="703"/>
    </row>
    <row r="5" spans="1:12" ht="15.75">
      <c r="A5" s="467"/>
      <c r="B5" s="467"/>
      <c r="C5" s="467"/>
      <c r="D5" s="467"/>
      <c r="E5" s="467"/>
      <c r="F5" s="467"/>
      <c r="G5" s="467"/>
      <c r="H5" s="467"/>
      <c r="I5" s="467"/>
      <c r="J5" s="467"/>
      <c r="K5" s="467"/>
      <c r="L5" s="467"/>
    </row>
    <row r="6" spans="1:13" ht="18">
      <c r="A6" s="491" t="s">
        <v>950</v>
      </c>
      <c r="B6" s="447"/>
      <c r="C6" s="447"/>
      <c r="D6" s="447"/>
      <c r="E6" s="447"/>
      <c r="F6" s="447"/>
      <c r="G6" s="447"/>
      <c r="H6" s="447"/>
      <c r="I6" s="447"/>
      <c r="J6" s="447"/>
      <c r="K6" s="447"/>
      <c r="L6" s="447"/>
      <c r="M6" s="298"/>
    </row>
    <row r="7" spans="1:13" ht="18">
      <c r="A7" s="492" t="s">
        <v>947</v>
      </c>
      <c r="B7" s="447"/>
      <c r="C7" s="447"/>
      <c r="D7" s="447"/>
      <c r="E7" s="447"/>
      <c r="F7" s="447"/>
      <c r="G7" s="447"/>
      <c r="H7" s="447"/>
      <c r="I7" s="447"/>
      <c r="J7" s="447"/>
      <c r="K7" s="447"/>
      <c r="L7" s="447"/>
      <c r="M7" s="298"/>
    </row>
    <row r="8" spans="1:13" ht="23.25">
      <c r="A8" s="458" t="s">
        <v>1037</v>
      </c>
      <c r="B8" s="447"/>
      <c r="C8" s="447"/>
      <c r="D8" s="447"/>
      <c r="E8" s="447"/>
      <c r="F8" s="447"/>
      <c r="G8" s="447"/>
      <c r="H8" s="447"/>
      <c r="I8" s="447"/>
      <c r="J8" s="447"/>
      <c r="K8" s="447"/>
      <c r="L8" s="447"/>
      <c r="M8" s="298"/>
    </row>
    <row r="10" ht="18">
      <c r="A10" s="12" t="s">
        <v>1286</v>
      </c>
    </row>
    <row r="13" ht="12.75">
      <c r="A13" s="124" t="s">
        <v>1376</v>
      </c>
    </row>
    <row r="15" spans="1:2" ht="12.75">
      <c r="A15" s="296" t="s">
        <v>1368</v>
      </c>
      <c r="B15" s="124" t="s">
        <v>1275</v>
      </c>
    </row>
    <row r="16" spans="1:2" ht="12.75">
      <c r="A16" s="296" t="s">
        <v>1367</v>
      </c>
      <c r="B16" s="124" t="s">
        <v>1203</v>
      </c>
    </row>
    <row r="17" spans="1:2" ht="12.75">
      <c r="A17" s="296"/>
      <c r="B17" s="124" t="s">
        <v>1282</v>
      </c>
    </row>
    <row r="18" spans="1:2" ht="12.75">
      <c r="A18" s="296"/>
      <c r="B18" s="124" t="s">
        <v>1283</v>
      </c>
    </row>
    <row r="19" spans="1:2" ht="12.75">
      <c r="A19" s="296"/>
      <c r="B19" s="124" t="s">
        <v>1284</v>
      </c>
    </row>
    <row r="20" spans="1:2" ht="12.75">
      <c r="A20" s="296"/>
      <c r="B20" s="124" t="s">
        <v>1366</v>
      </c>
    </row>
    <row r="21" spans="1:2" ht="12.75">
      <c r="A21" s="296"/>
      <c r="B21" s="124" t="s">
        <v>1202</v>
      </c>
    </row>
    <row r="22" spans="1:2" ht="12.75">
      <c r="A22" s="296" t="s">
        <v>1369</v>
      </c>
      <c r="B22" s="124" t="s">
        <v>1276</v>
      </c>
    </row>
    <row r="23" spans="1:2" ht="12.75">
      <c r="A23" s="296" t="s">
        <v>1370</v>
      </c>
      <c r="B23" s="124" t="s">
        <v>1277</v>
      </c>
    </row>
    <row r="24" spans="1:2" ht="12.75">
      <c r="A24" s="296" t="s">
        <v>1371</v>
      </c>
      <c r="B24" s="124" t="s">
        <v>1278</v>
      </c>
    </row>
    <row r="25" spans="1:9" ht="12.75">
      <c r="A25" s="296" t="s">
        <v>1372</v>
      </c>
      <c r="B25" s="124" t="s">
        <v>1279</v>
      </c>
      <c r="I25" s="124" t="s">
        <v>954</v>
      </c>
    </row>
    <row r="26" spans="1:2" ht="12.75">
      <c r="A26" s="296" t="s">
        <v>1373</v>
      </c>
      <c r="B26" s="124" t="s">
        <v>1239</v>
      </c>
    </row>
    <row r="27" spans="1:2" ht="12.75">
      <c r="A27" s="296" t="s">
        <v>1374</v>
      </c>
      <c r="B27" s="124" t="s">
        <v>1280</v>
      </c>
    </row>
    <row r="28" spans="1:2" ht="12.75">
      <c r="A28" s="296" t="s">
        <v>1375</v>
      </c>
      <c r="B28" s="124" t="s">
        <v>1281</v>
      </c>
    </row>
    <row r="29" spans="1:2" ht="12.75">
      <c r="A29" s="296" t="s">
        <v>499</v>
      </c>
      <c r="B29" s="124" t="s">
        <v>374</v>
      </c>
    </row>
    <row r="31" ht="12.75">
      <c r="A31" s="124" t="s">
        <v>1377</v>
      </c>
    </row>
    <row r="32" ht="12.75">
      <c r="A32" s="124"/>
    </row>
    <row r="33" spans="1:2" ht="12.75">
      <c r="A33" s="124"/>
      <c r="B33" s="419" t="s">
        <v>951</v>
      </c>
    </row>
    <row r="34" spans="1:2" ht="12.75">
      <c r="A34" s="124"/>
      <c r="B34" s="419" t="s">
        <v>952</v>
      </c>
    </row>
    <row r="35" spans="1:2" ht="12.75">
      <c r="A35" s="124"/>
      <c r="B35" s="419" t="s">
        <v>953</v>
      </c>
    </row>
    <row r="37" ht="12.75">
      <c r="A37" s="124" t="s">
        <v>1378</v>
      </c>
    </row>
    <row r="38" ht="12.75">
      <c r="A38" s="124"/>
    </row>
    <row r="39" ht="12.75">
      <c r="A39" s="124"/>
    </row>
    <row r="40" ht="12.75">
      <c r="A40" s="124"/>
    </row>
    <row r="41" ht="12.75">
      <c r="A41" s="124"/>
    </row>
    <row r="42" ht="12.75">
      <c r="A42" s="124"/>
    </row>
    <row r="43" ht="12.75">
      <c r="A43" s="124"/>
    </row>
    <row r="44" ht="12.75">
      <c r="A44" s="124"/>
    </row>
    <row r="46" ht="12.75">
      <c r="A46" s="124" t="s">
        <v>937</v>
      </c>
    </row>
    <row r="47" ht="12.75">
      <c r="B47" t="s">
        <v>1240</v>
      </c>
    </row>
    <row r="48" ht="12.75">
      <c r="B48" t="s">
        <v>1688</v>
      </c>
    </row>
    <row r="51" ht="12.75">
      <c r="A51" s="124" t="s">
        <v>936</v>
      </c>
    </row>
    <row r="52" ht="12.75">
      <c r="A52" s="124"/>
    </row>
    <row r="53" spans="1:2" ht="12.75">
      <c r="A53" s="124"/>
      <c r="B53" s="124" t="s">
        <v>1204</v>
      </c>
    </row>
    <row r="54" spans="1:2" ht="12.75">
      <c r="A54" s="124"/>
      <c r="B54" t="s">
        <v>648</v>
      </c>
    </row>
    <row r="55" spans="1:2" ht="12.75">
      <c r="A55" s="124"/>
      <c r="B55" t="s">
        <v>1397</v>
      </c>
    </row>
    <row r="56" ht="12.75">
      <c r="A56" s="124"/>
    </row>
    <row r="57" ht="12.75">
      <c r="B57" t="s">
        <v>1287</v>
      </c>
    </row>
    <row r="58" ht="12.75">
      <c r="B58" t="s">
        <v>1050</v>
      </c>
    </row>
    <row r="59" ht="12.75">
      <c r="B59" t="s">
        <v>1687</v>
      </c>
    </row>
    <row r="60" ht="12.75">
      <c r="B60" t="s">
        <v>1485</v>
      </c>
    </row>
    <row r="62" ht="12.75">
      <c r="F62" s="411" t="s">
        <v>1201</v>
      </c>
    </row>
    <row r="63" spans="2:6" ht="13.5" thickBot="1">
      <c r="B63" s="411" t="s">
        <v>1288</v>
      </c>
      <c r="C63" s="411" t="s">
        <v>1289</v>
      </c>
      <c r="D63" s="411" t="s">
        <v>1290</v>
      </c>
      <c r="F63" s="411" t="s">
        <v>1288</v>
      </c>
    </row>
    <row r="64" spans="2:6" ht="18.75" thickBot="1">
      <c r="B64" s="412"/>
      <c r="C64" s="412"/>
      <c r="D64" s="413"/>
      <c r="E64" s="12" t="s">
        <v>1146</v>
      </c>
      <c r="F64" s="414">
        <f>IF(AND(B64="",C64="",D64=""),"",B64+(C64/60)+(D64/3600))</f>
      </c>
    </row>
    <row r="65" ht="12.75">
      <c r="B65" s="280" t="s">
        <v>1315</v>
      </c>
    </row>
    <row r="66" ht="12.75">
      <c r="B66" s="280"/>
    </row>
    <row r="67" ht="12.75">
      <c r="B67" s="280"/>
    </row>
    <row r="68" spans="1:2" ht="12.75">
      <c r="A68" s="124" t="s">
        <v>883</v>
      </c>
      <c r="B68" s="280"/>
    </row>
    <row r="69" spans="1:2" ht="12.75">
      <c r="A69" s="124"/>
      <c r="B69" s="124" t="s">
        <v>884</v>
      </c>
    </row>
    <row r="70" spans="1:2" ht="12.75">
      <c r="A70" s="124"/>
      <c r="B70" s="280"/>
    </row>
    <row r="71" spans="1:2" ht="12.75">
      <c r="A71" s="124"/>
      <c r="B71" s="280"/>
    </row>
    <row r="72" spans="1:2" ht="12.75">
      <c r="A72" s="124"/>
      <c r="B72" s="280"/>
    </row>
    <row r="73" spans="1:2" ht="12.75">
      <c r="A73" s="124"/>
      <c r="B73" s="280"/>
    </row>
    <row r="74" spans="1:2" ht="12.75">
      <c r="A74" s="124"/>
      <c r="B74" s="280"/>
    </row>
    <row r="75" spans="1:2" ht="12.75">
      <c r="A75" s="124"/>
      <c r="B75" s="280"/>
    </row>
    <row r="76" spans="1:2" ht="12.75">
      <c r="A76" s="124"/>
      <c r="B76" s="280"/>
    </row>
    <row r="77" spans="1:2" ht="12.75">
      <c r="A77" s="124"/>
      <c r="B77" s="280"/>
    </row>
    <row r="78" spans="1:2" ht="12.75">
      <c r="A78" s="124"/>
      <c r="B78" s="280"/>
    </row>
    <row r="82" spans="1:8" ht="12.75">
      <c r="A82" s="426"/>
      <c r="B82" s="426"/>
      <c r="C82" s="426"/>
      <c r="D82" s="426"/>
      <c r="E82" s="426"/>
      <c r="F82" s="426"/>
      <c r="G82" s="426"/>
      <c r="H82" s="426"/>
    </row>
    <row r="84" ht="12.75">
      <c r="A84" s="124" t="s">
        <v>888</v>
      </c>
    </row>
    <row r="85" spans="1:2" ht="12.75">
      <c r="A85" s="124"/>
      <c r="B85" s="124"/>
    </row>
    <row r="87" ht="12.75">
      <c r="B87" t="s">
        <v>2</v>
      </c>
    </row>
    <row r="88" ht="12.75">
      <c r="B88" t="s">
        <v>1274</v>
      </c>
    </row>
    <row r="89" ht="12.75">
      <c r="B89" t="s">
        <v>1353</v>
      </c>
    </row>
    <row r="90" ht="12.75">
      <c r="B90" t="s">
        <v>1294</v>
      </c>
    </row>
    <row r="93" ht="12.75">
      <c r="A93" s="124" t="s">
        <v>889</v>
      </c>
    </row>
    <row r="95" ht="18" customHeight="1">
      <c r="B95" t="s">
        <v>1314</v>
      </c>
    </row>
    <row r="96" spans="7:11" ht="18" customHeight="1">
      <c r="G96" s="420"/>
      <c r="H96" s="420"/>
      <c r="I96" s="421"/>
      <c r="J96" s="422"/>
      <c r="K96" s="423"/>
    </row>
    <row r="97" spans="6:11" ht="18" customHeight="1">
      <c r="F97" s="411" t="s">
        <v>1201</v>
      </c>
      <c r="G97" s="420"/>
      <c r="H97" s="420"/>
      <c r="I97" s="421"/>
      <c r="J97" s="422"/>
      <c r="K97" s="423"/>
    </row>
    <row r="98" spans="2:11" ht="18" customHeight="1" thickBot="1">
      <c r="B98" s="411" t="s">
        <v>1288</v>
      </c>
      <c r="C98" s="411" t="s">
        <v>1289</v>
      </c>
      <c r="D98" s="411" t="s">
        <v>1290</v>
      </c>
      <c r="F98" s="411" t="s">
        <v>1288</v>
      </c>
      <c r="G98" s="420"/>
      <c r="H98" s="420"/>
      <c r="I98" s="421"/>
      <c r="J98" s="422"/>
      <c r="K98" s="423"/>
    </row>
    <row r="99" spans="2:11" ht="18" customHeight="1" thickBot="1">
      <c r="B99" s="412"/>
      <c r="C99" s="412"/>
      <c r="D99" s="413"/>
      <c r="E99" s="12" t="s">
        <v>1146</v>
      </c>
      <c r="F99" s="414">
        <f>IF(AND(B99="",C99="",D99=""),"",B99+(C99/60)+(D99/3600))</f>
      </c>
      <c r="G99" s="420"/>
      <c r="H99" s="420"/>
      <c r="I99" s="421"/>
      <c r="J99" s="422"/>
      <c r="K99" s="423"/>
    </row>
    <row r="102" ht="12.75">
      <c r="A102" s="124" t="s">
        <v>1192</v>
      </c>
    </row>
    <row r="103" ht="12.75">
      <c r="A103" s="124"/>
    </row>
    <row r="104" ht="12.75">
      <c r="A104" s="124" t="s">
        <v>934</v>
      </c>
    </row>
    <row r="105" ht="12.75">
      <c r="B105" s="124" t="s">
        <v>955</v>
      </c>
    </row>
    <row r="106" ht="12.75">
      <c r="B106" s="124"/>
    </row>
    <row r="107" ht="12.75">
      <c r="B107" s="124" t="s">
        <v>878</v>
      </c>
    </row>
    <row r="108" ht="12.75">
      <c r="B108" s="124" t="s">
        <v>879</v>
      </c>
    </row>
    <row r="109" ht="12.75">
      <c r="B109" s="124" t="s">
        <v>880</v>
      </c>
    </row>
    <row r="110" ht="12.75">
      <c r="B110" s="124"/>
    </row>
    <row r="111" ht="12.75">
      <c r="B111" s="124" t="s">
        <v>881</v>
      </c>
    </row>
    <row r="112" ht="12.75">
      <c r="B112" s="124" t="s">
        <v>882</v>
      </c>
    </row>
    <row r="114" spans="1:2" ht="12.75">
      <c r="A114" s="124"/>
      <c r="B114" s="419" t="s">
        <v>899</v>
      </c>
    </row>
    <row r="115" ht="12.75">
      <c r="B115" s="419" t="s">
        <v>900</v>
      </c>
    </row>
    <row r="118" ht="12.75">
      <c r="A118" s="280" t="s">
        <v>320</v>
      </c>
    </row>
    <row r="120" ht="15.75">
      <c r="A120" s="11" t="s">
        <v>1010</v>
      </c>
    </row>
    <row r="121" ht="15.75">
      <c r="B121" s="648" t="s">
        <v>1019</v>
      </c>
    </row>
    <row r="123" spans="1:2" ht="12.75">
      <c r="A123" s="296" t="s">
        <v>1368</v>
      </c>
      <c r="B123" t="s">
        <v>1245</v>
      </c>
    </row>
    <row r="124" ht="12.75">
      <c r="A124" s="296"/>
    </row>
    <row r="125" spans="1:2" ht="12.75">
      <c r="A125" s="296"/>
      <c r="B125" s="419" t="s">
        <v>1246</v>
      </c>
    </row>
    <row r="126" spans="1:3" ht="12.75">
      <c r="A126" s="296"/>
      <c r="C126" t="s">
        <v>1250</v>
      </c>
    </row>
    <row r="127" spans="1:3" ht="12.75">
      <c r="A127" s="296"/>
      <c r="C127" t="s">
        <v>1149</v>
      </c>
    </row>
    <row r="128" ht="12.75">
      <c r="A128" s="296"/>
    </row>
    <row r="129" spans="1:3" ht="12.75">
      <c r="A129" s="296"/>
      <c r="C129" t="s">
        <v>1150</v>
      </c>
    </row>
    <row r="130" spans="1:3" ht="12.75">
      <c r="A130" s="296"/>
      <c r="C130" t="s">
        <v>1151</v>
      </c>
    </row>
    <row r="131" ht="12.75">
      <c r="A131" s="296"/>
    </row>
    <row r="132" spans="1:2" ht="12.75">
      <c r="A132" s="296" t="s">
        <v>1367</v>
      </c>
      <c r="B132" t="s">
        <v>1247</v>
      </c>
    </row>
    <row r="133" ht="12.75">
      <c r="A133" s="296"/>
    </row>
    <row r="134" spans="1:2" ht="12.75">
      <c r="A134" s="296" t="s">
        <v>1369</v>
      </c>
      <c r="B134" t="s">
        <v>1152</v>
      </c>
    </row>
    <row r="135" ht="12.75">
      <c r="A135" s="296"/>
    </row>
    <row r="136" spans="1:2" ht="12.75">
      <c r="A136" s="296" t="s">
        <v>1370</v>
      </c>
      <c r="B136" t="s">
        <v>901</v>
      </c>
    </row>
    <row r="137" ht="12.75">
      <c r="A137" s="296"/>
    </row>
    <row r="138" spans="1:2" ht="12.75">
      <c r="A138" s="296" t="s">
        <v>1371</v>
      </c>
      <c r="B138" t="s">
        <v>1248</v>
      </c>
    </row>
    <row r="139" ht="12.75">
      <c r="A139" s="296"/>
    </row>
    <row r="140" spans="1:3" ht="12.75">
      <c r="A140" s="296" t="s">
        <v>1372</v>
      </c>
      <c r="B140" s="191" t="s">
        <v>1249</v>
      </c>
      <c r="C140" t="s">
        <v>1153</v>
      </c>
    </row>
    <row r="142" spans="1:3" ht="12.75">
      <c r="A142" s="296" t="s">
        <v>1373</v>
      </c>
      <c r="B142" s="191" t="s">
        <v>1249</v>
      </c>
      <c r="C142" t="s">
        <v>1334</v>
      </c>
    </row>
    <row r="144" ht="12.75">
      <c r="C144" t="s">
        <v>1048</v>
      </c>
    </row>
    <row r="146" ht="12.75">
      <c r="B146" s="280" t="s">
        <v>388</v>
      </c>
    </row>
    <row r="147" ht="12.75">
      <c r="B147" s="280" t="s">
        <v>294</v>
      </c>
    </row>
    <row r="149" spans="1:2" ht="12.75">
      <c r="A149" s="296" t="s">
        <v>1374</v>
      </c>
      <c r="B149" s="191" t="s">
        <v>875</v>
      </c>
    </row>
    <row r="151" ht="12.75">
      <c r="A151" s="124" t="s">
        <v>1021</v>
      </c>
    </row>
    <row r="152" ht="12.75">
      <c r="A152" s="124"/>
    </row>
    <row r="153" ht="12.75">
      <c r="A153" s="124" t="s">
        <v>1022</v>
      </c>
    </row>
    <row r="154" ht="12.75">
      <c r="A154" s="124"/>
    </row>
    <row r="155" ht="12.75">
      <c r="A155" s="124" t="s">
        <v>1023</v>
      </c>
    </row>
  </sheetData>
  <sheetProtection password="CFF3" sheet="1" objects="1" scenarios="1"/>
  <mergeCells count="3">
    <mergeCell ref="A1:L1"/>
    <mergeCell ref="A2:L2"/>
    <mergeCell ref="A4:L4"/>
  </mergeCells>
  <printOptions/>
  <pageMargins left="0.42" right="0.46" top="0.75" bottom="0.54" header="0.5" footer="0.42"/>
  <pageSetup fitToHeight="0" fitToWidth="1" orientation="portrait" paperSize="9" scale="54"/>
  <rowBreaks count="1" manualBreakCount="1">
    <brk id="82" max="12" man="1"/>
  </rowBreaks>
  <drawing r:id="rId1"/>
</worksheet>
</file>

<file path=xl/worksheets/sheet3.xml><?xml version="1.0" encoding="utf-8"?>
<worksheet xmlns="http://schemas.openxmlformats.org/spreadsheetml/2006/main" xmlns:r="http://schemas.openxmlformats.org/officeDocument/2006/relationships">
  <sheetPr codeName="Sheet2"/>
  <dimension ref="A1:M132"/>
  <sheetViews>
    <sheetView workbookViewId="0" topLeftCell="A1">
      <selection activeCell="E9" sqref="E9"/>
    </sheetView>
  </sheetViews>
  <sheetFormatPr defaultColWidth="9.00390625" defaultRowHeight="12.75"/>
  <cols>
    <col min="1" max="1" width="14.625" style="0" customWidth="1"/>
    <col min="2" max="2" width="11.75390625" style="0" customWidth="1"/>
    <col min="3" max="3" width="14.375" style="0" customWidth="1"/>
    <col min="4" max="4" width="12.375" style="0" customWidth="1"/>
    <col min="5" max="5" width="18.375" style="0" customWidth="1"/>
    <col min="6" max="6" width="16.75390625" style="0" customWidth="1"/>
    <col min="7" max="7" width="14.375" style="0" customWidth="1"/>
    <col min="8" max="8" width="14.625" style="0" customWidth="1"/>
    <col min="9" max="10" width="13.125" style="0" customWidth="1"/>
    <col min="11" max="11" width="13.875" style="0" customWidth="1"/>
    <col min="12" max="16384" width="11.375" style="0" customWidth="1"/>
  </cols>
  <sheetData>
    <row r="1" spans="1:13" ht="26.25">
      <c r="A1" s="675" t="s">
        <v>946</v>
      </c>
      <c r="B1" s="40"/>
      <c r="C1" s="40"/>
      <c r="D1" s="40"/>
      <c r="E1" s="40"/>
      <c r="F1" s="40"/>
      <c r="G1" s="40"/>
      <c r="H1" s="40"/>
      <c r="I1" s="40"/>
      <c r="J1" s="62"/>
      <c r="K1" s="62"/>
      <c r="L1" s="677"/>
      <c r="M1" s="677"/>
    </row>
    <row r="2" spans="2:11" ht="12.75">
      <c r="B2" s="222"/>
      <c r="C2" s="222"/>
      <c r="D2" s="222"/>
      <c r="E2" s="222"/>
      <c r="F2" s="222"/>
      <c r="G2" s="222"/>
      <c r="H2" s="222"/>
      <c r="I2" s="222"/>
      <c r="J2" s="222"/>
      <c r="K2" s="222"/>
    </row>
    <row r="3" spans="1:11" ht="15.75">
      <c r="A3" s="250" t="str">
        <f>Introduction!A4</f>
        <v>Revision:  3.01    Released: 11/01/02</v>
      </c>
      <c r="B3" s="222"/>
      <c r="C3" s="222"/>
      <c r="D3" s="222"/>
      <c r="E3" s="222"/>
      <c r="F3" s="222"/>
      <c r="G3" s="222"/>
      <c r="H3" s="222"/>
      <c r="I3" s="222"/>
      <c r="J3" s="222"/>
      <c r="K3" s="222"/>
    </row>
    <row r="4" spans="1:11" ht="13.5" thickBot="1">
      <c r="A4" s="468"/>
      <c r="B4" s="469"/>
      <c r="C4" s="469"/>
      <c r="D4" s="469"/>
      <c r="E4" s="469"/>
      <c r="F4" s="469"/>
      <c r="G4" s="469"/>
      <c r="H4" s="469"/>
      <c r="I4" s="469"/>
      <c r="J4" s="469"/>
      <c r="K4" s="469"/>
    </row>
    <row r="5" spans="2:10" ht="16.5" customHeight="1" thickBot="1">
      <c r="B5" s="271" t="s">
        <v>1311</v>
      </c>
      <c r="C5" s="272"/>
      <c r="D5" s="272"/>
      <c r="E5" s="272"/>
      <c r="F5" s="272"/>
      <c r="G5" s="272"/>
      <c r="H5" s="272"/>
      <c r="I5" s="272"/>
      <c r="J5" s="273"/>
    </row>
    <row r="6" spans="1:11" ht="17.25" thickBot="1">
      <c r="A6" s="248"/>
      <c r="B6" s="404"/>
      <c r="C6" s="405"/>
      <c r="D6" s="405"/>
      <c r="E6" s="405"/>
      <c r="F6" s="405"/>
      <c r="G6" s="405"/>
      <c r="H6" s="405"/>
      <c r="I6" s="405"/>
      <c r="J6" s="405"/>
      <c r="K6" s="63"/>
    </row>
    <row r="7" spans="1:11" ht="16.5" thickBot="1">
      <c r="A7" s="248"/>
      <c r="B7" s="744" t="s">
        <v>844</v>
      </c>
      <c r="C7" s="745"/>
      <c r="D7" s="745"/>
      <c r="E7" s="745"/>
      <c r="F7" s="745"/>
      <c r="G7" s="745"/>
      <c r="H7" s="745"/>
      <c r="I7" s="745"/>
      <c r="J7" s="746"/>
      <c r="K7" s="63"/>
    </row>
    <row r="8" spans="1:11" ht="16.5" customHeight="1">
      <c r="A8" s="248"/>
      <c r="K8" s="63"/>
    </row>
    <row r="9" s="445" customFormat="1" ht="16.5" customHeight="1">
      <c r="A9" s="673" t="s">
        <v>1011</v>
      </c>
    </row>
    <row r="10" ht="16.5" customHeight="1" thickBot="1">
      <c r="A10" s="648"/>
    </row>
    <row r="11" spans="1:11" ht="18.75" thickBot="1">
      <c r="A11" s="494" t="s">
        <v>1312</v>
      </c>
      <c r="B11" s="495"/>
      <c r="C11" s="496"/>
      <c r="D11" s="755" t="s">
        <v>1407</v>
      </c>
      <c r="E11" s="756"/>
      <c r="H11" s="83" t="s">
        <v>1230</v>
      </c>
      <c r="I11" s="38"/>
      <c r="J11" s="38"/>
      <c r="K11" s="39"/>
    </row>
    <row r="12" spans="1:11" s="30" customFormat="1" ht="15.75" thickBot="1">
      <c r="A12" s="27" t="s">
        <v>1231</v>
      </c>
      <c r="B12" s="28"/>
      <c r="C12" s="295" t="s">
        <v>1232</v>
      </c>
      <c r="D12" s="655">
        <v>39.1</v>
      </c>
      <c r="E12" s="29" t="s">
        <v>1233</v>
      </c>
      <c r="F12" s="30" t="s">
        <v>845</v>
      </c>
      <c r="H12" s="741" t="str">
        <f>IF(ABS(D12)&lt;=90,"None","Latitude Must Range Between -90 and +90 Degrees")</f>
        <v>None</v>
      </c>
      <c r="I12" s="750"/>
      <c r="J12" s="750"/>
      <c r="K12" s="751"/>
    </row>
    <row r="13" spans="1:11" s="30" customFormat="1" ht="15.75" thickBot="1">
      <c r="A13" s="31"/>
      <c r="B13" s="32"/>
      <c r="C13" s="74" t="s">
        <v>1234</v>
      </c>
      <c r="D13" s="655">
        <v>-122.2</v>
      </c>
      <c r="E13" s="33" t="s">
        <v>1233</v>
      </c>
      <c r="F13" s="30" t="s">
        <v>846</v>
      </c>
      <c r="H13" s="741" t="str">
        <f>IF(ABS(D13)&lt;=180,"None","Longitude Must Range Between -180 and +180 Degrees")</f>
        <v>None</v>
      </c>
      <c r="I13" s="750"/>
      <c r="J13" s="750"/>
      <c r="K13" s="751"/>
    </row>
    <row r="14" spans="1:11" s="30" customFormat="1" ht="15" thickBot="1">
      <c r="A14" s="31"/>
      <c r="B14" s="32"/>
      <c r="C14" s="32"/>
      <c r="D14" s="34"/>
      <c r="E14" s="33"/>
      <c r="H14" s="358"/>
      <c r="I14" s="358"/>
      <c r="J14" s="358"/>
      <c r="K14" s="358"/>
    </row>
    <row r="15" spans="1:11" s="30" customFormat="1" ht="15" thickBot="1">
      <c r="A15" s="35" t="s">
        <v>1235</v>
      </c>
      <c r="B15" s="36"/>
      <c r="C15" s="36"/>
      <c r="D15" s="655">
        <v>296.32</v>
      </c>
      <c r="E15" s="689">
        <v>2</v>
      </c>
      <c r="F15" s="30" t="s">
        <v>1573</v>
      </c>
      <c r="H15" s="741" t="str">
        <f>IF(D15&gt;0,"None","Shuttle Altitude must be Positive")</f>
        <v>None</v>
      </c>
      <c r="I15" s="750"/>
      <c r="J15" s="750"/>
      <c r="K15" s="751"/>
    </row>
    <row r="16" spans="8:11" s="30" customFormat="1" ht="15" thickBot="1">
      <c r="H16" s="351"/>
      <c r="I16" s="351"/>
      <c r="J16" s="351"/>
      <c r="K16" s="351"/>
    </row>
    <row r="17" spans="1:11" s="30" customFormat="1" ht="15.75" thickBot="1">
      <c r="A17" s="27" t="s">
        <v>1237</v>
      </c>
      <c r="B17" s="28"/>
      <c r="C17" s="295" t="s">
        <v>1232</v>
      </c>
      <c r="D17" s="655">
        <v>38.3</v>
      </c>
      <c r="E17" s="29" t="s">
        <v>1233</v>
      </c>
      <c r="F17" s="30" t="s">
        <v>845</v>
      </c>
      <c r="H17" s="741" t="str">
        <f>IF(ABS(D17-D12)&lt;=10,"None","Photo Center Must Be Within 10 Degs of Shuttle Nadir")</f>
        <v>None</v>
      </c>
      <c r="I17" s="742"/>
      <c r="J17" s="742"/>
      <c r="K17" s="743"/>
    </row>
    <row r="18" spans="1:11" s="30" customFormat="1" ht="15.75" thickBot="1">
      <c r="A18" s="663" t="s">
        <v>1134</v>
      </c>
      <c r="B18" s="664"/>
      <c r="C18" s="74" t="s">
        <v>1234</v>
      </c>
      <c r="D18" s="655">
        <v>-122.5</v>
      </c>
      <c r="E18" s="33" t="s">
        <v>1233</v>
      </c>
      <c r="F18" s="30" t="s">
        <v>846</v>
      </c>
      <c r="H18" s="741" t="str">
        <f>IF(AND(SPH_REC!I82=FALSE,SPH_REC!I96=FALSE)=TRUE,"Photo Center Must Be Within 10 Degs of Shuttle Nadir","None")</f>
        <v>None</v>
      </c>
      <c r="I18" s="750"/>
      <c r="J18" s="750"/>
      <c r="K18" s="751"/>
    </row>
    <row r="19" spans="1:11" s="30" customFormat="1" ht="15.75" thickBot="1">
      <c r="A19" s="665" t="s">
        <v>210</v>
      </c>
      <c r="B19" s="650"/>
      <c r="C19" s="36"/>
      <c r="D19" s="36"/>
      <c r="E19" s="37"/>
      <c r="H19" s="358"/>
      <c r="I19" s="358"/>
      <c r="J19" s="358"/>
      <c r="K19" s="358"/>
    </row>
    <row r="20" spans="1:11" s="30" customFormat="1" ht="15.75" thickBot="1">
      <c r="A20" s="320"/>
      <c r="B20" s="34"/>
      <c r="C20" s="32"/>
      <c r="D20" s="32"/>
      <c r="E20" s="32"/>
      <c r="H20" s="358"/>
      <c r="I20" s="358"/>
      <c r="J20" s="358"/>
      <c r="K20" s="358"/>
    </row>
    <row r="21" spans="1:11" s="30" customFormat="1" ht="15.75" customHeight="1">
      <c r="A21" s="265" t="s">
        <v>1474</v>
      </c>
      <c r="B21" s="263"/>
      <c r="C21" s="263"/>
      <c r="D21" s="739" t="s">
        <v>671</v>
      </c>
      <c r="E21" s="740"/>
      <c r="H21" s="358"/>
      <c r="I21" s="358"/>
      <c r="J21" s="358"/>
      <c r="K21" s="358"/>
    </row>
    <row r="22" spans="1:11" s="30" customFormat="1" ht="15.75" thickBot="1">
      <c r="A22" s="31"/>
      <c r="B22" s="659"/>
      <c r="C22" s="660"/>
      <c r="D22" s="661"/>
      <c r="E22" s="662" t="s">
        <v>1214</v>
      </c>
      <c r="H22" s="358"/>
      <c r="I22" s="358"/>
      <c r="J22" s="358"/>
      <c r="K22" s="358"/>
    </row>
    <row r="23" spans="1:11" s="30" customFormat="1" ht="15.75" thickBot="1">
      <c r="A23" s="31"/>
      <c r="B23" s="32"/>
      <c r="C23" s="74" t="s">
        <v>1232</v>
      </c>
      <c r="D23" s="655">
        <v>38</v>
      </c>
      <c r="E23" s="33" t="s">
        <v>1233</v>
      </c>
      <c r="F23" s="30" t="s">
        <v>845</v>
      </c>
      <c r="H23" s="741" t="str">
        <f>IF(D23="","None",IF(ABS(D23-D17)&lt;=5,"None","Auxiliary Point Must Be Within 5 Degs of Photo Center"))</f>
        <v>None</v>
      </c>
      <c r="I23" s="742"/>
      <c r="J23" s="742"/>
      <c r="K23" s="743"/>
    </row>
    <row r="24" spans="1:11" s="30" customFormat="1" ht="15.75" thickBot="1">
      <c r="A24" s="31"/>
      <c r="B24" s="32"/>
      <c r="C24" s="74" t="s">
        <v>1234</v>
      </c>
      <c r="D24" s="655">
        <v>-122.15</v>
      </c>
      <c r="E24" s="33" t="s">
        <v>1233</v>
      </c>
      <c r="F24" s="30" t="s">
        <v>846</v>
      </c>
      <c r="H24" s="741" t="str">
        <f>IF(D24="","None",IF(AND(SPH_REC!I118=FALSE,SPH_REC!I132=FALSE)=TRUE,"Auxiliary Point Must Be Within 5 Degs of Photo Center","None"))</f>
        <v>None</v>
      </c>
      <c r="I24" s="742"/>
      <c r="J24" s="742"/>
      <c r="K24" s="743"/>
    </row>
    <row r="25" spans="1:11" s="30" customFormat="1" ht="15" thickBot="1">
      <c r="A25" s="31"/>
      <c r="B25" s="32"/>
      <c r="C25" s="32"/>
      <c r="D25" s="370" t="s">
        <v>107</v>
      </c>
      <c r="E25" s="33"/>
      <c r="H25" s="358"/>
      <c r="I25" s="358"/>
      <c r="J25" s="358"/>
      <c r="K25" s="358"/>
    </row>
    <row r="26" spans="1:11" s="30" customFormat="1" ht="15.75" thickBot="1">
      <c r="A26" s="31"/>
      <c r="B26" s="74" t="s">
        <v>1020</v>
      </c>
      <c r="C26" s="32"/>
      <c r="D26" s="655">
        <v>-81.51</v>
      </c>
      <c r="E26" s="33" t="s">
        <v>1233</v>
      </c>
      <c r="F26" s="30" t="s">
        <v>847</v>
      </c>
      <c r="H26" s="741" t="str">
        <f>IF(D26="","None",IF(ABS(D26)&lt;=180,"None","Rotation Angle Must Range From -180 to +180 Degrees"))</f>
        <v>None</v>
      </c>
      <c r="I26" s="742"/>
      <c r="J26" s="742"/>
      <c r="K26" s="743"/>
    </row>
    <row r="27" spans="1:11" s="30" customFormat="1" ht="15.75" thickBot="1">
      <c r="A27" s="649" t="s">
        <v>892</v>
      </c>
      <c r="B27" s="650"/>
      <c r="C27" s="651"/>
      <c r="D27" s="651"/>
      <c r="E27" s="652"/>
      <c r="F27" s="30" t="s">
        <v>848</v>
      </c>
      <c r="H27" s="741" t="str">
        <f>IF(AND(D23&lt;&gt;"",D24&lt;&gt;"",D26&lt;&gt;"")=TRUE,"None",IF(AND(D23="",D24="",D26="")=TRUE,"None","Incomplete Auxiliary Point Information"))</f>
        <v>None</v>
      </c>
      <c r="I27" s="742"/>
      <c r="J27" s="742"/>
      <c r="K27" s="743"/>
    </row>
    <row r="28" spans="8:11" s="30" customFormat="1" ht="16.5" customHeight="1" thickBot="1">
      <c r="H28" s="358"/>
      <c r="I28" s="358"/>
      <c r="J28" s="358"/>
      <c r="K28" s="358"/>
    </row>
    <row r="29" spans="1:11" s="30" customFormat="1" ht="15" thickBot="1">
      <c r="A29" s="27" t="s">
        <v>1238</v>
      </c>
      <c r="B29" s="28"/>
      <c r="C29" s="28"/>
      <c r="D29" s="311">
        <f>IF(INDEX(Camera_Lens,C30)="Custom","Enter Custom Focal Length","")</f>
      </c>
      <c r="E29" s="29"/>
      <c r="H29" s="358"/>
      <c r="I29" s="358"/>
      <c r="J29" s="358"/>
      <c r="K29" s="358"/>
    </row>
    <row r="30" spans="1:11" s="30" customFormat="1" ht="15" thickBot="1">
      <c r="A30" s="31"/>
      <c r="B30" s="322" t="s">
        <v>1028</v>
      </c>
      <c r="C30" s="692">
        <v>7</v>
      </c>
      <c r="D30" s="656"/>
      <c r="E30" s="33" t="s">
        <v>1345</v>
      </c>
      <c r="F30" s="313">
        <f>IF(INDEX(Camera_Lens,C30)="Custom"," (must be a Positive Value)","")</f>
      </c>
      <c r="H30" s="741" t="str">
        <f>IF(INDEX(Camera_Lens,C30)="Custom",IF(D30&lt;=0,"Enter Custom Focal Length Greater Then Zero","None"),IF(D30="","None","Delete Value in Green Box"))</f>
        <v>None</v>
      </c>
      <c r="I30" s="742"/>
      <c r="J30" s="742"/>
      <c r="K30" s="743"/>
    </row>
    <row r="31" spans="1:11" s="30" customFormat="1" ht="18" customHeight="1" thickBot="1">
      <c r="A31" s="31"/>
      <c r="B31" s="312" t="s">
        <v>1029</v>
      </c>
      <c r="C31" s="691">
        <v>2</v>
      </c>
      <c r="D31" s="666">
        <f>IF(INDEX(Image_Format,C31,1)="Custom","Top Width",INDEX(Image_Format,C31,2))</f>
        <v>105</v>
      </c>
      <c r="E31" s="667">
        <f>IF(INDEX(Image_Format,C31,1)="Custom","Side Height",INDEX(Image_Format,C31,3))</f>
        <v>120</v>
      </c>
      <c r="F31" s="30" t="str">
        <f>IF(INDEX(Image_Format,C31,1)="Custom",""," TOP Width x Side Height in mm")</f>
        <v> TOP Width x Side Height in mm</v>
      </c>
      <c r="H31" s="358"/>
      <c r="I31" s="358"/>
      <c r="J31" s="358"/>
      <c r="K31" s="358"/>
    </row>
    <row r="32" spans="1:11" s="30" customFormat="1" ht="18" customHeight="1" thickBot="1">
      <c r="A32" s="31"/>
      <c r="B32" s="32"/>
      <c r="C32" s="347" t="str">
        <f>IF(INDEX(Image_Format,C31,1)="Custom","Enter Custom Formt Size in mm --&gt;","Do not Enter Values in these Cells-&gt;")</f>
        <v>Do not Enter Values in these Cells-&gt;</v>
      </c>
      <c r="D32" s="656"/>
      <c r="E32" s="657"/>
      <c r="F32" s="30">
        <f>IF(INDEX(Image_Format,C31,1)="Custom"," (must be a Positive Value)","")</f>
      </c>
      <c r="H32" s="741" t="str">
        <f>IF(INDEX(Image_Format,C31,1)="Custom",IF(AND(D32&gt;0,E32&gt;0)=FALSE,"Must be Greater Then Zero","None"),IF(AND(D32="",E32="")=FALSE,"Delete Values in White Boxs","None"))</f>
        <v>None</v>
      </c>
      <c r="I32" s="742"/>
      <c r="J32" s="742"/>
      <c r="K32" s="743"/>
    </row>
    <row r="33" spans="1:12" s="30" customFormat="1" ht="18" customHeight="1">
      <c r="A33" s="693">
        <f>IF(SPH_REC!H350=TRUE,"Due to uncertain camera orientation, these calculations will","")</f>
      </c>
      <c r="B33" s="694"/>
      <c r="C33" s="694"/>
      <c r="D33" s="694"/>
      <c r="E33" s="695"/>
      <c r="H33" s="368"/>
      <c r="I33" s="369"/>
      <c r="J33" s="369"/>
      <c r="K33" s="369"/>
      <c r="L33"/>
    </row>
    <row r="34" spans="1:11" s="30" customFormat="1" ht="18" customHeight="1">
      <c r="A34" s="693">
        <f>IF(SPH_REC!H350=TRUE,CONCATENATE("be completed using a square format size of ",SPH_REC!G356," mm."),"")</f>
      </c>
      <c r="B34" s="694"/>
      <c r="C34" s="694"/>
      <c r="D34" s="694"/>
      <c r="E34" s="695"/>
      <c r="H34" s="358"/>
      <c r="I34" s="358"/>
      <c r="J34" s="358"/>
      <c r="K34" s="358"/>
    </row>
    <row r="35" spans="1:11" s="30" customFormat="1" ht="18" customHeight="1" thickBot="1">
      <c r="A35" s="688">
        <f>IF(SPH_REC!H350=TRUE,"Enter auxiliary point data to eliminate this approximation.","")</f>
      </c>
      <c r="B35" s="728"/>
      <c r="C35" s="728"/>
      <c r="D35" s="728"/>
      <c r="E35" s="729"/>
      <c r="H35" s="358"/>
      <c r="I35" s="358"/>
      <c r="J35" s="358"/>
      <c r="K35" s="358"/>
    </row>
    <row r="36" spans="1:11" s="30" customFormat="1" ht="18" customHeight="1" thickBot="1">
      <c r="A36" s="356"/>
      <c r="B36" s="34"/>
      <c r="C36" s="347"/>
      <c r="D36" s="348"/>
      <c r="E36" s="357"/>
      <c r="H36" s="358"/>
      <c r="I36" s="358"/>
      <c r="J36" s="358"/>
      <c r="K36" s="358"/>
    </row>
    <row r="37" spans="1:11" s="30" customFormat="1" ht="18" customHeight="1">
      <c r="A37" s="435" t="s">
        <v>902</v>
      </c>
      <c r="B37" s="436"/>
      <c r="C37" s="434"/>
      <c r="D37" s="437"/>
      <c r="E37" s="442"/>
      <c r="H37" s="358"/>
      <c r="I37" s="358"/>
      <c r="J37" s="358"/>
      <c r="K37" s="358"/>
    </row>
    <row r="38" spans="1:11" s="30" customFormat="1" ht="18" customHeight="1" thickBot="1">
      <c r="A38" s="668"/>
      <c r="B38" s="669"/>
      <c r="C38" s="670"/>
      <c r="D38" s="671"/>
      <c r="E38" s="672" t="s">
        <v>796</v>
      </c>
      <c r="F38" s="438"/>
      <c r="H38" s="358"/>
      <c r="I38" s="358"/>
      <c r="J38" s="358"/>
      <c r="K38" s="358"/>
    </row>
    <row r="39" spans="1:11" s="30" customFormat="1" ht="18" customHeight="1" thickBot="1">
      <c r="A39" s="430"/>
      <c r="B39" s="34"/>
      <c r="C39" s="440"/>
      <c r="D39" s="441" t="s">
        <v>797</v>
      </c>
      <c r="E39" s="658">
        <v>6000</v>
      </c>
      <c r="H39" s="741" t="str">
        <f>IF(E39="","None",IF(E39&lt;=0,"Number of Pixels must be a Positive Value","None"))</f>
        <v>None</v>
      </c>
      <c r="I39" s="742"/>
      <c r="J39" s="742"/>
      <c r="K39" s="743"/>
    </row>
    <row r="40" spans="1:11" s="30" customFormat="1" ht="18" customHeight="1" thickBot="1">
      <c r="A40" s="430"/>
      <c r="B40" s="34"/>
      <c r="C40" s="439"/>
      <c r="D40" s="441" t="s">
        <v>798</v>
      </c>
      <c r="E40" s="658">
        <v>6000</v>
      </c>
      <c r="H40" s="741" t="str">
        <f>IF(E40="","None",IF(E40&lt;=0,"Number of Pixels must be a Positive Value","None"))</f>
        <v>None</v>
      </c>
      <c r="I40" s="742"/>
      <c r="J40" s="742"/>
      <c r="K40" s="743"/>
    </row>
    <row r="41" spans="1:11" s="30" customFormat="1" ht="18" customHeight="1" thickBot="1">
      <c r="A41" s="431"/>
      <c r="B41" s="432"/>
      <c r="C41" s="433"/>
      <c r="D41" s="761" t="s">
        <v>671</v>
      </c>
      <c r="E41" s="762"/>
      <c r="H41" s="358"/>
      <c r="I41" s="358"/>
      <c r="J41" s="358"/>
      <c r="K41" s="358"/>
    </row>
    <row r="42" spans="1:5" s="30" customFormat="1" ht="18" customHeight="1" thickBot="1">
      <c r="A42" s="356"/>
      <c r="B42" s="34"/>
      <c r="C42" s="347"/>
      <c r="D42" s="348"/>
      <c r="E42" s="357"/>
    </row>
    <row r="43" spans="1:11" s="30" customFormat="1" ht="18" customHeight="1" thickBot="1">
      <c r="A43" s="359"/>
      <c r="B43" s="754" t="s">
        <v>1437</v>
      </c>
      <c r="C43" s="754"/>
      <c r="D43" s="754"/>
      <c r="E43" s="754"/>
      <c r="F43" s="754"/>
      <c r="G43" s="754"/>
      <c r="H43" s="754"/>
      <c r="I43" s="754"/>
      <c r="J43" s="754"/>
      <c r="K43" s="360"/>
    </row>
    <row r="44" spans="1:11" s="30" customFormat="1" ht="18" customHeight="1" thickBot="1">
      <c r="A44" s="361"/>
      <c r="B44" s="730" t="str">
        <f>IF(AND(H12="None",H13="None",H15="None",H17="None",H18="None",H23="None",H24="None",H26="None",H27="None",H30="None",H32="None",H39="None",H40="None")=TRUE,"None","INPUT DATA ERROR - See Input Error Messages")</f>
        <v>None</v>
      </c>
      <c r="C44" s="731"/>
      <c r="D44" s="731"/>
      <c r="E44" s="732"/>
      <c r="F44" s="528"/>
      <c r="G44" s="730" t="str">
        <f>IF(Intersection_Calc!E658=0,"None","Error in Worksheet 'Intersection_Calc' ")</f>
        <v>None</v>
      </c>
      <c r="H44" s="731"/>
      <c r="I44" s="731"/>
      <c r="J44" s="732"/>
      <c r="K44" s="362"/>
    </row>
    <row r="45" spans="1:11" s="30" customFormat="1" ht="18" customHeight="1" thickBot="1">
      <c r="A45" s="361"/>
      <c r="B45" s="730" t="str">
        <f>IF(SPH_REC!D373=0,"None","Error in Worksheet 'SPH_REC' ")</f>
        <v>None</v>
      </c>
      <c r="C45" s="731"/>
      <c r="D45" s="731"/>
      <c r="E45" s="732"/>
      <c r="F45" s="528"/>
      <c r="G45" s="730" t="str">
        <f>IF(ReTrans_Origin!E297=0,"None","Error in Worksheet 'ReTrans_Origin' ")</f>
        <v>None</v>
      </c>
      <c r="H45" s="731"/>
      <c r="I45" s="731"/>
      <c r="J45" s="732"/>
      <c r="K45" s="362"/>
    </row>
    <row r="46" spans="1:11" s="30" customFormat="1" ht="18" customHeight="1" thickBot="1">
      <c r="A46" s="361"/>
      <c r="B46" s="730" t="str">
        <f>IF(Trans_Origin!E419=0,"None","Error in Worksheet 'Trans_Origin' ")</f>
        <v>None</v>
      </c>
      <c r="C46" s="731"/>
      <c r="D46" s="731"/>
      <c r="E46" s="732"/>
      <c r="F46" s="528"/>
      <c r="G46" s="730" t="str">
        <f>IF(REC_SPH!E344=0,"None","Error in Worksheet 'REC_SPH' ")</f>
        <v>None</v>
      </c>
      <c r="H46" s="731"/>
      <c r="I46" s="731"/>
      <c r="J46" s="732"/>
      <c r="K46" s="363"/>
    </row>
    <row r="47" spans="1:11" s="30" customFormat="1" ht="18" customHeight="1" thickBot="1">
      <c r="A47" s="361"/>
      <c r="B47" s="730" t="str">
        <f>IF(Rec_Photo!E258=0,"None","Error in Worksheet 'Rec_Photo' ")</f>
        <v>None</v>
      </c>
      <c r="C47" s="731"/>
      <c r="D47" s="731"/>
      <c r="E47" s="732"/>
      <c r="F47" s="528"/>
      <c r="G47" s="730" t="str">
        <f>IF(Surf_Dist!E277=0,"None","Error in Worksheet 'Surf_Dist' ")</f>
        <v>None</v>
      </c>
      <c r="H47" s="731"/>
      <c r="I47" s="731"/>
      <c r="J47" s="732"/>
      <c r="K47" s="362"/>
    </row>
    <row r="48" spans="1:11" s="30" customFormat="1" ht="18" customHeight="1" thickBot="1">
      <c r="A48" s="361"/>
      <c r="B48" s="730" t="str">
        <f>IF(AUX_PT!D559=0,"None","Error in Worksheet 'AUX_PT' ")</f>
        <v>None</v>
      </c>
      <c r="C48" s="731"/>
      <c r="D48" s="731"/>
      <c r="E48" s="732"/>
      <c r="F48" s="528"/>
      <c r="G48" s="730" t="str">
        <f>IF(Pixel_Scale!E660=0,"None","Error in Worksheet 'Pixel_Scale' ")</f>
        <v>None</v>
      </c>
      <c r="H48" s="731"/>
      <c r="I48" s="731"/>
      <c r="J48" s="732"/>
      <c r="K48" s="362"/>
    </row>
    <row r="49" spans="1:11" s="30" customFormat="1" ht="19.5" customHeight="1" thickBot="1">
      <c r="A49" s="361"/>
      <c r="B49" s="730" t="str">
        <f>IF(Photo_Setup!E252=0,"None","Error in Worksheet 'Photo_Setup' ")</f>
        <v>None</v>
      </c>
      <c r="C49" s="731"/>
      <c r="D49" s="731"/>
      <c r="E49" s="732"/>
      <c r="F49" s="528"/>
      <c r="G49" s="730" t="str">
        <f>IF(Pixel_Scale!I669=0,"None","1x1 Digitization Error in Worksheet 'Pixel_Scale' ")</f>
        <v>None</v>
      </c>
      <c r="H49" s="731"/>
      <c r="I49" s="731"/>
      <c r="J49" s="732"/>
      <c r="K49" s="362"/>
    </row>
    <row r="50" spans="1:11" s="30" customFormat="1" ht="21.75" customHeight="1" thickBot="1">
      <c r="A50" s="364"/>
      <c r="B50" s="365"/>
      <c r="C50" s="352"/>
      <c r="D50" s="353"/>
      <c r="E50" s="354"/>
      <c r="F50" s="366"/>
      <c r="G50" s="352"/>
      <c r="H50" s="352"/>
      <c r="I50" s="352"/>
      <c r="J50" s="352"/>
      <c r="K50" s="367"/>
    </row>
    <row r="51" spans="1:5" s="30" customFormat="1" ht="18" customHeight="1">
      <c r="A51" s="356"/>
      <c r="B51" s="34"/>
      <c r="D51" s="348"/>
      <c r="E51" s="357"/>
    </row>
    <row r="52" spans="1:6" s="30" customFormat="1" ht="18" customHeight="1">
      <c r="A52" s="356"/>
      <c r="B52" s="34"/>
      <c r="D52" s="348"/>
      <c r="E52" s="357"/>
      <c r="F52" s="653" t="s">
        <v>1024</v>
      </c>
    </row>
    <row r="53" spans="1:5" s="30" customFormat="1" ht="18" customHeight="1">
      <c r="A53" s="356"/>
      <c r="B53" s="34"/>
      <c r="D53" s="348"/>
      <c r="E53" s="357"/>
    </row>
    <row r="54" spans="1:11" ht="24" customHeight="1" thickBot="1">
      <c r="A54" s="345"/>
      <c r="B54" s="346"/>
      <c r="C54" s="346"/>
      <c r="D54" s="346"/>
      <c r="E54" s="462" t="s">
        <v>891</v>
      </c>
      <c r="F54" s="461"/>
      <c r="G54" s="461"/>
      <c r="H54" s="463"/>
      <c r="I54" s="222"/>
      <c r="J54" s="222"/>
      <c r="K54" s="222"/>
    </row>
    <row r="55" spans="1:11" s="445" customFormat="1" ht="19.5" customHeight="1" thickBot="1">
      <c r="A55" s="684" t="s">
        <v>949</v>
      </c>
      <c r="B55" s="443"/>
      <c r="C55" s="443"/>
      <c r="D55" s="443"/>
      <c r="E55" s="443"/>
      <c r="F55" s="448"/>
      <c r="G55" s="448"/>
      <c r="H55" s="443"/>
      <c r="I55" s="444"/>
      <c r="J55" s="444"/>
      <c r="K55" s="685" t="str">
        <f>A3</f>
        <v>Revision:  3.01    Released: 11/01/02</v>
      </c>
    </row>
    <row r="56" spans="1:11" s="445" customFormat="1" ht="15" customHeight="1" thickBot="1">
      <c r="A56" s="747" t="s">
        <v>1025</v>
      </c>
      <c r="B56" s="748"/>
      <c r="C56" s="748"/>
      <c r="D56" s="748"/>
      <c r="E56" s="748"/>
      <c r="F56" s="748"/>
      <c r="G56" s="748"/>
      <c r="H56" s="748"/>
      <c r="I56" s="748"/>
      <c r="J56" s="748"/>
      <c r="K56" s="749"/>
    </row>
    <row r="57" spans="1:11" s="445" customFormat="1" ht="15" customHeight="1" thickBot="1">
      <c r="A57" s="529" t="s">
        <v>1731</v>
      </c>
      <c r="B57" s="530"/>
      <c r="C57" s="531" t="s">
        <v>1232</v>
      </c>
      <c r="D57" s="532">
        <f>D12</f>
        <v>39.1</v>
      </c>
      <c r="E57" s="533" t="s">
        <v>1523</v>
      </c>
      <c r="F57" s="534"/>
      <c r="G57" s="535" t="s">
        <v>1732</v>
      </c>
      <c r="H57" s="536"/>
      <c r="I57" s="531" t="s">
        <v>1232</v>
      </c>
      <c r="J57" s="532">
        <f>IF(AND(D23&lt;&gt;"",D24&lt;&gt;"",D26&lt;&gt;"")=TRUE,D23,"")</f>
        <v>38</v>
      </c>
      <c r="K57" s="679" t="s">
        <v>1523</v>
      </c>
    </row>
    <row r="58" spans="1:11" s="445" customFormat="1" ht="12" customHeight="1" thickBot="1">
      <c r="A58" s="537"/>
      <c r="B58" s="538"/>
      <c r="C58" s="539" t="s">
        <v>1234</v>
      </c>
      <c r="D58" s="532">
        <f>D13</f>
        <v>-122.2</v>
      </c>
      <c r="E58" s="540" t="s">
        <v>1523</v>
      </c>
      <c r="F58" s="541"/>
      <c r="G58" s="538"/>
      <c r="H58" s="542">
        <f>IF(AND(D23&lt;&gt;"",D24&lt;&gt;"",D26&lt;&gt;"")=TRUE,"",IF(H27="None","","Incomplete Data Not Used"))</f>
      </c>
      <c r="I58" s="539" t="s">
        <v>1234</v>
      </c>
      <c r="J58" s="532">
        <f>IF(AND(D23&lt;&gt;"",D24&lt;&gt;"",D26&lt;&gt;"")=TRUE,D24,"")</f>
        <v>-122.15</v>
      </c>
      <c r="K58" s="680" t="s">
        <v>1523</v>
      </c>
    </row>
    <row r="59" spans="1:11" s="445" customFormat="1" ht="12" customHeight="1" thickBot="1">
      <c r="A59" s="537"/>
      <c r="B59" s="538"/>
      <c r="C59" s="538"/>
      <c r="D59" s="544"/>
      <c r="E59" s="541"/>
      <c r="F59" s="541"/>
      <c r="G59" s="541"/>
      <c r="H59" s="545"/>
      <c r="I59" s="539" t="s">
        <v>342</v>
      </c>
      <c r="J59" s="532">
        <f>IF(AND(D23&lt;&gt;"",D24&lt;&gt;"",D26&lt;&gt;"")=TRUE,D26,"")</f>
        <v>-81.51</v>
      </c>
      <c r="K59" s="680" t="s">
        <v>1523</v>
      </c>
    </row>
    <row r="60" spans="1:11" s="634" customFormat="1" ht="15" customHeight="1" thickBot="1">
      <c r="A60" s="546" t="s">
        <v>1235</v>
      </c>
      <c r="B60" s="547"/>
      <c r="C60" s="547"/>
      <c r="D60" s="532">
        <f>D15</f>
        <v>296.32</v>
      </c>
      <c r="E60" s="540" t="str">
        <f>IF(E15=1,"Nautical Miles","in Km")</f>
        <v>in Km</v>
      </c>
      <c r="F60" s="547"/>
      <c r="G60" s="548"/>
      <c r="H60" s="549"/>
      <c r="I60" s="548"/>
      <c r="J60" s="548"/>
      <c r="K60" s="550"/>
    </row>
    <row r="61" spans="1:11" s="634" customFormat="1" ht="18" customHeight="1" thickBot="1">
      <c r="A61" s="546"/>
      <c r="B61" s="547"/>
      <c r="C61" s="547"/>
      <c r="D61" s="633">
        <f>IF(E15=1,SPH_REC!G308,"")</f>
      </c>
      <c r="E61" s="556">
        <f>IF(E15=1," Km","")</f>
      </c>
      <c r="F61" s="547"/>
      <c r="G61" s="547" t="s">
        <v>863</v>
      </c>
      <c r="H61" s="549"/>
      <c r="I61" s="549"/>
      <c r="J61" s="551"/>
      <c r="K61" s="552"/>
    </row>
    <row r="62" spans="1:11" s="634" customFormat="1" ht="12" customHeight="1" thickBot="1">
      <c r="A62" s="635"/>
      <c r="B62" s="548"/>
      <c r="C62" s="548"/>
      <c r="D62" s="548"/>
      <c r="E62" s="548"/>
      <c r="F62" s="547"/>
      <c r="G62" s="548"/>
      <c r="H62" s="554" t="s">
        <v>769</v>
      </c>
      <c r="I62" s="548"/>
      <c r="J62" s="690">
        <f>IF(AND(E39&lt;&gt;"",E40&lt;&gt;"")=TRUE,E39,"")</f>
        <v>6000</v>
      </c>
      <c r="K62" s="555" t="s">
        <v>967</v>
      </c>
    </row>
    <row r="63" spans="1:11" s="634" customFormat="1" ht="14.25" customHeight="1" thickBot="1">
      <c r="A63" s="546" t="s">
        <v>1160</v>
      </c>
      <c r="B63" s="547"/>
      <c r="C63" s="539" t="s">
        <v>1232</v>
      </c>
      <c r="D63" s="553">
        <f>D17</f>
        <v>38.3</v>
      </c>
      <c r="E63" s="540" t="s">
        <v>1523</v>
      </c>
      <c r="F63" s="547"/>
      <c r="G63" s="547"/>
      <c r="H63" s="556" t="s">
        <v>770</v>
      </c>
      <c r="I63" s="549"/>
      <c r="J63" s="690">
        <f>IF(AND(E39&lt;&gt;"",E40&lt;&gt;"")=TRUE,E40,"")</f>
        <v>6000</v>
      </c>
      <c r="K63" s="543" t="s">
        <v>967</v>
      </c>
    </row>
    <row r="64" spans="1:11" s="634" customFormat="1" ht="12" customHeight="1" thickBot="1">
      <c r="A64" s="546"/>
      <c r="B64" s="548"/>
      <c r="C64" s="539" t="s">
        <v>1234</v>
      </c>
      <c r="D64" s="532">
        <f>D18</f>
        <v>-122.5</v>
      </c>
      <c r="E64" s="540" t="s">
        <v>1523</v>
      </c>
      <c r="F64" s="547"/>
      <c r="G64" s="548"/>
      <c r="H64" s="548"/>
      <c r="I64" s="548"/>
      <c r="J64" s="548"/>
      <c r="K64" s="550"/>
    </row>
    <row r="65" spans="1:11" s="634" customFormat="1" ht="17.25" customHeight="1" thickBot="1">
      <c r="A65" s="546"/>
      <c r="B65" s="548"/>
      <c r="C65" s="539"/>
      <c r="D65" s="557"/>
      <c r="E65" s="540"/>
      <c r="F65" s="547"/>
      <c r="G65" s="547" t="s">
        <v>1466</v>
      </c>
      <c r="H65" s="548"/>
      <c r="I65" s="539" t="s">
        <v>1533</v>
      </c>
      <c r="J65" s="558">
        <f>SPH_REC!G356</f>
        <v>105</v>
      </c>
      <c r="K65" s="543" t="s">
        <v>1345</v>
      </c>
    </row>
    <row r="66" spans="1:11" s="634" customFormat="1" ht="17.25" customHeight="1" thickBot="1">
      <c r="A66" s="546" t="s">
        <v>1636</v>
      </c>
      <c r="B66" s="549"/>
      <c r="C66" s="549"/>
      <c r="D66" s="558">
        <f>SPH_REC!F330</f>
        <v>250</v>
      </c>
      <c r="E66" s="540" t="s">
        <v>1345</v>
      </c>
      <c r="F66" s="547"/>
      <c r="G66" s="704" t="str">
        <f>CONCATENATE(VLOOKUP(C31,Drop_Lists!B13:C19,2)," Film Format")</f>
        <v>Linhof Film Format</v>
      </c>
      <c r="H66" s="705"/>
      <c r="I66" s="539" t="s">
        <v>1534</v>
      </c>
      <c r="J66" s="558">
        <f>SPH_REC!H356</f>
        <v>120</v>
      </c>
      <c r="K66" s="543" t="s">
        <v>1345</v>
      </c>
    </row>
    <row r="67" spans="1:12" s="634" customFormat="1" ht="12" customHeight="1" thickBot="1">
      <c r="A67" s="546"/>
      <c r="B67" s="548"/>
      <c r="C67" s="539"/>
      <c r="D67" s="557"/>
      <c r="E67" s="540"/>
      <c r="F67" s="547"/>
      <c r="G67" s="548"/>
      <c r="H67" s="548"/>
      <c r="I67" s="752">
        <f>IF(SPH_REC!H350=TRUE,"Due to uncertain camera orientation,","")</f>
      </c>
      <c r="J67" s="752"/>
      <c r="K67" s="753"/>
      <c r="L67" s="636"/>
    </row>
    <row r="68" spans="1:12" s="634" customFormat="1" ht="14.25" customHeight="1" thickBot="1">
      <c r="A68" s="546" t="s">
        <v>1536</v>
      </c>
      <c r="B68" s="538"/>
      <c r="C68" s="548"/>
      <c r="D68" s="730" t="str">
        <f>IF(B44="None","None","INPUT DATA ERROR - See Input Error Messages")</f>
        <v>None</v>
      </c>
      <c r="E68" s="731"/>
      <c r="F68" s="731"/>
      <c r="G68" s="732"/>
      <c r="H68" s="548"/>
      <c r="I68" s="752">
        <f>IF(SPH_REC!H350=TRUE,"these calculations will be completed","")</f>
      </c>
      <c r="J68" s="752"/>
      <c r="K68" s="753"/>
      <c r="L68" s="637"/>
    </row>
    <row r="69" spans="1:11" s="634" customFormat="1" ht="14.25" customHeight="1" thickBot="1">
      <c r="A69" s="546" t="s">
        <v>1535</v>
      </c>
      <c r="B69" s="538"/>
      <c r="C69" s="548"/>
      <c r="D69" s="730" t="str">
        <f>IF(AND(B45="None",B46="None",B47="None",B48="None",B49="None",G44="None",G45="None",G46="None",G47="None",G48="None",G49="None")=TRUE,"None","OUTPUT DATA ERROR - See Output Error Messages")</f>
        <v>None</v>
      </c>
      <c r="E69" s="731"/>
      <c r="F69" s="731"/>
      <c r="G69" s="732"/>
      <c r="H69" s="548"/>
      <c r="I69" s="752">
        <f>IF(SPH_REC!H350=TRUE,CONCATENATE("using a square format of ",J65," mm."),"")</f>
      </c>
      <c r="J69" s="752"/>
      <c r="K69" s="753"/>
    </row>
    <row r="70" spans="1:11" s="634" customFormat="1" ht="12" customHeight="1" thickBot="1">
      <c r="A70" s="559"/>
      <c r="B70" s="560"/>
      <c r="C70" s="561"/>
      <c r="D70" s="562"/>
      <c r="E70" s="562"/>
      <c r="F70" s="562"/>
      <c r="G70" s="562"/>
      <c r="H70" s="560"/>
      <c r="I70" s="560"/>
      <c r="J70" s="560"/>
      <c r="K70" s="563"/>
    </row>
    <row r="71" spans="1:11" s="634" customFormat="1" ht="20.25" customHeight="1" thickBot="1">
      <c r="A71" s="747" t="s">
        <v>1412</v>
      </c>
      <c r="B71" s="748"/>
      <c r="C71" s="748"/>
      <c r="D71" s="748"/>
      <c r="E71" s="748"/>
      <c r="F71" s="748"/>
      <c r="G71" s="748"/>
      <c r="H71" s="748"/>
      <c r="I71" s="748"/>
      <c r="J71" s="748"/>
      <c r="K71" s="749"/>
    </row>
    <row r="72" spans="1:11" s="634" customFormat="1" ht="18.75" customHeight="1" thickBot="1">
      <c r="A72" s="564" t="s">
        <v>1411</v>
      </c>
      <c r="B72" s="565"/>
      <c r="C72" s="566"/>
      <c r="D72" s="567"/>
      <c r="E72" s="757" t="str">
        <f>IF(D11="","",D11)</f>
        <v>STS-30-93-44</v>
      </c>
      <c r="F72" s="758"/>
      <c r="G72" s="568" t="s">
        <v>1259</v>
      </c>
      <c r="H72" s="569"/>
      <c r="I72" s="570"/>
      <c r="J72" s="570"/>
      <c r="K72" s="571"/>
    </row>
    <row r="73" spans="1:11" s="445" customFormat="1" ht="12" customHeight="1">
      <c r="A73" s="572" t="s">
        <v>1438</v>
      </c>
      <c r="B73" s="568" t="s">
        <v>1232</v>
      </c>
      <c r="C73" s="571"/>
      <c r="D73" s="568" t="s">
        <v>1234</v>
      </c>
      <c r="E73" s="571"/>
      <c r="F73" s="573" t="s">
        <v>1439</v>
      </c>
      <c r="G73" s="574" t="s">
        <v>1335</v>
      </c>
      <c r="H73" s="575"/>
      <c r="I73" s="551"/>
      <c r="J73" s="551"/>
      <c r="K73" s="576"/>
    </row>
    <row r="74" spans="1:11" s="445" customFormat="1" ht="12" customHeight="1" thickBot="1">
      <c r="A74" s="577"/>
      <c r="B74" s="578" t="s">
        <v>1426</v>
      </c>
      <c r="C74" s="579"/>
      <c r="D74" s="578" t="s">
        <v>1426</v>
      </c>
      <c r="E74" s="579"/>
      <c r="F74" s="580" t="s">
        <v>1427</v>
      </c>
      <c r="G74" s="581"/>
      <c r="H74" s="582" t="s">
        <v>970</v>
      </c>
      <c r="I74" s="551"/>
      <c r="J74" s="551"/>
      <c r="K74" s="576"/>
    </row>
    <row r="75" spans="1:11" s="445" customFormat="1" ht="12" customHeight="1">
      <c r="A75" s="583" t="s">
        <v>1547</v>
      </c>
      <c r="B75" s="759">
        <f>REC_SPH!G262</f>
        <v>37.731258523198576</v>
      </c>
      <c r="C75" s="760"/>
      <c r="D75" s="759">
        <f>REC_SPH!G263</f>
        <v>-121.55861078438394</v>
      </c>
      <c r="E75" s="760"/>
      <c r="F75" s="643">
        <f>Intersection_Calc!F508</f>
        <v>28.51289357513858</v>
      </c>
      <c r="G75" s="581"/>
      <c r="H75" s="584">
        <f>IF(AUX_PT!E21=TRUE,"","                Away From Shuttle Nadir")</f>
      </c>
      <c r="I75" s="538"/>
      <c r="J75" s="538"/>
      <c r="K75" s="585"/>
    </row>
    <row r="76" spans="1:11" s="445" customFormat="1" ht="12" customHeight="1">
      <c r="A76" s="586"/>
      <c r="B76" s="638"/>
      <c r="C76" s="638"/>
      <c r="D76" s="639"/>
      <c r="E76" s="640"/>
      <c r="F76" s="644"/>
      <c r="G76" s="581"/>
      <c r="H76" s="588">
        <f>Surf_Dist!K241</f>
        <v>78237.94993588516</v>
      </c>
      <c r="I76" s="538"/>
      <c r="J76" s="589">
        <f>Surf_Dist!K233</f>
        <v>83384.4018792361</v>
      </c>
      <c r="K76" s="585"/>
    </row>
    <row r="77" spans="1:11" s="445" customFormat="1" ht="12" customHeight="1">
      <c r="A77" s="590" t="s">
        <v>1157</v>
      </c>
      <c r="B77" s="735">
        <f>REC_SPH!G214</f>
        <v>37.64293110712984</v>
      </c>
      <c r="C77" s="736"/>
      <c r="D77" s="735">
        <f>REC_SPH!G215</f>
        <v>-122.44078913125374</v>
      </c>
      <c r="E77" s="736"/>
      <c r="F77" s="645">
        <f>Intersection_Calc!F376</f>
        <v>28.69416800352291</v>
      </c>
      <c r="G77" s="581"/>
      <c r="H77" s="538"/>
      <c r="I77" s="592"/>
      <c r="J77" s="538"/>
      <c r="K77" s="593"/>
    </row>
    <row r="78" spans="1:11" s="445" customFormat="1" ht="12" customHeight="1">
      <c r="A78" s="586"/>
      <c r="B78" s="638"/>
      <c r="C78" s="638"/>
      <c r="D78" s="639"/>
      <c r="E78" s="640"/>
      <c r="F78" s="644"/>
      <c r="G78" s="581"/>
      <c r="H78" s="538"/>
      <c r="I78" s="538"/>
      <c r="J78" s="538"/>
      <c r="K78" s="585"/>
    </row>
    <row r="79" spans="1:11" s="445" customFormat="1" ht="12" customHeight="1">
      <c r="A79" s="590" t="s">
        <v>1158</v>
      </c>
      <c r="B79" s="735">
        <f>REC_SPH!G166</f>
        <v>37.53629552351031</v>
      </c>
      <c r="C79" s="736"/>
      <c r="D79" s="735">
        <f>REC_SPH!G167</f>
        <v>-123.37763401920253</v>
      </c>
      <c r="E79" s="736"/>
      <c r="F79" s="645">
        <f>Intersection_Calc!F232</f>
        <v>33.98310077590253</v>
      </c>
      <c r="G79" s="581"/>
      <c r="H79" s="538"/>
      <c r="I79" s="594"/>
      <c r="J79" s="538"/>
      <c r="K79" s="595"/>
    </row>
    <row r="80" spans="1:11" s="445" customFormat="1" ht="12" customHeight="1">
      <c r="A80" s="596"/>
      <c r="B80" s="638"/>
      <c r="C80" s="638"/>
      <c r="D80" s="639"/>
      <c r="E80" s="640"/>
      <c r="F80" s="644"/>
      <c r="G80" s="581"/>
      <c r="H80" s="538"/>
      <c r="I80" s="594"/>
      <c r="J80" s="538"/>
      <c r="K80" s="595"/>
    </row>
    <row r="81" spans="1:11" s="445" customFormat="1" ht="12" customHeight="1">
      <c r="A81" s="590" t="s">
        <v>1159</v>
      </c>
      <c r="B81" s="735">
        <f>REC_SPH!G278</f>
        <v>38.36585282052062</v>
      </c>
      <c r="C81" s="736"/>
      <c r="D81" s="735">
        <f>REC_SPH!G279</f>
        <v>-121.66537539783765</v>
      </c>
      <c r="E81" s="736"/>
      <c r="F81" s="645">
        <f>Intersection_Calc!F552</f>
        <v>17.539371851717682</v>
      </c>
      <c r="G81" s="581"/>
      <c r="H81" s="538"/>
      <c r="I81" s="538"/>
      <c r="J81" s="538"/>
      <c r="K81" s="585"/>
    </row>
    <row r="82" spans="1:11" s="445" customFormat="1" ht="12" customHeight="1">
      <c r="A82" s="586"/>
      <c r="B82" s="638"/>
      <c r="C82" s="638"/>
      <c r="D82" s="639"/>
      <c r="E82" s="640"/>
      <c r="F82" s="587"/>
      <c r="G82" s="597">
        <f>Surf_Dist!K217</f>
        <v>71172.80097196477</v>
      </c>
      <c r="H82" s="538"/>
      <c r="I82" s="598">
        <f>Surf_Dist!K193</f>
        <v>73239.17071330774</v>
      </c>
      <c r="J82" s="538"/>
      <c r="K82" s="599">
        <f>Surf_Dist!K169</f>
        <v>76152.85595548016</v>
      </c>
    </row>
    <row r="83" spans="1:11" s="445" customFormat="1" ht="12" customHeight="1">
      <c r="A83" s="590" t="s">
        <v>1160</v>
      </c>
      <c r="B83" s="735">
        <f>REC_SPH!G230</f>
        <v>38.30000000000003</v>
      </c>
      <c r="C83" s="736"/>
      <c r="D83" s="735">
        <f>REC_SPH!G231</f>
        <v>-122.50000000000007</v>
      </c>
      <c r="E83" s="736"/>
      <c r="F83" s="600">
        <f>Intersection_Calc!F420</f>
        <v>17.330019137249767</v>
      </c>
      <c r="G83" s="581"/>
      <c r="H83" s="538"/>
      <c r="I83" s="538"/>
      <c r="J83" s="538"/>
      <c r="K83" s="585"/>
    </row>
    <row r="84" spans="1:11" s="445" customFormat="1" ht="12" customHeight="1">
      <c r="A84" s="590"/>
      <c r="B84" s="642"/>
      <c r="C84" s="641"/>
      <c r="D84" s="642"/>
      <c r="E84" s="641"/>
      <c r="F84" s="591"/>
      <c r="G84" s="581"/>
      <c r="H84" s="592"/>
      <c r="I84" s="538"/>
      <c r="J84" s="538"/>
      <c r="K84" s="585"/>
    </row>
    <row r="85" spans="1:11" s="445" customFormat="1" ht="12" customHeight="1">
      <c r="A85" s="590" t="s">
        <v>1161</v>
      </c>
      <c r="B85" s="735">
        <f>REC_SPH!G182</f>
        <v>38.22121244527492</v>
      </c>
      <c r="C85" s="736"/>
      <c r="D85" s="735">
        <f>REC_SPH!G183</f>
        <v>-123.38316261491582</v>
      </c>
      <c r="E85" s="736"/>
      <c r="F85" s="645">
        <f>Intersection_Calc!F288</f>
        <v>25.447256709245295</v>
      </c>
      <c r="G85" s="581"/>
      <c r="H85" s="538"/>
      <c r="I85" s="538"/>
      <c r="J85" s="538"/>
      <c r="K85" s="585"/>
    </row>
    <row r="86" spans="1:11" s="445" customFormat="1" ht="12" customHeight="1">
      <c r="A86" s="586"/>
      <c r="B86" s="638"/>
      <c r="C86" s="638"/>
      <c r="D86" s="639"/>
      <c r="E86" s="640"/>
      <c r="F86" s="644"/>
      <c r="G86" s="581"/>
      <c r="H86" s="538"/>
      <c r="I86" s="538"/>
      <c r="J86" s="538"/>
      <c r="K86" s="585"/>
    </row>
    <row r="87" spans="1:11" s="445" customFormat="1" ht="12" customHeight="1">
      <c r="A87" s="590" t="s">
        <v>1162</v>
      </c>
      <c r="B87" s="735">
        <f>REC_SPH!G294</f>
        <v>38.923830400432884</v>
      </c>
      <c r="C87" s="736"/>
      <c r="D87" s="735">
        <f>REC_SPH!G295</f>
        <v>-121.75987226938406</v>
      </c>
      <c r="E87" s="736"/>
      <c r="F87" s="645">
        <f>Intersection_Calc!F596</f>
        <v>8.20950006624068</v>
      </c>
      <c r="G87" s="581"/>
      <c r="H87" s="601">
        <f>Surf_Dist!K258</f>
        <v>73158.32612054264</v>
      </c>
      <c r="I87" s="538"/>
      <c r="J87" s="601">
        <f>Surf_Dist!K250</f>
        <v>77597.02732912442</v>
      </c>
      <c r="K87" s="585"/>
    </row>
    <row r="88" spans="1:11" s="445" customFormat="1" ht="12" customHeight="1">
      <c r="A88" s="586"/>
      <c r="B88" s="638"/>
      <c r="C88" s="638"/>
      <c r="D88" s="639"/>
      <c r="E88" s="640"/>
      <c r="F88" s="644"/>
      <c r="G88" s="581"/>
      <c r="H88" s="538"/>
      <c r="I88" s="538"/>
      <c r="J88" s="538"/>
      <c r="K88" s="585"/>
    </row>
    <row r="89" spans="1:11" s="445" customFormat="1" ht="12" customHeight="1">
      <c r="A89" s="590" t="s">
        <v>1258</v>
      </c>
      <c r="B89" s="735">
        <f>REC_SPH!G246</f>
        <v>38.875624223170284</v>
      </c>
      <c r="C89" s="736"/>
      <c r="D89" s="735">
        <f>REC_SPH!G247</f>
        <v>-122.553675837836</v>
      </c>
      <c r="E89" s="736"/>
      <c r="F89" s="645">
        <f>Intersection_Calc!F464</f>
        <v>7.580829521817661</v>
      </c>
      <c r="G89" s="581"/>
      <c r="H89" s="538"/>
      <c r="I89" s="538"/>
      <c r="J89" s="538"/>
      <c r="K89" s="585"/>
    </row>
    <row r="90" spans="1:11" s="445" customFormat="1" ht="12" customHeight="1">
      <c r="A90" s="596"/>
      <c r="B90" s="638"/>
      <c r="C90" s="638"/>
      <c r="D90" s="639"/>
      <c r="E90" s="640"/>
      <c r="F90" s="644"/>
      <c r="G90" s="581"/>
      <c r="H90" s="538"/>
      <c r="I90" s="538"/>
      <c r="J90" s="538"/>
      <c r="K90" s="585"/>
    </row>
    <row r="91" spans="1:11" s="445" customFormat="1" ht="12" customHeight="1" thickBot="1">
      <c r="A91" s="602" t="s">
        <v>1336</v>
      </c>
      <c r="B91" s="733">
        <f>REC_SPH!G198</f>
        <v>38.818278729765005</v>
      </c>
      <c r="C91" s="734"/>
      <c r="D91" s="733">
        <f>REC_SPH!G199</f>
        <v>-123.391201642368</v>
      </c>
      <c r="E91" s="734"/>
      <c r="F91" s="646">
        <f>Intersection_Calc!F332</f>
        <v>19.907203680977307</v>
      </c>
      <c r="G91" s="581"/>
      <c r="H91" s="538"/>
      <c r="I91" s="538"/>
      <c r="J91" s="538"/>
      <c r="K91" s="585"/>
    </row>
    <row r="92" spans="1:11" s="445" customFormat="1" ht="12" customHeight="1">
      <c r="A92" s="603"/>
      <c r="B92" s="604" t="s">
        <v>133</v>
      </c>
      <c r="C92" s="536"/>
      <c r="D92" s="536"/>
      <c r="E92" s="536"/>
      <c r="F92" s="605"/>
      <c r="G92" s="538"/>
      <c r="H92" s="538"/>
      <c r="I92" s="598">
        <f>Surf_Dist!K201</f>
        <v>64169.56315528842</v>
      </c>
      <c r="J92" s="538"/>
      <c r="K92" s="585"/>
    </row>
    <row r="93" spans="1:11" s="445" customFormat="1" ht="12" customHeight="1">
      <c r="A93" s="606"/>
      <c r="B93" s="584">
        <f>IF(AUX_PT!E21=TRUE,"","                       Away From Shuttle Nadir")</f>
      </c>
      <c r="C93" s="582"/>
      <c r="D93" s="582"/>
      <c r="E93" s="582"/>
      <c r="F93" s="595"/>
      <c r="G93" s="607">
        <f>Surf_Dist!K225</f>
        <v>62578.118961162596</v>
      </c>
      <c r="H93" s="538"/>
      <c r="I93" s="538"/>
      <c r="J93" s="538"/>
      <c r="K93" s="599">
        <f>Surf_Dist!K177</f>
        <v>66387.47151212729</v>
      </c>
    </row>
    <row r="94" spans="1:11" s="445" customFormat="1" ht="12" customHeight="1">
      <c r="A94" s="606"/>
      <c r="B94" s="584"/>
      <c r="C94" s="582"/>
      <c r="D94" s="582"/>
      <c r="E94" s="582"/>
      <c r="F94" s="595"/>
      <c r="G94" s="538"/>
      <c r="H94" s="592"/>
      <c r="I94" s="538"/>
      <c r="J94" s="538"/>
      <c r="K94" s="585"/>
    </row>
    <row r="95" spans="1:11" s="445" customFormat="1" ht="12" customHeight="1">
      <c r="A95" s="606"/>
      <c r="B95" s="608" t="s">
        <v>1547</v>
      </c>
      <c r="C95" s="608" t="s">
        <v>1348</v>
      </c>
      <c r="D95" s="582"/>
      <c r="E95" s="540" t="s">
        <v>111</v>
      </c>
      <c r="F95" s="595"/>
      <c r="G95" s="538"/>
      <c r="H95" s="538"/>
      <c r="I95" s="538"/>
      <c r="J95" s="538"/>
      <c r="K95" s="585"/>
    </row>
    <row r="96" spans="1:11" s="445" customFormat="1" ht="12" customHeight="1">
      <c r="A96" s="709">
        <f>IF(B75="No Earth Intersection","No Earth",B75)</f>
        <v>37.731258523198576</v>
      </c>
      <c r="B96" s="710"/>
      <c r="C96" s="710">
        <f>IF(B77="No Earth Intersection","No Earth",B77)</f>
        <v>37.64293110712984</v>
      </c>
      <c r="D96" s="710"/>
      <c r="E96" s="710">
        <f>IF(B79="No Earth Intersection","No Earth",B79)</f>
        <v>37.53629552351031</v>
      </c>
      <c r="F96" s="738"/>
      <c r="G96" s="538"/>
      <c r="H96" s="538"/>
      <c r="I96" s="538"/>
      <c r="J96" s="538"/>
      <c r="K96" s="585"/>
    </row>
    <row r="97" spans="1:11" s="445" customFormat="1" ht="12" customHeight="1">
      <c r="A97" s="711">
        <f>IF(D75="No Earth Intersection","Intersection",D75)</f>
        <v>-121.55861078438394</v>
      </c>
      <c r="B97" s="712"/>
      <c r="C97" s="712">
        <f>IF(D77="No Earth Intersection","Intersection",D77)</f>
        <v>-122.44078913125374</v>
      </c>
      <c r="D97" s="712"/>
      <c r="E97" s="712">
        <f>IF(D79="No Earth Intersection","Intersection",D79)</f>
        <v>-123.37763401920253</v>
      </c>
      <c r="F97" s="716"/>
      <c r="G97" s="538"/>
      <c r="H97" s="538"/>
      <c r="I97" s="538"/>
      <c r="J97" s="538"/>
      <c r="K97" s="585"/>
    </row>
    <row r="98" spans="1:11" s="445" customFormat="1" ht="12" customHeight="1">
      <c r="A98" s="581"/>
      <c r="B98" s="538"/>
      <c r="C98" s="538"/>
      <c r="D98" s="538"/>
      <c r="E98" s="538"/>
      <c r="F98" s="585"/>
      <c r="G98" s="538"/>
      <c r="H98" s="538"/>
      <c r="I98" s="538"/>
      <c r="J98" s="538"/>
      <c r="K98" s="585"/>
    </row>
    <row r="99" spans="1:11" s="445" customFormat="1" ht="12" customHeight="1">
      <c r="A99" s="581"/>
      <c r="B99" s="538"/>
      <c r="C99" s="538"/>
      <c r="D99" s="538"/>
      <c r="E99" s="538"/>
      <c r="F99" s="585"/>
      <c r="G99" s="538"/>
      <c r="H99" s="538"/>
      <c r="I99" s="594"/>
      <c r="J99" s="538"/>
      <c r="K99" s="595"/>
    </row>
    <row r="100" spans="1:11" s="445" customFormat="1" ht="12" customHeight="1">
      <c r="A100" s="610"/>
      <c r="B100" s="538"/>
      <c r="C100" s="538"/>
      <c r="D100" s="538"/>
      <c r="E100" s="538"/>
      <c r="F100" s="611"/>
      <c r="G100" s="538"/>
      <c r="H100" s="588">
        <f>Surf_Dist!K209</f>
        <v>68894.7780000946</v>
      </c>
      <c r="I100" s="538"/>
      <c r="J100" s="589">
        <f>Surf_Dist!K185</f>
        <v>72802.69404987339</v>
      </c>
      <c r="K100" s="585"/>
    </row>
    <row r="101" spans="1:11" s="445" customFormat="1" ht="12" customHeight="1">
      <c r="A101" s="581"/>
      <c r="B101" s="538"/>
      <c r="C101" s="538"/>
      <c r="D101" s="538"/>
      <c r="E101" s="538"/>
      <c r="F101" s="585"/>
      <c r="G101" s="538"/>
      <c r="H101" s="538"/>
      <c r="I101" s="538"/>
      <c r="J101" s="538"/>
      <c r="K101" s="585"/>
    </row>
    <row r="102" spans="1:11" s="445" customFormat="1" ht="12" customHeight="1">
      <c r="A102" s="581"/>
      <c r="B102" s="538"/>
      <c r="C102" s="538"/>
      <c r="D102" s="538"/>
      <c r="E102" s="538"/>
      <c r="F102" s="585"/>
      <c r="G102" s="490" t="s">
        <v>971</v>
      </c>
      <c r="H102" s="538"/>
      <c r="I102" s="538"/>
      <c r="J102" s="538"/>
      <c r="K102" s="585"/>
    </row>
    <row r="103" spans="1:11" s="445" customFormat="1" ht="12" customHeight="1">
      <c r="A103" s="581"/>
      <c r="B103" s="538"/>
      <c r="C103" s="538"/>
      <c r="D103" s="538"/>
      <c r="E103" s="538"/>
      <c r="F103" s="585"/>
      <c r="G103" s="584">
        <f>IF(AUX_PT!E21=TRUE,"","                                          Towards Shuttle Nadir")</f>
      </c>
      <c r="H103" s="538"/>
      <c r="I103" s="538"/>
      <c r="J103" s="538"/>
      <c r="K103" s="585"/>
    </row>
    <row r="104" spans="1:11" s="445" customFormat="1" ht="12" customHeight="1">
      <c r="A104" s="581"/>
      <c r="B104" s="538"/>
      <c r="C104" s="538"/>
      <c r="D104" s="538"/>
      <c r="E104" s="538"/>
      <c r="F104" s="585"/>
      <c r="G104" s="612"/>
      <c r="H104" s="612"/>
      <c r="I104" s="612"/>
      <c r="J104" s="612"/>
      <c r="K104" s="613"/>
    </row>
    <row r="105" spans="1:11" s="445" customFormat="1" ht="12" customHeight="1" thickBot="1">
      <c r="A105" s="581"/>
      <c r="B105" s="538"/>
      <c r="C105" s="538"/>
      <c r="D105" s="538"/>
      <c r="E105" s="538"/>
      <c r="F105" s="585"/>
      <c r="G105" s="614"/>
      <c r="H105" s="614"/>
      <c r="I105" s="614"/>
      <c r="J105" s="614"/>
      <c r="K105" s="615"/>
    </row>
    <row r="106" spans="1:11" s="445" customFormat="1" ht="15.75" customHeight="1">
      <c r="A106" s="581"/>
      <c r="B106" s="538"/>
      <c r="C106" s="538"/>
      <c r="D106" s="538"/>
      <c r="E106" s="538"/>
      <c r="F106" s="585"/>
      <c r="G106" s="725" t="s">
        <v>941</v>
      </c>
      <c r="H106" s="726"/>
      <c r="I106" s="726"/>
      <c r="J106" s="726"/>
      <c r="K106" s="727"/>
    </row>
    <row r="107" spans="1:11" s="445" customFormat="1" ht="12" customHeight="1">
      <c r="A107" s="581"/>
      <c r="B107" s="538"/>
      <c r="C107" s="538"/>
      <c r="D107" s="584"/>
      <c r="E107" s="538"/>
      <c r="F107" s="585"/>
      <c r="G107" s="581"/>
      <c r="H107" s="538"/>
      <c r="I107" s="538"/>
      <c r="J107" s="538"/>
      <c r="K107" s="585"/>
    </row>
    <row r="108" spans="1:11" s="445" customFormat="1" ht="12" customHeight="1">
      <c r="A108" s="616" t="s">
        <v>1159</v>
      </c>
      <c r="B108" s="538"/>
      <c r="C108" s="538"/>
      <c r="D108" s="538"/>
      <c r="E108" s="608"/>
      <c r="F108" s="617" t="s">
        <v>1161</v>
      </c>
      <c r="G108" s="581"/>
      <c r="H108" s="538"/>
      <c r="I108" s="629"/>
      <c r="J108" s="630" t="s">
        <v>965</v>
      </c>
      <c r="K108" s="631"/>
    </row>
    <row r="109" spans="1:11" s="445" customFormat="1" ht="12" customHeight="1" thickBot="1">
      <c r="A109" s="618">
        <f>IF(B81="No Earth Intersection","No Earth",B81)</f>
        <v>38.36585282052062</v>
      </c>
      <c r="B109" s="538"/>
      <c r="C109" s="538"/>
      <c r="D109" s="584" t="s">
        <v>293</v>
      </c>
      <c r="E109" s="538"/>
      <c r="F109" s="619">
        <f>IF(B85="No Earth Intersection","No Earth",B85)</f>
        <v>38.22121244527492</v>
      </c>
      <c r="G109" s="581"/>
      <c r="H109" s="538"/>
      <c r="I109" s="538"/>
      <c r="J109" s="608" t="s">
        <v>944</v>
      </c>
      <c r="K109" s="585"/>
    </row>
    <row r="110" spans="1:11" s="445" customFormat="1" ht="12" customHeight="1" thickBot="1">
      <c r="A110" s="620">
        <f>IF(D81="No Earth Intersection","Intersection",D81)</f>
        <v>-121.66537539783765</v>
      </c>
      <c r="B110" s="538"/>
      <c r="C110" s="538"/>
      <c r="D110" s="621">
        <f>IF(B83="No Earth Intersection","No Earth",B83)</f>
        <v>38.30000000000003</v>
      </c>
      <c r="E110" s="538"/>
      <c r="F110" s="622">
        <f>IF(D85="No Earth Intersection","Intersection",D85)</f>
        <v>-123.38316261491582</v>
      </c>
      <c r="G110" s="581"/>
      <c r="H110" s="538"/>
      <c r="I110" s="538"/>
      <c r="J110" s="623">
        <f>IF(Photo_Setup!D60="","",((Photo_Setup!D60*1000)/E39))</f>
        <v>0.0175</v>
      </c>
      <c r="K110" s="585" t="s">
        <v>74</v>
      </c>
    </row>
    <row r="111" spans="1:11" s="445" customFormat="1" ht="12" customHeight="1">
      <c r="A111" s="581"/>
      <c r="B111" s="538"/>
      <c r="C111" s="538"/>
      <c r="D111" s="624">
        <f>IF(D83="No Earth Intersection","Intersection",D83)</f>
        <v>-122.50000000000007</v>
      </c>
      <c r="E111" s="538"/>
      <c r="F111" s="585"/>
      <c r="G111" s="581"/>
      <c r="H111" s="538"/>
      <c r="I111" s="538"/>
      <c r="J111" s="538"/>
      <c r="K111" s="585"/>
    </row>
    <row r="112" spans="1:11" s="445" customFormat="1" ht="12" customHeight="1" thickBot="1">
      <c r="A112" s="581"/>
      <c r="B112" s="538"/>
      <c r="C112" s="538"/>
      <c r="D112" s="538"/>
      <c r="E112" s="538"/>
      <c r="F112" s="585"/>
      <c r="G112" s="581"/>
      <c r="H112" s="538"/>
      <c r="I112" s="538"/>
      <c r="J112" s="608" t="s">
        <v>347</v>
      </c>
      <c r="K112" s="585"/>
    </row>
    <row r="113" spans="1:11" s="445" customFormat="1" ht="12" customHeight="1" thickBot="1">
      <c r="A113" s="581"/>
      <c r="B113" s="538"/>
      <c r="C113" s="538"/>
      <c r="D113" s="538"/>
      <c r="E113" s="538"/>
      <c r="F113" s="585"/>
      <c r="G113" s="581"/>
      <c r="H113" s="538"/>
      <c r="I113" s="538"/>
      <c r="J113" s="625">
        <f>IF(Pixel_Scale!K633="","",Pixel_Scale!K633)</f>
        <v>22.772590692684766</v>
      </c>
      <c r="K113" s="585" t="s">
        <v>717</v>
      </c>
    </row>
    <row r="114" spans="1:11" s="445" customFormat="1" ht="12" customHeight="1">
      <c r="A114" s="581"/>
      <c r="B114" s="538"/>
      <c r="C114" s="538"/>
      <c r="D114" s="538"/>
      <c r="E114" s="538"/>
      <c r="F114" s="585"/>
      <c r="G114" s="581"/>
      <c r="H114" s="538"/>
      <c r="I114" s="538"/>
      <c r="J114" s="538"/>
      <c r="K114" s="585"/>
    </row>
    <row r="115" spans="1:11" s="445" customFormat="1" ht="12" customHeight="1" thickBot="1">
      <c r="A115" s="581"/>
      <c r="B115" s="538"/>
      <c r="C115" s="538"/>
      <c r="D115" s="626"/>
      <c r="E115" s="538"/>
      <c r="F115" s="585"/>
      <c r="G115" s="581"/>
      <c r="H115" s="538"/>
      <c r="I115" s="538"/>
      <c r="J115" s="608" t="s">
        <v>943</v>
      </c>
      <c r="K115" s="585"/>
    </row>
    <row r="116" spans="1:11" s="445" customFormat="1" ht="12" customHeight="1" thickBot="1">
      <c r="A116" s="581"/>
      <c r="B116" s="538"/>
      <c r="C116" s="538"/>
      <c r="D116" s="626"/>
      <c r="E116" s="538"/>
      <c r="F116" s="585"/>
      <c r="G116" s="581"/>
      <c r="H116" s="538"/>
      <c r="I116" s="538"/>
      <c r="J116" s="720" t="str">
        <f>IF(J110="","",IF(J113="","",(CONCATENATE("1 / ",TEXT((J113/(J110/1000)),"###,###,###.0")))))</f>
        <v>1 / 1,301,290.9</v>
      </c>
      <c r="K116" s="721"/>
    </row>
    <row r="117" spans="1:11" s="445" customFormat="1" ht="12" customHeight="1" thickBot="1">
      <c r="A117" s="581"/>
      <c r="B117" s="538"/>
      <c r="C117" s="538"/>
      <c r="D117" s="627"/>
      <c r="E117" s="538"/>
      <c r="F117" s="585"/>
      <c r="G117" s="581"/>
      <c r="H117" s="538"/>
      <c r="I117" s="717" t="str">
        <f>IF(J110="","",IF(J113="","",(CONCATENATE("1 Image mm = ",TEXT((J113/J110),"###,###,###.0")," Earth Meters"))))</f>
        <v>1 Image mm = 1,301.3 Earth Meters</v>
      </c>
      <c r="J117" s="718"/>
      <c r="K117" s="719"/>
    </row>
    <row r="118" spans="1:11" s="445" customFormat="1" ht="12" customHeight="1">
      <c r="A118" s="581"/>
      <c r="B118" s="538"/>
      <c r="C118" s="538"/>
      <c r="D118" s="627"/>
      <c r="E118" s="538"/>
      <c r="F118" s="585"/>
      <c r="G118" s="581"/>
      <c r="H118" s="538"/>
      <c r="I118" s="538"/>
      <c r="J118" s="538"/>
      <c r="K118" s="585"/>
    </row>
    <row r="119" spans="1:11" s="445" customFormat="1" ht="12.75" customHeight="1" thickBot="1">
      <c r="A119" s="581"/>
      <c r="B119" s="538"/>
      <c r="C119" s="538"/>
      <c r="D119" s="538"/>
      <c r="E119" s="538"/>
      <c r="F119" s="585"/>
      <c r="G119" s="581"/>
      <c r="H119" s="538"/>
      <c r="I119" s="629"/>
      <c r="J119" s="630" t="s">
        <v>966</v>
      </c>
      <c r="K119" s="631"/>
    </row>
    <row r="120" spans="1:11" s="445" customFormat="1" ht="12" customHeight="1" thickBot="1">
      <c r="A120" s="581"/>
      <c r="B120" s="608" t="s">
        <v>1162</v>
      </c>
      <c r="C120" s="737" t="s">
        <v>1258</v>
      </c>
      <c r="D120" s="737"/>
      <c r="E120" s="493" t="s">
        <v>1336</v>
      </c>
      <c r="F120" s="585"/>
      <c r="G120" s="581"/>
      <c r="H120" s="538"/>
      <c r="I120" s="493" t="s">
        <v>942</v>
      </c>
      <c r="J120" s="623">
        <f>IF(Photo_Setup!D61="","",((Photo_Setup!D61*1000)/'Input-Output'!E40))</f>
        <v>0.02</v>
      </c>
      <c r="K120" s="585" t="s">
        <v>74</v>
      </c>
    </row>
    <row r="121" spans="1:11" s="445" customFormat="1" ht="12" customHeight="1" thickBot="1">
      <c r="A121" s="709">
        <f>IF(B87="No Earth Intersection","No Earth",B87)</f>
        <v>38.923830400432884</v>
      </c>
      <c r="B121" s="710"/>
      <c r="C121" s="710">
        <f>IF(B89="No Earth Intersection","No Earth",B89)</f>
        <v>38.875624223170284</v>
      </c>
      <c r="D121" s="710"/>
      <c r="E121" s="710">
        <f>IF(B91="No Earth Intersection","No Earth",B91)</f>
        <v>38.818278729765005</v>
      </c>
      <c r="F121" s="738"/>
      <c r="G121" s="581"/>
      <c r="H121" s="538"/>
      <c r="I121" s="538"/>
      <c r="J121" s="538"/>
      <c r="K121" s="585"/>
    </row>
    <row r="122" spans="1:11" s="445" customFormat="1" ht="12" customHeight="1" thickBot="1">
      <c r="A122" s="711">
        <f>IF(D87="No Earth Intersection","Intersection",D87)</f>
        <v>-121.75987226938406</v>
      </c>
      <c r="B122" s="712"/>
      <c r="C122" s="712">
        <f>IF(D89="No Earth Intersection","Intersection",D89)</f>
        <v>-122.553675837836</v>
      </c>
      <c r="D122" s="712"/>
      <c r="E122" s="712">
        <f>IF(D91="No Earth Intersection","Intersection",D91)</f>
        <v>-123.391201642368</v>
      </c>
      <c r="F122" s="716"/>
      <c r="G122" s="581"/>
      <c r="H122" s="538"/>
      <c r="I122" s="493" t="s">
        <v>348</v>
      </c>
      <c r="J122" s="625">
        <f>IF(Pixel_Scale!K623="","",Pixel_Scale!K623)</f>
        <v>25.065686632391603</v>
      </c>
      <c r="K122" s="585" t="s">
        <v>717</v>
      </c>
    </row>
    <row r="123" spans="1:11" s="445" customFormat="1" ht="12" customHeight="1" thickBot="1">
      <c r="A123" s="581"/>
      <c r="B123" s="608"/>
      <c r="C123" s="493"/>
      <c r="D123" s="609"/>
      <c r="E123" s="493"/>
      <c r="F123" s="622"/>
      <c r="G123" s="581"/>
      <c r="H123" s="538"/>
      <c r="I123" s="538"/>
      <c r="J123" s="538"/>
      <c r="K123" s="585"/>
    </row>
    <row r="124" spans="1:11" s="445" customFormat="1" ht="12" customHeight="1" thickBot="1">
      <c r="A124" s="581"/>
      <c r="B124" s="490" t="s">
        <v>737</v>
      </c>
      <c r="C124" s="538"/>
      <c r="D124" s="538"/>
      <c r="E124" s="538"/>
      <c r="F124" s="585"/>
      <c r="G124" s="581"/>
      <c r="H124" s="538"/>
      <c r="I124" s="493" t="s">
        <v>945</v>
      </c>
      <c r="J124" s="720" t="str">
        <f>IF(J120="","",IF(J122="","",(CONCATENATE("1 / ",TEXT((J122/(J120/1000)),"###,###,###.0")))))</f>
        <v>1 / 1,253,284.3</v>
      </c>
      <c r="K124" s="721"/>
    </row>
    <row r="125" spans="1:11" s="445" customFormat="1" ht="12" customHeight="1" thickBot="1">
      <c r="A125" s="581"/>
      <c r="B125" s="584">
        <f>IF(AUX_PT!E21=TRUE,"","                         Towards Shuttle Nadir")</f>
      </c>
      <c r="C125" s="538"/>
      <c r="D125" s="538"/>
      <c r="E125" s="538"/>
      <c r="F125" s="585"/>
      <c r="G125" s="628"/>
      <c r="H125" s="614"/>
      <c r="I125" s="717" t="str">
        <f>IF(J120="","",IF(J122="","",(CONCATENATE("1 Image mm = ",TEXT((J122/J120),"###,###,###.0")," Earth Meters"))))</f>
        <v>1 Image mm = 1,253.3 Earth Meters</v>
      </c>
      <c r="J125" s="718"/>
      <c r="K125" s="719"/>
    </row>
    <row r="126" spans="1:11" s="632" customFormat="1" ht="17.25" customHeight="1" thickBot="1">
      <c r="A126" s="713" t="s">
        <v>558</v>
      </c>
      <c r="B126" s="714"/>
      <c r="C126" s="714"/>
      <c r="D126" s="714"/>
      <c r="E126" s="714"/>
      <c r="F126" s="714"/>
      <c r="G126" s="714"/>
      <c r="H126" s="714"/>
      <c r="I126" s="714"/>
      <c r="J126" s="714"/>
      <c r="K126" s="715"/>
    </row>
    <row r="127" s="445" customFormat="1" ht="12" customHeight="1" thickBot="1"/>
    <row r="128" spans="1:11" s="445" customFormat="1" ht="12" customHeight="1">
      <c r="A128" s="722" t="s">
        <v>939</v>
      </c>
      <c r="B128" s="723"/>
      <c r="C128" s="723"/>
      <c r="D128" s="723"/>
      <c r="E128" s="723"/>
      <c r="F128" s="723"/>
      <c r="G128" s="723"/>
      <c r="H128" s="723"/>
      <c r="I128" s="723"/>
      <c r="J128" s="723"/>
      <c r="K128" s="724"/>
    </row>
    <row r="129" spans="1:11" s="445" customFormat="1" ht="12" customHeight="1">
      <c r="A129" s="706" t="s">
        <v>1012</v>
      </c>
      <c r="B129" s="707"/>
      <c r="C129" s="707"/>
      <c r="D129" s="707"/>
      <c r="E129" s="707"/>
      <c r="F129" s="707"/>
      <c r="G129" s="707"/>
      <c r="H129" s="707"/>
      <c r="I129" s="707"/>
      <c r="J129" s="707"/>
      <c r="K129" s="708"/>
    </row>
    <row r="130" spans="1:11" s="445" customFormat="1" ht="12" customHeight="1">
      <c r="A130" s="706" t="s">
        <v>968</v>
      </c>
      <c r="B130" s="707"/>
      <c r="C130" s="707"/>
      <c r="D130" s="707"/>
      <c r="E130" s="707"/>
      <c r="F130" s="707"/>
      <c r="G130" s="707"/>
      <c r="H130" s="707"/>
      <c r="I130" s="707"/>
      <c r="J130" s="707"/>
      <c r="K130" s="708"/>
    </row>
    <row r="131" spans="1:11" ht="12" customHeight="1" thickBot="1">
      <c r="A131" s="681" t="s">
        <v>763</v>
      </c>
      <c r="B131" s="446"/>
      <c r="C131" s="446"/>
      <c r="D131" s="446"/>
      <c r="E131" s="682" t="str">
        <f>Introduction!C131</f>
        <v>earthweb@ems.jsc.nasa.gov</v>
      </c>
      <c r="F131" s="446"/>
      <c r="G131" s="683" t="s">
        <v>871</v>
      </c>
      <c r="H131" s="446"/>
      <c r="I131" s="446"/>
      <c r="J131" s="446"/>
      <c r="K131" s="464" t="str">
        <f>Introduction!B135&amp;"      "</f>
        <v>http://eol.jsc.nasa.gov/sseop/FootprintCalculator.xls      </v>
      </c>
    </row>
    <row r="132" spans="1:11" s="445" customFormat="1" ht="18" customHeight="1">
      <c r="A132"/>
      <c r="B132"/>
      <c r="C132"/>
      <c r="D132"/>
      <c r="E132"/>
      <c r="F132"/>
      <c r="G132"/>
      <c r="H132"/>
      <c r="I132"/>
      <c r="J132"/>
      <c r="K132"/>
    </row>
  </sheetData>
  <sheetProtection password="CFF3" sheet="1" objects="1" scenarios="1"/>
  <mergeCells count="82">
    <mergeCell ref="D85:E85"/>
    <mergeCell ref="D83:E83"/>
    <mergeCell ref="D81:E81"/>
    <mergeCell ref="D79:E79"/>
    <mergeCell ref="B87:C87"/>
    <mergeCell ref="B89:C89"/>
    <mergeCell ref="D11:E11"/>
    <mergeCell ref="E72:F72"/>
    <mergeCell ref="B75:C75"/>
    <mergeCell ref="B77:C77"/>
    <mergeCell ref="D77:E77"/>
    <mergeCell ref="D75:E75"/>
    <mergeCell ref="D41:E41"/>
    <mergeCell ref="B44:E44"/>
    <mergeCell ref="B79:C79"/>
    <mergeCell ref="B81:C81"/>
    <mergeCell ref="B83:C83"/>
    <mergeCell ref="B85:C85"/>
    <mergeCell ref="A33:E33"/>
    <mergeCell ref="I67:K67"/>
    <mergeCell ref="I68:K68"/>
    <mergeCell ref="I69:K69"/>
    <mergeCell ref="B45:E45"/>
    <mergeCell ref="B46:E46"/>
    <mergeCell ref="A56:K56"/>
    <mergeCell ref="B49:E49"/>
    <mergeCell ref="B43:J43"/>
    <mergeCell ref="G44:J44"/>
    <mergeCell ref="H15:K15"/>
    <mergeCell ref="H18:K18"/>
    <mergeCell ref="H23:K23"/>
    <mergeCell ref="H24:K24"/>
    <mergeCell ref="H17:K17"/>
    <mergeCell ref="A130:K130"/>
    <mergeCell ref="B7:J7"/>
    <mergeCell ref="A71:K71"/>
    <mergeCell ref="D68:G68"/>
    <mergeCell ref="C96:D96"/>
    <mergeCell ref="A96:B96"/>
    <mergeCell ref="H39:K39"/>
    <mergeCell ref="H40:K40"/>
    <mergeCell ref="H12:K12"/>
    <mergeCell ref="H13:K13"/>
    <mergeCell ref="D21:E21"/>
    <mergeCell ref="G47:J47"/>
    <mergeCell ref="H26:K26"/>
    <mergeCell ref="C97:D97"/>
    <mergeCell ref="D69:G69"/>
    <mergeCell ref="E96:F96"/>
    <mergeCell ref="E97:F97"/>
    <mergeCell ref="H27:K27"/>
    <mergeCell ref="H30:K30"/>
    <mergeCell ref="H32:K32"/>
    <mergeCell ref="G45:J45"/>
    <mergeCell ref="G46:J46"/>
    <mergeCell ref="B48:E48"/>
    <mergeCell ref="B47:E47"/>
    <mergeCell ref="G48:J48"/>
    <mergeCell ref="C120:D120"/>
    <mergeCell ref="E121:F121"/>
    <mergeCell ref="C121:D121"/>
    <mergeCell ref="A97:B97"/>
    <mergeCell ref="J116:K116"/>
    <mergeCell ref="G106:K106"/>
    <mergeCell ref="I117:K117"/>
    <mergeCell ref="A34:E34"/>
    <mergeCell ref="A35:E35"/>
    <mergeCell ref="G49:J49"/>
    <mergeCell ref="B91:C91"/>
    <mergeCell ref="D91:E91"/>
    <mergeCell ref="D89:E89"/>
    <mergeCell ref="D87:E87"/>
    <mergeCell ref="G66:H66"/>
    <mergeCell ref="A129:K129"/>
    <mergeCell ref="A121:B121"/>
    <mergeCell ref="A122:B122"/>
    <mergeCell ref="A126:K126"/>
    <mergeCell ref="E122:F122"/>
    <mergeCell ref="C122:D122"/>
    <mergeCell ref="I125:K125"/>
    <mergeCell ref="J124:K124"/>
    <mergeCell ref="A128:K128"/>
  </mergeCells>
  <conditionalFormatting sqref="D68:G69 H12 H13:K13 H15:K15 H17 H18:K18 H23:K24 H26:K27 H30:K30 H32:K32 H39:K40 B44:E49 G44:J46">
    <cfRule type="cellIs" priority="1" dxfId="0" operator="equal" stopIfTrue="1">
      <formula>"None"</formula>
    </cfRule>
  </conditionalFormatting>
  <conditionalFormatting sqref="D32">
    <cfRule type="expression" priority="2" dxfId="1" stopIfTrue="1">
      <formula>IF($C$31&lt;7,TRUE,FALSE)</formula>
    </cfRule>
  </conditionalFormatting>
  <conditionalFormatting sqref="E32">
    <cfRule type="expression" priority="3" dxfId="2" stopIfTrue="1">
      <formula>IF($C$31&lt;7,TRUE,FALSE)</formula>
    </cfRule>
  </conditionalFormatting>
  <conditionalFormatting sqref="G47:J49">
    <cfRule type="cellIs" priority="4" dxfId="0" operator="equal" stopIfTrue="1">
      <formula>"None"</formula>
    </cfRule>
  </conditionalFormatting>
  <conditionalFormatting sqref="D30">
    <cfRule type="expression" priority="5" dxfId="3" stopIfTrue="1">
      <formula>IF($C$30&lt;12,TRUE,FALSE)</formula>
    </cfRule>
  </conditionalFormatting>
  <conditionalFormatting sqref="D61">
    <cfRule type="expression" priority="6" dxfId="4" stopIfTrue="1">
      <formula>IF(E15=2,TRUE,FALSE)</formula>
    </cfRule>
  </conditionalFormatting>
  <printOptions/>
  <pageMargins left="0.65" right="0.42" top="0.43" bottom="0.46" header="0.4" footer="0.4"/>
  <pageSetup orientation="portrait" paperSize="9" scale="55"/>
  <headerFooter alignWithMargins="0">
    <oddFooter>&amp;LDate:  &amp;D, Time:  &amp;T&amp;C&amp;RLow Oblique Space Photo Footprint Calculator, (C) 2002 , Lockheed Martin</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M373"/>
  <sheetViews>
    <sheetView workbookViewId="0" topLeftCell="A1">
      <selection activeCell="A1" sqref="A1"/>
    </sheetView>
  </sheetViews>
  <sheetFormatPr defaultColWidth="9.00390625" defaultRowHeight="12.75"/>
  <cols>
    <col min="1" max="1" width="11.375" style="0" customWidth="1"/>
    <col min="2" max="2" width="14.75390625" style="0" customWidth="1"/>
    <col min="3" max="3" width="12.25390625" style="0" customWidth="1"/>
    <col min="4" max="4" width="11.375" style="0" customWidth="1"/>
    <col min="5" max="5" width="12.75390625" style="0" customWidth="1"/>
    <col min="6" max="6" width="13.375" style="0" customWidth="1"/>
    <col min="7" max="7" width="13.00390625" style="0" customWidth="1"/>
    <col min="8" max="8" width="11.375" style="0" customWidth="1"/>
    <col min="9" max="9" width="24.00390625" style="0" customWidth="1"/>
    <col min="10" max="16384" width="11.375" style="0" customWidth="1"/>
  </cols>
  <sheetData>
    <row r="1" spans="1:10" ht="23.25">
      <c r="A1" s="458" t="s">
        <v>343</v>
      </c>
      <c r="B1" s="459"/>
      <c r="C1" s="459"/>
      <c r="D1" s="459"/>
      <c r="E1" s="459"/>
      <c r="F1" s="459"/>
      <c r="G1" s="459"/>
      <c r="H1" s="459"/>
      <c r="I1" s="459"/>
      <c r="J1" s="298"/>
    </row>
    <row r="2" spans="1:9" ht="16.5" customHeight="1">
      <c r="A2" s="472"/>
      <c r="B2" s="471"/>
      <c r="C2" s="471"/>
      <c r="D2" s="471"/>
      <c r="E2" s="471"/>
      <c r="F2" s="471"/>
      <c r="G2" s="471"/>
      <c r="H2" s="471"/>
      <c r="I2" s="471"/>
    </row>
    <row r="3" spans="1:11" ht="21" customHeight="1">
      <c r="A3" s="491" t="s">
        <v>950</v>
      </c>
      <c r="B3" s="459"/>
      <c r="C3" s="459"/>
      <c r="D3" s="459"/>
      <c r="E3" s="459"/>
      <c r="F3" s="459"/>
      <c r="G3" s="459"/>
      <c r="H3" s="459"/>
      <c r="I3" s="459"/>
      <c r="J3" s="298"/>
      <c r="K3" s="298"/>
    </row>
    <row r="4" spans="1:11" ht="18" customHeight="1">
      <c r="A4" s="492" t="s">
        <v>947</v>
      </c>
      <c r="B4" s="459"/>
      <c r="C4" s="459"/>
      <c r="D4" s="459"/>
      <c r="E4" s="459"/>
      <c r="F4" s="459"/>
      <c r="G4" s="459"/>
      <c r="H4" s="459"/>
      <c r="I4" s="459"/>
      <c r="J4" s="298"/>
      <c r="K4" s="298"/>
    </row>
    <row r="5" spans="1:11" ht="15" customHeight="1">
      <c r="A5" s="297"/>
      <c r="B5" s="459"/>
      <c r="C5" s="459"/>
      <c r="D5" s="459"/>
      <c r="E5" s="459"/>
      <c r="F5" s="459"/>
      <c r="G5" s="459"/>
      <c r="H5" s="459"/>
      <c r="I5" s="459"/>
      <c r="J5" s="298"/>
      <c r="K5" s="298"/>
    </row>
    <row r="6" spans="1:9" ht="16.5" customHeight="1">
      <c r="A6" s="470"/>
      <c r="B6" s="471"/>
      <c r="C6" s="471"/>
      <c r="D6" s="471"/>
      <c r="E6" s="471"/>
      <c r="F6" s="471"/>
      <c r="G6" s="471"/>
      <c r="H6" s="471"/>
      <c r="I6" s="471"/>
    </row>
    <row r="7" ht="18">
      <c r="A7" s="12" t="s">
        <v>552</v>
      </c>
    </row>
    <row r="8" ht="18">
      <c r="A8" s="12" t="s">
        <v>653</v>
      </c>
    </row>
    <row r="9" ht="18">
      <c r="A9" s="12" t="s">
        <v>1422</v>
      </c>
    </row>
    <row r="11" ht="13.5" thickBot="1"/>
    <row r="12" spans="1:5" ht="15.75">
      <c r="A12" s="84" t="s">
        <v>1423</v>
      </c>
      <c r="B12" s="2"/>
      <c r="C12" s="2"/>
      <c r="D12" s="2"/>
      <c r="E12" s="3"/>
    </row>
    <row r="13" spans="1:5" ht="12.75">
      <c r="A13" s="4"/>
      <c r="B13" s="22" t="s">
        <v>1424</v>
      </c>
      <c r="C13" s="5"/>
      <c r="D13" s="5"/>
      <c r="E13" s="6"/>
    </row>
    <row r="14" spans="1:5" ht="13.5" thickBot="1">
      <c r="A14" s="4"/>
      <c r="B14" s="22"/>
      <c r="C14" s="5"/>
      <c r="D14" s="5"/>
      <c r="E14" s="6"/>
    </row>
    <row r="15" spans="1:5" ht="13.5" thickBot="1">
      <c r="A15" s="4"/>
      <c r="B15" s="103" t="s">
        <v>857</v>
      </c>
      <c r="C15" s="22" t="s">
        <v>858</v>
      </c>
      <c r="D15" s="5"/>
      <c r="E15" s="6"/>
    </row>
    <row r="16" spans="1:5" ht="13.5" thickBot="1">
      <c r="A16" s="4"/>
      <c r="B16" s="5"/>
      <c r="C16" s="5"/>
      <c r="D16" s="5"/>
      <c r="E16" s="6"/>
    </row>
    <row r="17" spans="1:5" ht="13.5" thickBot="1">
      <c r="A17" s="4"/>
      <c r="B17" s="99" t="s">
        <v>61</v>
      </c>
      <c r="C17" s="22" t="s">
        <v>62</v>
      </c>
      <c r="D17" s="5"/>
      <c r="E17" s="6"/>
    </row>
    <row r="18" spans="1:5" ht="13.5" thickBot="1">
      <c r="A18" s="4"/>
      <c r="B18" s="17"/>
      <c r="C18" s="22"/>
      <c r="D18" s="5"/>
      <c r="E18" s="6"/>
    </row>
    <row r="19" spans="1:5" ht="13.5" thickBot="1">
      <c r="A19" s="4"/>
      <c r="B19" s="100" t="s">
        <v>61</v>
      </c>
      <c r="C19" s="22" t="s">
        <v>63</v>
      </c>
      <c r="D19" s="5"/>
      <c r="E19" s="6"/>
    </row>
    <row r="20" spans="1:5" ht="13.5" thickBot="1">
      <c r="A20" s="4"/>
      <c r="B20" s="101"/>
      <c r="C20" s="22"/>
      <c r="D20" s="5"/>
      <c r="E20" s="6"/>
    </row>
    <row r="21" spans="1:5" ht="13.5" thickBot="1">
      <c r="A21" s="4"/>
      <c r="B21" s="102" t="s">
        <v>61</v>
      </c>
      <c r="C21" s="22" t="s">
        <v>142</v>
      </c>
      <c r="D21" s="5"/>
      <c r="E21" s="6"/>
    </row>
    <row r="22" spans="1:5" ht="13.5" thickBot="1">
      <c r="A22" s="7"/>
      <c r="B22" s="8"/>
      <c r="C22" s="8"/>
      <c r="D22" s="8"/>
      <c r="E22" s="9"/>
    </row>
    <row r="23" spans="1:13" ht="13.5" thickBot="1">
      <c r="A23" s="5"/>
      <c r="B23" s="5"/>
      <c r="C23" s="5"/>
      <c r="D23" s="5"/>
      <c r="E23" s="5"/>
      <c r="F23" s="5"/>
      <c r="G23" s="5"/>
      <c r="H23" s="5"/>
      <c r="I23" s="5"/>
      <c r="J23" s="5"/>
      <c r="K23" s="5"/>
      <c r="L23" s="5"/>
      <c r="M23" s="5"/>
    </row>
    <row r="24" spans="1:9" ht="12.75">
      <c r="A24" s="1"/>
      <c r="B24" s="2"/>
      <c r="C24" s="2"/>
      <c r="D24" s="2"/>
      <c r="E24" s="2"/>
      <c r="F24" s="2"/>
      <c r="G24" s="2"/>
      <c r="H24" s="2"/>
      <c r="I24" s="3"/>
    </row>
    <row r="25" spans="1:9" ht="18">
      <c r="A25" s="13" t="s">
        <v>143</v>
      </c>
      <c r="B25" s="5"/>
      <c r="C25" s="5"/>
      <c r="D25" s="5"/>
      <c r="E25" s="5"/>
      <c r="F25" s="5"/>
      <c r="G25" s="5"/>
      <c r="H25" s="5"/>
      <c r="I25" s="6"/>
    </row>
    <row r="26" spans="1:9" ht="18">
      <c r="A26" s="13"/>
      <c r="B26" s="5"/>
      <c r="C26" s="5"/>
      <c r="D26" s="5"/>
      <c r="E26" s="5"/>
      <c r="F26" s="5"/>
      <c r="G26" s="5"/>
      <c r="H26" s="5"/>
      <c r="I26" s="6"/>
    </row>
    <row r="27" spans="1:9" ht="12.75">
      <c r="A27" s="4"/>
      <c r="B27" s="5"/>
      <c r="C27" s="5"/>
      <c r="D27" s="5"/>
      <c r="E27" s="5"/>
      <c r="F27" s="5"/>
      <c r="G27" s="5"/>
      <c r="H27" s="5"/>
      <c r="I27" s="6"/>
    </row>
    <row r="28" spans="1:9" ht="12.75">
      <c r="A28" s="4" t="s">
        <v>262</v>
      </c>
      <c r="B28" s="5"/>
      <c r="C28" s="5"/>
      <c r="D28" s="5"/>
      <c r="E28" s="5"/>
      <c r="F28" s="5"/>
      <c r="G28" s="5"/>
      <c r="H28" s="5"/>
      <c r="I28" s="6"/>
    </row>
    <row r="29" spans="1:9" ht="12.75">
      <c r="A29" s="4" t="s">
        <v>1347</v>
      </c>
      <c r="B29" s="5"/>
      <c r="C29" s="5"/>
      <c r="D29" s="5"/>
      <c r="E29" s="5"/>
      <c r="F29" s="5"/>
      <c r="G29" s="5"/>
      <c r="H29" s="5"/>
      <c r="I29" s="6"/>
    </row>
    <row r="30" spans="1:9" ht="12.75">
      <c r="A30" s="4" t="s">
        <v>218</v>
      </c>
      <c r="B30" s="5"/>
      <c r="C30" s="5"/>
      <c r="D30" s="5"/>
      <c r="E30" s="5"/>
      <c r="F30" s="5"/>
      <c r="G30" s="5"/>
      <c r="H30" s="5"/>
      <c r="I30" s="6"/>
    </row>
    <row r="31" spans="1:9" ht="12.75">
      <c r="A31" s="4"/>
      <c r="B31" s="5"/>
      <c r="C31" s="5"/>
      <c r="D31" s="5"/>
      <c r="E31" s="110"/>
      <c r="F31" s="5"/>
      <c r="G31" s="5"/>
      <c r="H31" s="5"/>
      <c r="I31" s="6"/>
    </row>
    <row r="32" spans="1:9" ht="12.75">
      <c r="A32" s="4"/>
      <c r="B32" s="5"/>
      <c r="C32" s="5"/>
      <c r="D32" s="5"/>
      <c r="E32" s="5"/>
      <c r="F32" s="5"/>
      <c r="G32" s="5"/>
      <c r="H32" s="5"/>
      <c r="I32" s="6"/>
    </row>
    <row r="33" spans="1:9" ht="12.75">
      <c r="A33" s="4"/>
      <c r="B33" s="5"/>
      <c r="C33" s="5"/>
      <c r="D33" s="46" t="s">
        <v>1052</v>
      </c>
      <c r="E33" s="5"/>
      <c r="F33" s="5"/>
      <c r="G33" s="5"/>
      <c r="H33" s="5"/>
      <c r="I33" s="6"/>
    </row>
    <row r="34" spans="1:9" ht="12.75">
      <c r="A34" s="4"/>
      <c r="B34" s="5"/>
      <c r="C34" s="5"/>
      <c r="D34" s="5"/>
      <c r="E34" s="22"/>
      <c r="F34" s="5"/>
      <c r="G34" s="5"/>
      <c r="H34" s="5"/>
      <c r="I34" s="6"/>
    </row>
    <row r="35" spans="1:9" ht="12.75">
      <c r="A35" s="4"/>
      <c r="B35" s="5"/>
      <c r="C35" s="41"/>
      <c r="D35" s="5"/>
      <c r="E35" s="5"/>
      <c r="F35" s="112"/>
      <c r="G35" s="5"/>
      <c r="H35" s="5"/>
      <c r="I35" s="6"/>
    </row>
    <row r="36" spans="1:9" ht="12.75">
      <c r="A36" s="4"/>
      <c r="B36" s="5"/>
      <c r="C36" s="5"/>
      <c r="D36" s="5"/>
      <c r="E36" s="5"/>
      <c r="F36" s="5"/>
      <c r="G36" s="5"/>
      <c r="H36" s="5"/>
      <c r="I36" s="6"/>
    </row>
    <row r="37" spans="1:9" ht="12.75">
      <c r="A37" s="4"/>
      <c r="B37" s="5"/>
      <c r="C37" s="5"/>
      <c r="D37" s="5"/>
      <c r="E37" s="112"/>
      <c r="F37" s="5"/>
      <c r="G37" s="5"/>
      <c r="H37" s="5"/>
      <c r="I37" s="6"/>
    </row>
    <row r="38" spans="1:9" ht="12.75">
      <c r="A38" s="4"/>
      <c r="B38" s="5"/>
      <c r="C38" s="5"/>
      <c r="D38" s="5"/>
      <c r="E38" s="5"/>
      <c r="F38" s="22"/>
      <c r="G38" s="5"/>
      <c r="H38" s="5"/>
      <c r="I38" s="6"/>
    </row>
    <row r="39" spans="1:9" ht="12.75">
      <c r="A39" s="4"/>
      <c r="B39" s="5"/>
      <c r="C39" s="5"/>
      <c r="D39" s="5"/>
      <c r="E39" s="5"/>
      <c r="F39" s="5"/>
      <c r="G39" s="5"/>
      <c r="H39" s="5"/>
      <c r="I39" s="6"/>
    </row>
    <row r="40" spans="1:9" ht="12.75">
      <c r="A40" s="4"/>
      <c r="B40" s="5"/>
      <c r="C40" s="5"/>
      <c r="D40" s="5"/>
      <c r="E40" s="5"/>
      <c r="F40" s="5"/>
      <c r="G40" s="5"/>
      <c r="H40" s="5"/>
      <c r="I40" s="6"/>
    </row>
    <row r="41" spans="1:9" ht="12.75">
      <c r="A41" s="4"/>
      <c r="B41" s="5"/>
      <c r="C41" s="5"/>
      <c r="D41" s="5"/>
      <c r="E41" s="5"/>
      <c r="F41" s="5"/>
      <c r="G41" s="5"/>
      <c r="H41" s="5"/>
      <c r="I41" s="6"/>
    </row>
    <row r="42" spans="1:9" ht="12.75">
      <c r="A42" s="4"/>
      <c r="B42" s="5"/>
      <c r="C42" s="5"/>
      <c r="D42" s="5"/>
      <c r="E42" s="110" t="s">
        <v>1154</v>
      </c>
      <c r="F42" s="5"/>
      <c r="G42" s="5"/>
      <c r="H42" s="5"/>
      <c r="I42" s="6"/>
    </row>
    <row r="43" spans="1:9" ht="12.75">
      <c r="A43" s="4"/>
      <c r="B43" s="5"/>
      <c r="C43" s="5" t="s">
        <v>1155</v>
      </c>
      <c r="D43" s="5"/>
      <c r="E43" s="5"/>
      <c r="F43" s="5"/>
      <c r="G43" s="5" t="s">
        <v>1156</v>
      </c>
      <c r="H43" s="5"/>
      <c r="I43" s="6"/>
    </row>
    <row r="44" spans="1:9" ht="12.75">
      <c r="A44" s="4"/>
      <c r="B44" s="5"/>
      <c r="C44" s="5"/>
      <c r="D44" s="5"/>
      <c r="E44" s="110" t="s">
        <v>87</v>
      </c>
      <c r="F44" s="5"/>
      <c r="G44" s="5"/>
      <c r="H44" s="5"/>
      <c r="I44" s="6"/>
    </row>
    <row r="45" spans="1:9" ht="12.75">
      <c r="A45" s="4"/>
      <c r="B45" s="5"/>
      <c r="C45" s="5"/>
      <c r="D45" s="5"/>
      <c r="E45" s="5"/>
      <c r="F45" s="5"/>
      <c r="G45" s="5"/>
      <c r="H45" s="5"/>
      <c r="I45" s="6"/>
    </row>
    <row r="46" spans="1:9" ht="12.75">
      <c r="A46" s="4"/>
      <c r="B46" s="5"/>
      <c r="C46" s="5"/>
      <c r="D46" s="5" t="s">
        <v>88</v>
      </c>
      <c r="E46" s="5"/>
      <c r="F46" s="5"/>
      <c r="G46" s="5"/>
      <c r="H46" s="5"/>
      <c r="I46" s="6"/>
    </row>
    <row r="47" spans="1:9" ht="12.75">
      <c r="A47" s="4"/>
      <c r="B47" s="5"/>
      <c r="C47" s="5"/>
      <c r="D47" s="5" t="s">
        <v>263</v>
      </c>
      <c r="E47" s="5"/>
      <c r="F47" s="5"/>
      <c r="G47" s="5"/>
      <c r="H47" s="5"/>
      <c r="I47" s="6"/>
    </row>
    <row r="48" spans="1:9" ht="12.75">
      <c r="A48" s="4"/>
      <c r="B48" s="5"/>
      <c r="C48" s="5"/>
      <c r="D48" s="5"/>
      <c r="E48" s="5"/>
      <c r="F48" s="5"/>
      <c r="G48" s="5"/>
      <c r="H48" s="5"/>
      <c r="I48" s="6"/>
    </row>
    <row r="49" spans="1:9" ht="12.75">
      <c r="A49" s="4"/>
      <c r="B49" s="5"/>
      <c r="C49" s="5"/>
      <c r="D49" s="5"/>
      <c r="E49" s="5"/>
      <c r="F49" s="5"/>
      <c r="G49" s="5"/>
      <c r="H49" s="5"/>
      <c r="I49" s="6"/>
    </row>
    <row r="50" spans="1:9" ht="12.75">
      <c r="A50" s="4"/>
      <c r="B50" s="5"/>
      <c r="C50" s="5"/>
      <c r="D50" s="5"/>
      <c r="E50" s="5"/>
      <c r="F50" s="5"/>
      <c r="G50" s="5"/>
      <c r="H50" s="5"/>
      <c r="I50" s="6"/>
    </row>
    <row r="51" spans="1:9" ht="12.75">
      <c r="A51" s="4"/>
      <c r="B51" s="5"/>
      <c r="C51" s="5"/>
      <c r="D51" s="46" t="s">
        <v>3</v>
      </c>
      <c r="E51" s="5"/>
      <c r="F51" s="5"/>
      <c r="G51" s="5"/>
      <c r="H51" s="5"/>
      <c r="I51" s="6"/>
    </row>
    <row r="52" spans="1:9" ht="13.5" thickBot="1">
      <c r="A52" s="7"/>
      <c r="B52" s="8"/>
      <c r="C52" s="8"/>
      <c r="D52" s="8"/>
      <c r="E52" s="8"/>
      <c r="F52" s="8"/>
      <c r="G52" s="8"/>
      <c r="H52" s="8"/>
      <c r="I52" s="9"/>
    </row>
    <row r="53" spans="1:13" ht="13.5" thickBot="1">
      <c r="A53" s="5"/>
      <c r="B53" s="5"/>
      <c r="C53" s="5"/>
      <c r="D53" s="5"/>
      <c r="E53" s="5"/>
      <c r="F53" s="5"/>
      <c r="G53" s="5"/>
      <c r="H53" s="5"/>
      <c r="I53" s="5"/>
      <c r="J53" s="5"/>
      <c r="K53" s="5"/>
      <c r="L53" s="5"/>
      <c r="M53" s="5"/>
    </row>
    <row r="54" spans="1:13" ht="12.75">
      <c r="A54" s="1"/>
      <c r="B54" s="2"/>
      <c r="C54" s="2"/>
      <c r="D54" s="2"/>
      <c r="E54" s="2"/>
      <c r="F54" s="2"/>
      <c r="G54" s="2"/>
      <c r="H54" s="2"/>
      <c r="I54" s="3"/>
      <c r="J54" s="5"/>
      <c r="K54" s="5"/>
      <c r="L54" s="5"/>
      <c r="M54" s="5"/>
    </row>
    <row r="55" spans="1:13" ht="15.75">
      <c r="A55" s="14" t="s">
        <v>123</v>
      </c>
      <c r="B55" s="5"/>
      <c r="C55" s="5"/>
      <c r="D55" s="5"/>
      <c r="E55" s="5"/>
      <c r="F55" s="5"/>
      <c r="G55" s="5"/>
      <c r="H55" s="5"/>
      <c r="I55" s="6"/>
      <c r="J55" s="5"/>
      <c r="K55" s="5"/>
      <c r="L55" s="5"/>
      <c r="M55" s="5"/>
    </row>
    <row r="56" spans="1:13" ht="15.75">
      <c r="A56" s="14" t="s">
        <v>1440</v>
      </c>
      <c r="B56" s="5"/>
      <c r="C56" s="5"/>
      <c r="D56" s="5"/>
      <c r="E56" s="5"/>
      <c r="F56" s="5"/>
      <c r="G56" s="5"/>
      <c r="H56" s="5"/>
      <c r="I56" s="6"/>
      <c r="J56" s="5"/>
      <c r="K56" s="5"/>
      <c r="L56" s="5"/>
      <c r="M56" s="5"/>
    </row>
    <row r="57" spans="1:13" ht="15.75">
      <c r="A57" s="14"/>
      <c r="B57" s="5"/>
      <c r="C57" s="5"/>
      <c r="D57" s="5"/>
      <c r="E57" s="5"/>
      <c r="F57" s="5"/>
      <c r="G57" s="5"/>
      <c r="H57" s="5"/>
      <c r="I57" s="6"/>
      <c r="J57" s="5"/>
      <c r="K57" s="5"/>
      <c r="L57" s="5"/>
      <c r="M57" s="5"/>
    </row>
    <row r="58" spans="1:13" ht="12.75">
      <c r="A58" s="4"/>
      <c r="B58" s="22" t="s">
        <v>1441</v>
      </c>
      <c r="C58" s="5"/>
      <c r="D58" s="5"/>
      <c r="E58" s="5"/>
      <c r="F58" s="5"/>
      <c r="G58" s="5"/>
      <c r="H58" s="5"/>
      <c r="I58" s="6"/>
      <c r="J58" s="5"/>
      <c r="K58" s="5"/>
      <c r="L58" s="5"/>
      <c r="M58" s="5"/>
    </row>
    <row r="59" spans="1:13" ht="12.75">
      <c r="A59" s="4"/>
      <c r="B59" s="22" t="s">
        <v>1136</v>
      </c>
      <c r="C59" s="5"/>
      <c r="D59" s="5"/>
      <c r="E59" s="5"/>
      <c r="F59" s="5"/>
      <c r="G59" s="5"/>
      <c r="H59" s="5"/>
      <c r="I59" s="6"/>
      <c r="J59" s="5"/>
      <c r="K59" s="5"/>
      <c r="L59" s="5"/>
      <c r="M59" s="5"/>
    </row>
    <row r="60" spans="1:13" ht="12.75">
      <c r="A60" s="4"/>
      <c r="B60" s="5"/>
      <c r="C60" s="5"/>
      <c r="D60" s="5"/>
      <c r="E60" s="5"/>
      <c r="F60" s="5"/>
      <c r="G60" s="5"/>
      <c r="H60" s="5"/>
      <c r="I60" s="6"/>
      <c r="J60" s="5"/>
      <c r="K60" s="5"/>
      <c r="L60" s="5"/>
      <c r="M60" s="5"/>
    </row>
    <row r="61" spans="1:13" ht="12.75">
      <c r="A61" s="4"/>
      <c r="B61" s="5"/>
      <c r="C61" s="5"/>
      <c r="D61" s="5"/>
      <c r="E61" s="22" t="s">
        <v>1137</v>
      </c>
      <c r="F61" s="5"/>
      <c r="G61" s="22" t="s">
        <v>1241</v>
      </c>
      <c r="H61" s="5"/>
      <c r="I61" s="6"/>
      <c r="J61" s="5"/>
      <c r="K61" s="5"/>
      <c r="L61" s="5"/>
      <c r="M61" s="5"/>
    </row>
    <row r="62" spans="1:13" ht="15">
      <c r="A62" s="4"/>
      <c r="B62" s="74" t="s">
        <v>893</v>
      </c>
      <c r="C62" s="32"/>
      <c r="D62" s="32" t="s">
        <v>1232</v>
      </c>
      <c r="E62" s="55">
        <f>IF('Input-Output'!D12=0,'Input-Output'!D12+0.00000001,'Input-Output'!D12)</f>
        <v>39.1</v>
      </c>
      <c r="F62" s="32" t="s">
        <v>1233</v>
      </c>
      <c r="G62" s="78">
        <f>IF(E62&lt;0,360+E62,E62)</f>
        <v>39.1</v>
      </c>
      <c r="H62" s="32" t="s">
        <v>1233</v>
      </c>
      <c r="I62" s="6"/>
      <c r="J62" s="5"/>
      <c r="K62" s="5"/>
      <c r="L62" s="5"/>
      <c r="M62" s="5"/>
    </row>
    <row r="63" spans="1:13" ht="14.25">
      <c r="A63" s="4"/>
      <c r="B63" s="32"/>
      <c r="C63" s="32"/>
      <c r="D63" s="32" t="s">
        <v>1234</v>
      </c>
      <c r="E63" s="55">
        <f>'Input-Output'!D13</f>
        <v>-122.2</v>
      </c>
      <c r="F63" s="32" t="s">
        <v>1233</v>
      </c>
      <c r="G63" s="78">
        <f>IF(E63&lt;0,360+E63,E63)</f>
        <v>237.8</v>
      </c>
      <c r="H63" s="32" t="s">
        <v>1233</v>
      </c>
      <c r="I63" s="6"/>
      <c r="J63" s="5"/>
      <c r="K63" s="5"/>
      <c r="L63" s="5"/>
      <c r="M63" s="5"/>
    </row>
    <row r="64" spans="1:13" ht="12.75">
      <c r="A64" s="4"/>
      <c r="B64" s="5"/>
      <c r="C64" s="5"/>
      <c r="D64" s="5"/>
      <c r="E64" s="5"/>
      <c r="F64" s="5"/>
      <c r="G64" s="5"/>
      <c r="H64" s="5"/>
      <c r="I64" s="6"/>
      <c r="J64" s="5"/>
      <c r="K64" s="5"/>
      <c r="L64" s="5"/>
      <c r="M64" s="5"/>
    </row>
    <row r="65" spans="1:13" ht="12.75">
      <c r="A65" s="4"/>
      <c r="B65" s="5"/>
      <c r="C65" s="5"/>
      <c r="D65" s="5"/>
      <c r="E65" s="5"/>
      <c r="F65" s="5"/>
      <c r="G65" s="5"/>
      <c r="H65" s="5"/>
      <c r="I65" s="6"/>
      <c r="J65" s="5"/>
      <c r="K65" s="5"/>
      <c r="L65" s="5"/>
      <c r="M65" s="5"/>
    </row>
    <row r="66" spans="1:13" ht="15">
      <c r="A66" s="4"/>
      <c r="B66" s="74" t="s">
        <v>1099</v>
      </c>
      <c r="C66" s="32"/>
      <c r="D66" s="32" t="s">
        <v>1232</v>
      </c>
      <c r="E66" s="55">
        <f>'Input-Output'!D17</f>
        <v>38.3</v>
      </c>
      <c r="F66" s="32" t="s">
        <v>1233</v>
      </c>
      <c r="G66" s="78">
        <f>IF(E66&lt;0,360+E66,E66)</f>
        <v>38.3</v>
      </c>
      <c r="H66" s="32" t="s">
        <v>1233</v>
      </c>
      <c r="I66" s="6"/>
      <c r="J66" s="5"/>
      <c r="K66" s="5"/>
      <c r="L66" s="5"/>
      <c r="M66" s="5"/>
    </row>
    <row r="67" spans="1:13" ht="14.25">
      <c r="A67" s="4"/>
      <c r="B67" s="32"/>
      <c r="C67" s="32"/>
      <c r="D67" s="32" t="s">
        <v>1234</v>
      </c>
      <c r="E67" s="55">
        <f>'Input-Output'!D18</f>
        <v>-122.5</v>
      </c>
      <c r="F67" s="32" t="s">
        <v>1233</v>
      </c>
      <c r="G67" s="78">
        <f>IF(E67&lt;0,360+E67,E67)</f>
        <v>237.5</v>
      </c>
      <c r="H67" s="32" t="s">
        <v>1233</v>
      </c>
      <c r="I67" s="6"/>
      <c r="J67" s="5"/>
      <c r="K67" s="5"/>
      <c r="L67" s="5"/>
      <c r="M67" s="5"/>
    </row>
    <row r="68" spans="1:13" ht="13.5" thickBot="1">
      <c r="A68" s="4"/>
      <c r="B68" s="5"/>
      <c r="C68" s="5"/>
      <c r="D68" s="5"/>
      <c r="E68" s="5"/>
      <c r="F68" s="5"/>
      <c r="G68" s="5"/>
      <c r="H68" s="5"/>
      <c r="I68" s="6"/>
      <c r="J68" s="5"/>
      <c r="K68" s="5"/>
      <c r="L68" s="5"/>
      <c r="M68" s="5"/>
    </row>
    <row r="69" spans="1:13" ht="12.75">
      <c r="A69" s="4"/>
      <c r="B69" s="5"/>
      <c r="C69" s="5"/>
      <c r="D69" s="1" t="s">
        <v>1098</v>
      </c>
      <c r="E69" s="2"/>
      <c r="F69" s="2"/>
      <c r="G69" s="2"/>
      <c r="H69" s="2"/>
      <c r="I69" s="3"/>
      <c r="J69" s="5"/>
      <c r="K69" s="5"/>
      <c r="L69" s="5"/>
      <c r="M69" s="5"/>
    </row>
    <row r="70" spans="1:13" ht="12.75">
      <c r="A70" s="4"/>
      <c r="B70" s="5"/>
      <c r="C70" s="5"/>
      <c r="D70" s="4"/>
      <c r="E70" s="5"/>
      <c r="F70" s="5"/>
      <c r="G70" s="5"/>
      <c r="H70" s="5"/>
      <c r="I70" s="6"/>
      <c r="J70" s="5"/>
      <c r="K70" s="5"/>
      <c r="L70" s="5"/>
      <c r="M70" s="5"/>
    </row>
    <row r="71" spans="1:13" ht="12.75">
      <c r="A71" s="4"/>
      <c r="B71" s="5"/>
      <c r="C71" s="5"/>
      <c r="D71" s="4"/>
      <c r="E71" s="5" t="s">
        <v>34</v>
      </c>
      <c r="F71" s="5"/>
      <c r="G71" s="5"/>
      <c r="H71" s="5"/>
      <c r="I71" s="6"/>
      <c r="J71" s="5"/>
      <c r="K71" s="5"/>
      <c r="L71" s="5"/>
      <c r="M71" s="5"/>
    </row>
    <row r="72" spans="1:13" ht="12.75">
      <c r="A72" s="4"/>
      <c r="B72" s="5"/>
      <c r="C72" s="5"/>
      <c r="D72" s="4"/>
      <c r="E72" s="5" t="s">
        <v>443</v>
      </c>
      <c r="F72" s="5"/>
      <c r="G72" s="5"/>
      <c r="H72" s="5"/>
      <c r="I72" s="6"/>
      <c r="J72" s="5"/>
      <c r="K72" s="5"/>
      <c r="L72" s="5"/>
      <c r="M72" s="5"/>
    </row>
    <row r="73" spans="1:13" ht="12.75">
      <c r="A73" s="4"/>
      <c r="B73" s="5"/>
      <c r="C73" s="5"/>
      <c r="D73" s="4"/>
      <c r="E73" s="5" t="s">
        <v>1394</v>
      </c>
      <c r="F73" s="5"/>
      <c r="G73" s="5"/>
      <c r="H73" s="5"/>
      <c r="I73" s="6"/>
      <c r="J73" s="5"/>
      <c r="K73" s="5"/>
      <c r="L73" s="5"/>
      <c r="M73" s="5"/>
    </row>
    <row r="74" spans="1:13" ht="12.75">
      <c r="A74" s="4"/>
      <c r="B74" s="5"/>
      <c r="C74" s="5"/>
      <c r="D74" s="4"/>
      <c r="E74" s="5" t="s">
        <v>1100</v>
      </c>
      <c r="F74" s="5"/>
      <c r="G74" s="5"/>
      <c r="H74" s="5"/>
      <c r="I74" s="6"/>
      <c r="J74" s="5"/>
      <c r="K74" s="5"/>
      <c r="L74" s="5"/>
      <c r="M74" s="5"/>
    </row>
    <row r="75" spans="1:13" ht="12.75">
      <c r="A75" s="4"/>
      <c r="B75" s="5"/>
      <c r="C75" s="5"/>
      <c r="D75" s="4"/>
      <c r="E75" s="5"/>
      <c r="F75" s="5"/>
      <c r="G75" s="5"/>
      <c r="H75" s="5"/>
      <c r="I75" s="6"/>
      <c r="J75" s="5"/>
      <c r="K75" s="5"/>
      <c r="L75" s="5"/>
      <c r="M75" s="5"/>
    </row>
    <row r="76" spans="1:13" ht="12.75">
      <c r="A76" s="4"/>
      <c r="B76" s="5"/>
      <c r="C76" s="5"/>
      <c r="D76" s="4"/>
      <c r="E76" s="5" t="s">
        <v>544</v>
      </c>
      <c r="F76" s="5"/>
      <c r="G76" s="5"/>
      <c r="H76" s="5"/>
      <c r="I76" s="326" t="b">
        <f>IF(ABS(E63)&lt;=10,TRUE,FALSE)</f>
        <v>0</v>
      </c>
      <c r="J76" s="5"/>
      <c r="K76" s="5"/>
      <c r="L76" s="5"/>
      <c r="M76" s="5"/>
    </row>
    <row r="77" spans="1:13" ht="12.75">
      <c r="A77" s="4"/>
      <c r="B77" s="5"/>
      <c r="C77" s="5"/>
      <c r="D77" s="4"/>
      <c r="E77" s="5"/>
      <c r="F77" s="5"/>
      <c r="G77" s="5"/>
      <c r="H77" s="5"/>
      <c r="I77" s="6"/>
      <c r="J77" s="5"/>
      <c r="K77" s="5"/>
      <c r="L77" s="5"/>
      <c r="M77" s="5"/>
    </row>
    <row r="78" spans="1:13" ht="12.75">
      <c r="A78" s="4"/>
      <c r="B78" s="5"/>
      <c r="C78" s="5"/>
      <c r="D78" s="4"/>
      <c r="E78" s="5" t="s">
        <v>1391</v>
      </c>
      <c r="F78" s="5"/>
      <c r="G78" s="5"/>
      <c r="H78" s="5"/>
      <c r="I78" s="6"/>
      <c r="J78" s="5"/>
      <c r="K78" s="5"/>
      <c r="L78" s="5"/>
      <c r="M78" s="5"/>
    </row>
    <row r="79" spans="1:13" ht="12.75">
      <c r="A79" s="4"/>
      <c r="B79" s="5"/>
      <c r="C79" s="5"/>
      <c r="D79" s="4"/>
      <c r="E79" s="5" t="s">
        <v>1297</v>
      </c>
      <c r="F79" s="5"/>
      <c r="G79" s="5"/>
      <c r="H79" s="5"/>
      <c r="I79" s="6"/>
      <c r="J79" s="5"/>
      <c r="K79" s="5"/>
      <c r="L79" s="5"/>
      <c r="M79" s="5"/>
    </row>
    <row r="80" spans="1:13" ht="12.75">
      <c r="A80" s="4"/>
      <c r="B80" s="5"/>
      <c r="C80" s="5"/>
      <c r="D80" s="4"/>
      <c r="E80" s="5"/>
      <c r="F80" s="5"/>
      <c r="G80" s="5"/>
      <c r="H80" s="5"/>
      <c r="I80" s="6"/>
      <c r="J80" s="5"/>
      <c r="K80" s="5"/>
      <c r="L80" s="5"/>
      <c r="M80" s="5"/>
    </row>
    <row r="81" spans="1:13" ht="12.75">
      <c r="A81" s="4"/>
      <c r="B81" s="5"/>
      <c r="C81" s="5"/>
      <c r="D81" s="4"/>
      <c r="E81" s="131" t="s">
        <v>1576</v>
      </c>
      <c r="F81" s="5"/>
      <c r="G81" s="5"/>
      <c r="H81" s="5"/>
      <c r="I81" s="6"/>
      <c r="J81" s="5"/>
      <c r="K81" s="5"/>
      <c r="L81" s="5"/>
      <c r="M81" s="5"/>
    </row>
    <row r="82" spans="1:13" ht="12.75">
      <c r="A82" s="4"/>
      <c r="B82" s="5"/>
      <c r="C82" s="5"/>
      <c r="D82" s="4"/>
      <c r="E82" s="5" t="s">
        <v>1208</v>
      </c>
      <c r="F82" s="5"/>
      <c r="G82" s="5"/>
      <c r="H82" s="5"/>
      <c r="I82" s="327" t="b">
        <f>IF(ABS(E63-E67)&lt;=10,TRUE,FALSE)</f>
        <v>1</v>
      </c>
      <c r="J82" s="5"/>
      <c r="K82" s="5"/>
      <c r="L82" s="5"/>
      <c r="M82" s="5"/>
    </row>
    <row r="83" spans="1:13" ht="12.75">
      <c r="A83" s="4"/>
      <c r="B83" s="5"/>
      <c r="C83" s="5"/>
      <c r="D83" s="4"/>
      <c r="E83" s="5"/>
      <c r="F83" s="5"/>
      <c r="G83" s="5"/>
      <c r="H83" s="98"/>
      <c r="I83" s="6"/>
      <c r="J83" s="5"/>
      <c r="K83" s="5"/>
      <c r="L83" s="5"/>
      <c r="M83" s="5"/>
    </row>
    <row r="84" spans="1:13" ht="12.75">
      <c r="A84" s="4"/>
      <c r="B84" s="5"/>
      <c r="C84" s="5"/>
      <c r="D84" s="4"/>
      <c r="E84" s="5"/>
      <c r="F84" s="5"/>
      <c r="G84" s="5"/>
      <c r="H84" s="98"/>
      <c r="I84" s="6"/>
      <c r="J84" s="5"/>
      <c r="K84" s="5"/>
      <c r="L84" s="5"/>
      <c r="M84" s="5"/>
    </row>
    <row r="85" spans="1:13" ht="12.75">
      <c r="A85" s="4"/>
      <c r="B85" s="5"/>
      <c r="C85" s="5"/>
      <c r="D85" s="4"/>
      <c r="E85" s="5" t="s">
        <v>545</v>
      </c>
      <c r="F85" s="5"/>
      <c r="G85" s="5"/>
      <c r="H85" s="98"/>
      <c r="I85" s="6"/>
      <c r="J85" s="5"/>
      <c r="K85" s="5"/>
      <c r="L85" s="5"/>
      <c r="M85" s="5"/>
    </row>
    <row r="86" spans="1:13" ht="12.75">
      <c r="A86" s="4"/>
      <c r="B86" s="5"/>
      <c r="C86" s="5"/>
      <c r="D86" s="4"/>
      <c r="E86" s="5" t="s">
        <v>1227</v>
      </c>
      <c r="F86" s="5"/>
      <c r="G86" s="5"/>
      <c r="H86" s="98"/>
      <c r="I86" s="6"/>
      <c r="J86" s="5"/>
      <c r="K86" s="5"/>
      <c r="L86" s="5"/>
      <c r="M86" s="5"/>
    </row>
    <row r="87" spans="1:13" ht="12.75">
      <c r="A87" s="4"/>
      <c r="B87" s="5"/>
      <c r="C87" s="5"/>
      <c r="D87" s="4"/>
      <c r="E87" s="5" t="s">
        <v>1228</v>
      </c>
      <c r="F87" s="5"/>
      <c r="G87" s="5"/>
      <c r="H87" s="98"/>
      <c r="I87" s="6"/>
      <c r="J87" s="5"/>
      <c r="K87" s="5"/>
      <c r="L87" s="5"/>
      <c r="M87" s="5"/>
    </row>
    <row r="88" spans="1:13" ht="12.75">
      <c r="A88" s="4"/>
      <c r="B88" s="5"/>
      <c r="C88" s="5"/>
      <c r="D88" s="4"/>
      <c r="E88" s="5" t="s">
        <v>1229</v>
      </c>
      <c r="F88" s="5"/>
      <c r="G88" s="5"/>
      <c r="H88" s="98"/>
      <c r="I88" s="6"/>
      <c r="J88" s="5"/>
      <c r="K88" s="5"/>
      <c r="L88" s="5"/>
      <c r="M88" s="5"/>
    </row>
    <row r="89" spans="1:13" ht="12.75">
      <c r="A89" s="4"/>
      <c r="B89" s="5"/>
      <c r="C89" s="5"/>
      <c r="D89" s="4"/>
      <c r="E89" s="5"/>
      <c r="F89" s="5"/>
      <c r="G89" s="5"/>
      <c r="H89" s="98"/>
      <c r="I89" s="6"/>
      <c r="J89" s="5"/>
      <c r="K89" s="5"/>
      <c r="L89" s="5"/>
      <c r="M89" s="5"/>
    </row>
    <row r="90" spans="1:13" ht="12.75">
      <c r="A90" s="4"/>
      <c r="B90" s="5"/>
      <c r="C90" s="5"/>
      <c r="D90" s="4"/>
      <c r="E90" s="5" t="s">
        <v>466</v>
      </c>
      <c r="F90" s="5"/>
      <c r="G90" s="5"/>
      <c r="H90" s="5"/>
      <c r="I90" s="327" t="b">
        <f>IF(180-ABS(E63)&lt;=10,TRUE,FALSE)</f>
        <v>0</v>
      </c>
      <c r="J90" s="5"/>
      <c r="K90" s="5"/>
      <c r="L90" s="5"/>
      <c r="M90" s="5"/>
    </row>
    <row r="91" spans="1:13" ht="12.75">
      <c r="A91" s="4"/>
      <c r="B91" s="5"/>
      <c r="C91" s="5"/>
      <c r="D91" s="4"/>
      <c r="E91" s="5"/>
      <c r="F91" s="5"/>
      <c r="G91" s="5"/>
      <c r="H91" s="5"/>
      <c r="I91" s="328"/>
      <c r="J91" s="5"/>
      <c r="K91" s="5"/>
      <c r="L91" s="5"/>
      <c r="M91" s="5"/>
    </row>
    <row r="92" spans="1:13" ht="12.75">
      <c r="A92" s="4"/>
      <c r="B92" s="5"/>
      <c r="C92" s="5"/>
      <c r="D92" s="4"/>
      <c r="E92" s="5" t="s">
        <v>1391</v>
      </c>
      <c r="F92" s="5"/>
      <c r="G92" s="5"/>
      <c r="H92" s="5"/>
      <c r="I92" s="6"/>
      <c r="J92" s="5"/>
      <c r="K92" s="5"/>
      <c r="L92" s="5"/>
      <c r="M92" s="5"/>
    </row>
    <row r="93" spans="1:13" ht="12.75">
      <c r="A93" s="4"/>
      <c r="B93" s="5"/>
      <c r="C93" s="5"/>
      <c r="D93" s="4"/>
      <c r="E93" s="5" t="s">
        <v>1297</v>
      </c>
      <c r="F93" s="5"/>
      <c r="G93" s="5"/>
      <c r="H93" s="5"/>
      <c r="I93" s="6"/>
      <c r="J93" s="5"/>
      <c r="K93" s="5"/>
      <c r="L93" s="5"/>
      <c r="M93" s="5"/>
    </row>
    <row r="94" spans="1:13" ht="12.75">
      <c r="A94" s="4"/>
      <c r="B94" s="5"/>
      <c r="C94" s="5"/>
      <c r="D94" s="4"/>
      <c r="E94" s="5"/>
      <c r="F94" s="5"/>
      <c r="G94" s="5"/>
      <c r="H94" s="5"/>
      <c r="I94" s="6"/>
      <c r="J94" s="5"/>
      <c r="K94" s="5"/>
      <c r="L94" s="5"/>
      <c r="M94" s="5"/>
    </row>
    <row r="95" spans="1:13" ht="12.75">
      <c r="A95" s="4"/>
      <c r="B95" s="5"/>
      <c r="C95" s="5"/>
      <c r="D95" s="4"/>
      <c r="E95" s="131" t="s">
        <v>1575</v>
      </c>
      <c r="F95" s="5"/>
      <c r="G95" s="5"/>
      <c r="H95" s="5"/>
      <c r="I95" s="6"/>
      <c r="J95" s="5"/>
      <c r="K95" s="5"/>
      <c r="L95" s="5"/>
      <c r="M95" s="5"/>
    </row>
    <row r="96" spans="1:13" ht="12.75">
      <c r="A96" s="4"/>
      <c r="B96" s="5"/>
      <c r="C96" s="5"/>
      <c r="D96" s="4"/>
      <c r="E96" s="5" t="s">
        <v>1208</v>
      </c>
      <c r="F96" s="5"/>
      <c r="G96" s="5"/>
      <c r="H96" s="5"/>
      <c r="I96" s="327" t="b">
        <f>IF(ABS(G63-G67)&lt;=10,TRUE,FALSE)</f>
        <v>1</v>
      </c>
      <c r="J96" s="5"/>
      <c r="K96" s="5"/>
      <c r="L96" s="5"/>
      <c r="M96" s="5"/>
    </row>
    <row r="97" spans="1:13" ht="12.75">
      <c r="A97" s="4"/>
      <c r="B97" s="5"/>
      <c r="C97" s="5"/>
      <c r="D97" s="4"/>
      <c r="E97" s="5"/>
      <c r="F97" s="5"/>
      <c r="G97" s="5"/>
      <c r="H97" s="5"/>
      <c r="I97" s="328"/>
      <c r="J97" s="5"/>
      <c r="K97" s="5"/>
      <c r="L97" s="5"/>
      <c r="M97" s="5"/>
    </row>
    <row r="98" spans="1:13" ht="12.75">
      <c r="A98" s="4"/>
      <c r="B98" s="5"/>
      <c r="C98" s="5"/>
      <c r="D98" s="4"/>
      <c r="E98" s="5" t="s">
        <v>1574</v>
      </c>
      <c r="F98" s="5"/>
      <c r="G98" s="5"/>
      <c r="H98" s="5"/>
      <c r="I98" s="328"/>
      <c r="J98" s="5"/>
      <c r="K98" s="5"/>
      <c r="L98" s="5"/>
      <c r="M98" s="5"/>
    </row>
    <row r="99" spans="1:13" ht="12.75">
      <c r="A99" s="4"/>
      <c r="B99" s="5"/>
      <c r="C99" s="5"/>
      <c r="D99" s="4"/>
      <c r="E99" s="5" t="s">
        <v>1456</v>
      </c>
      <c r="F99" s="5"/>
      <c r="G99" s="5"/>
      <c r="H99" s="5"/>
      <c r="I99" s="328"/>
      <c r="J99" s="5"/>
      <c r="K99" s="5"/>
      <c r="L99" s="5"/>
      <c r="M99" s="5"/>
    </row>
    <row r="100" spans="1:13" ht="13.5" thickBot="1">
      <c r="A100" s="4"/>
      <c r="B100" s="5"/>
      <c r="C100" s="5"/>
      <c r="D100" s="7"/>
      <c r="E100" s="8"/>
      <c r="F100" s="8"/>
      <c r="G100" s="8"/>
      <c r="H100" s="8"/>
      <c r="I100" s="329"/>
      <c r="J100" s="5"/>
      <c r="K100" s="5"/>
      <c r="L100" s="5"/>
      <c r="M100" s="5"/>
    </row>
    <row r="101" spans="1:13" ht="12.75">
      <c r="A101" s="4"/>
      <c r="B101" s="5"/>
      <c r="C101" s="5"/>
      <c r="D101" s="5"/>
      <c r="E101" s="5"/>
      <c r="F101" s="5"/>
      <c r="G101" s="5"/>
      <c r="H101" s="5"/>
      <c r="I101" s="6"/>
      <c r="J101" s="5"/>
      <c r="K101" s="5"/>
      <c r="L101" s="5"/>
      <c r="M101" s="5"/>
    </row>
    <row r="102" spans="1:13" ht="15">
      <c r="A102" s="4"/>
      <c r="B102" s="77" t="s">
        <v>1577</v>
      </c>
      <c r="C102" s="34"/>
      <c r="D102" s="32" t="s">
        <v>1232</v>
      </c>
      <c r="E102" s="55">
        <f>IF('Input-Output'!D23="","",'Input-Output'!D23)</f>
        <v>38</v>
      </c>
      <c r="F102" s="32" t="s">
        <v>1233</v>
      </c>
      <c r="G102" s="78">
        <f>IF(AND(E102&lt;&gt;"",E103&lt;&gt;"")=FALSE,"",IF(E102&lt;0,360+E102,E102))</f>
        <v>38</v>
      </c>
      <c r="H102" s="32" t="s">
        <v>1233</v>
      </c>
      <c r="I102" s="6"/>
      <c r="J102" s="5"/>
      <c r="K102" s="5"/>
      <c r="L102" s="5"/>
      <c r="M102" s="5"/>
    </row>
    <row r="103" spans="1:13" ht="14.25">
      <c r="A103" s="4"/>
      <c r="B103" s="5"/>
      <c r="C103" s="32"/>
      <c r="D103" s="32" t="s">
        <v>1234</v>
      </c>
      <c r="E103" s="55">
        <f>IF('Input-Output'!D24="","",'Input-Output'!D24)</f>
        <v>-122.15</v>
      </c>
      <c r="F103" s="32" t="s">
        <v>1233</v>
      </c>
      <c r="G103" s="78">
        <f>IF(AND(E102&lt;&gt;"",E103&lt;&gt;"")=FALSE,"",IF(E103&lt;0,360+E103,E103))</f>
        <v>237.85</v>
      </c>
      <c r="H103" s="32" t="s">
        <v>1233</v>
      </c>
      <c r="I103" s="6"/>
      <c r="J103" s="5"/>
      <c r="K103" s="5"/>
      <c r="L103" s="5"/>
      <c r="M103" s="5"/>
    </row>
    <row r="104" spans="1:13" ht="15" thickBot="1">
      <c r="A104" s="330"/>
      <c r="B104" s="52"/>
      <c r="C104" s="34"/>
      <c r="D104" s="34"/>
      <c r="E104" s="75"/>
      <c r="F104" s="34"/>
      <c r="G104" s="79"/>
      <c r="H104" s="32"/>
      <c r="I104" s="6"/>
      <c r="J104" s="5"/>
      <c r="K104" s="5"/>
      <c r="L104" s="5"/>
      <c r="M104" s="5"/>
    </row>
    <row r="105" spans="1:13" ht="14.25">
      <c r="A105" s="330"/>
      <c r="B105" s="52"/>
      <c r="C105" s="34"/>
      <c r="D105" s="1" t="s">
        <v>484</v>
      </c>
      <c r="E105" s="2"/>
      <c r="F105" s="2"/>
      <c r="G105" s="2"/>
      <c r="H105" s="2"/>
      <c r="I105" s="3"/>
      <c r="J105" s="5"/>
      <c r="K105" s="5"/>
      <c r="L105" s="5"/>
      <c r="M105" s="5"/>
    </row>
    <row r="106" spans="1:13" ht="14.25">
      <c r="A106" s="330"/>
      <c r="B106" s="52"/>
      <c r="C106" s="34"/>
      <c r="D106" s="4"/>
      <c r="E106" s="5"/>
      <c r="F106" s="5"/>
      <c r="G106" s="5"/>
      <c r="H106" s="5"/>
      <c r="I106" s="6"/>
      <c r="J106" s="5"/>
      <c r="K106" s="5"/>
      <c r="L106" s="5"/>
      <c r="M106" s="5"/>
    </row>
    <row r="107" spans="1:13" ht="14.25">
      <c r="A107" s="330"/>
      <c r="B107" s="52"/>
      <c r="C107" s="34"/>
      <c r="D107" s="4"/>
      <c r="E107" s="5" t="s">
        <v>585</v>
      </c>
      <c r="F107" s="5"/>
      <c r="G107" s="5"/>
      <c r="H107" s="5"/>
      <c r="I107" s="6"/>
      <c r="J107" s="5"/>
      <c r="K107" s="5"/>
      <c r="L107" s="5"/>
      <c r="M107" s="5"/>
    </row>
    <row r="108" spans="1:13" ht="14.25">
      <c r="A108" s="330"/>
      <c r="B108" s="52"/>
      <c r="C108" s="34"/>
      <c r="D108" s="4"/>
      <c r="E108" s="5" t="s">
        <v>467</v>
      </c>
      <c r="F108" s="5"/>
      <c r="G108" s="5"/>
      <c r="H108" s="5"/>
      <c r="I108" s="6"/>
      <c r="J108" s="5"/>
      <c r="K108" s="5"/>
      <c r="L108" s="5"/>
      <c r="M108" s="5"/>
    </row>
    <row r="109" spans="1:13" ht="14.25">
      <c r="A109" s="330"/>
      <c r="B109" s="52"/>
      <c r="C109" s="34"/>
      <c r="D109" s="4"/>
      <c r="E109" s="5" t="s">
        <v>581</v>
      </c>
      <c r="F109" s="5"/>
      <c r="G109" s="5"/>
      <c r="H109" s="5"/>
      <c r="I109" s="6"/>
      <c r="J109" s="5"/>
      <c r="K109" s="5"/>
      <c r="L109" s="5"/>
      <c r="M109" s="5"/>
    </row>
    <row r="110" spans="1:13" ht="14.25">
      <c r="A110" s="330"/>
      <c r="B110" s="52"/>
      <c r="C110" s="34"/>
      <c r="D110" s="4"/>
      <c r="E110" s="5" t="s">
        <v>483</v>
      </c>
      <c r="F110" s="5"/>
      <c r="G110" s="5"/>
      <c r="H110" s="5"/>
      <c r="I110" s="6"/>
      <c r="J110" s="5"/>
      <c r="K110" s="5"/>
      <c r="L110" s="5"/>
      <c r="M110" s="5"/>
    </row>
    <row r="111" spans="1:13" ht="14.25">
      <c r="A111" s="330"/>
      <c r="B111" s="52"/>
      <c r="C111" s="34"/>
      <c r="D111" s="4"/>
      <c r="E111" s="5"/>
      <c r="F111" s="5"/>
      <c r="G111" s="5"/>
      <c r="H111" s="5"/>
      <c r="I111" s="6"/>
      <c r="J111" s="5"/>
      <c r="K111" s="5"/>
      <c r="L111" s="5"/>
      <c r="M111" s="5"/>
    </row>
    <row r="112" spans="1:13" ht="14.25">
      <c r="A112" s="330"/>
      <c r="B112" s="52"/>
      <c r="C112" s="34"/>
      <c r="D112" s="4"/>
      <c r="E112" s="5" t="s">
        <v>468</v>
      </c>
      <c r="F112" s="5"/>
      <c r="G112" s="5"/>
      <c r="H112" s="5"/>
      <c r="I112" s="326" t="b">
        <f>IF(E102="","",IF(ABS(E67)&lt;=5,TRUE,FALSE))</f>
        <v>0</v>
      </c>
      <c r="J112" s="5"/>
      <c r="K112" s="5"/>
      <c r="L112" s="5"/>
      <c r="M112" s="5"/>
    </row>
    <row r="113" spans="1:13" ht="14.25">
      <c r="A113" s="330"/>
      <c r="B113" s="52"/>
      <c r="C113" s="34"/>
      <c r="D113" s="4"/>
      <c r="E113" s="5"/>
      <c r="F113" s="5"/>
      <c r="G113" s="5"/>
      <c r="H113" s="5"/>
      <c r="I113" s="6"/>
      <c r="J113" s="5"/>
      <c r="K113" s="5"/>
      <c r="L113" s="5"/>
      <c r="M113" s="5"/>
    </row>
    <row r="114" spans="1:13" ht="14.25">
      <c r="A114" s="330"/>
      <c r="B114" s="52"/>
      <c r="C114" s="34"/>
      <c r="D114" s="4"/>
      <c r="E114" s="5" t="s">
        <v>1391</v>
      </c>
      <c r="F114" s="5"/>
      <c r="G114" s="5"/>
      <c r="H114" s="5"/>
      <c r="I114" s="6"/>
      <c r="J114" s="5"/>
      <c r="K114" s="5"/>
      <c r="L114" s="5"/>
      <c r="M114" s="5"/>
    </row>
    <row r="115" spans="1:13" ht="14.25">
      <c r="A115" s="330"/>
      <c r="B115" s="52"/>
      <c r="C115" s="34"/>
      <c r="D115" s="4"/>
      <c r="E115" s="5" t="s">
        <v>485</v>
      </c>
      <c r="F115" s="5"/>
      <c r="G115" s="5"/>
      <c r="H115" s="5"/>
      <c r="I115" s="6"/>
      <c r="J115" s="5"/>
      <c r="K115" s="5"/>
      <c r="L115" s="5"/>
      <c r="M115" s="5"/>
    </row>
    <row r="116" spans="1:13" ht="14.25">
      <c r="A116" s="330"/>
      <c r="B116" s="52"/>
      <c r="C116" s="34"/>
      <c r="D116" s="4"/>
      <c r="E116" s="5"/>
      <c r="F116" s="5"/>
      <c r="G116" s="5"/>
      <c r="H116" s="5"/>
      <c r="I116" s="6"/>
      <c r="J116" s="5"/>
      <c r="K116" s="5"/>
      <c r="L116" s="5"/>
      <c r="M116" s="5"/>
    </row>
    <row r="117" spans="1:13" ht="14.25">
      <c r="A117" s="330"/>
      <c r="B117" s="52"/>
      <c r="C117" s="34"/>
      <c r="D117" s="4"/>
      <c r="E117" s="131" t="s">
        <v>1576</v>
      </c>
      <c r="F117" s="5"/>
      <c r="G117" s="5"/>
      <c r="H117" s="5"/>
      <c r="I117" s="6"/>
      <c r="J117" s="5"/>
      <c r="K117" s="5"/>
      <c r="L117" s="5"/>
      <c r="M117" s="5"/>
    </row>
    <row r="118" spans="1:13" ht="14.25">
      <c r="A118" s="330"/>
      <c r="B118" s="52"/>
      <c r="C118" s="34"/>
      <c r="D118" s="4"/>
      <c r="E118" s="5" t="s">
        <v>486</v>
      </c>
      <c r="F118" s="5"/>
      <c r="G118" s="5"/>
      <c r="H118" s="5"/>
      <c r="I118" s="327" t="b">
        <f>IF(E102="","",IF(ABS(E67-E103)&lt;=5,TRUE,FALSE))</f>
        <v>1</v>
      </c>
      <c r="J118" s="5"/>
      <c r="K118" s="5"/>
      <c r="L118" s="5"/>
      <c r="M118" s="5"/>
    </row>
    <row r="119" spans="1:13" ht="14.25">
      <c r="A119" s="330"/>
      <c r="B119" s="52"/>
      <c r="C119" s="34"/>
      <c r="D119" s="4"/>
      <c r="E119" s="5"/>
      <c r="F119" s="5"/>
      <c r="G119" s="5"/>
      <c r="H119" s="98"/>
      <c r="I119" s="6"/>
      <c r="J119" s="5"/>
      <c r="K119" s="5"/>
      <c r="L119" s="5"/>
      <c r="M119" s="5"/>
    </row>
    <row r="120" spans="1:13" ht="14.25">
      <c r="A120" s="330"/>
      <c r="B120" s="52"/>
      <c r="C120" s="34"/>
      <c r="D120" s="4"/>
      <c r="E120" s="5"/>
      <c r="F120" s="5"/>
      <c r="G120" s="5"/>
      <c r="H120" s="98"/>
      <c r="I120" s="6"/>
      <c r="J120" s="5"/>
      <c r="K120" s="5"/>
      <c r="L120" s="5"/>
      <c r="M120" s="5"/>
    </row>
    <row r="121" spans="1:13" ht="14.25">
      <c r="A121" s="330"/>
      <c r="B121" s="52"/>
      <c r="C121" s="34"/>
      <c r="D121" s="4"/>
      <c r="E121" s="5" t="s">
        <v>469</v>
      </c>
      <c r="F121" s="5"/>
      <c r="G121" s="5"/>
      <c r="H121" s="98"/>
      <c r="I121" s="6"/>
      <c r="J121" s="5"/>
      <c r="K121" s="5"/>
      <c r="L121" s="5"/>
      <c r="M121" s="5"/>
    </row>
    <row r="122" spans="1:13" ht="14.25">
      <c r="A122" s="330"/>
      <c r="B122" s="52"/>
      <c r="C122" s="34"/>
      <c r="D122" s="4"/>
      <c r="E122" s="5" t="s">
        <v>1413</v>
      </c>
      <c r="F122" s="5"/>
      <c r="G122" s="5"/>
      <c r="H122" s="98"/>
      <c r="I122" s="6"/>
      <c r="J122" s="5"/>
      <c r="K122" s="5"/>
      <c r="L122" s="5"/>
      <c r="M122" s="5"/>
    </row>
    <row r="123" spans="1:13" ht="14.25">
      <c r="A123" s="330"/>
      <c r="B123" s="52"/>
      <c r="C123" s="34"/>
      <c r="D123" s="4"/>
      <c r="E123" s="5" t="s">
        <v>1637</v>
      </c>
      <c r="F123" s="5"/>
      <c r="G123" s="5"/>
      <c r="H123" s="98"/>
      <c r="I123" s="6"/>
      <c r="J123" s="5"/>
      <c r="K123" s="5"/>
      <c r="L123" s="5"/>
      <c r="M123" s="5"/>
    </row>
    <row r="124" spans="1:13" ht="14.25">
      <c r="A124" s="330"/>
      <c r="B124" s="52"/>
      <c r="C124" s="34"/>
      <c r="D124" s="4"/>
      <c r="E124" s="5" t="s">
        <v>1528</v>
      </c>
      <c r="F124" s="5"/>
      <c r="G124" s="5"/>
      <c r="H124" s="98"/>
      <c r="I124" s="6"/>
      <c r="J124" s="5"/>
      <c r="K124" s="5"/>
      <c r="L124" s="5"/>
      <c r="M124" s="5"/>
    </row>
    <row r="125" spans="1:13" ht="14.25">
      <c r="A125" s="330"/>
      <c r="B125" s="52"/>
      <c r="C125" s="34"/>
      <c r="D125" s="4"/>
      <c r="E125" s="5"/>
      <c r="F125" s="5"/>
      <c r="G125" s="5"/>
      <c r="H125" s="98"/>
      <c r="I125" s="6"/>
      <c r="J125" s="5"/>
      <c r="K125" s="5"/>
      <c r="L125" s="5"/>
      <c r="M125" s="5"/>
    </row>
    <row r="126" spans="1:13" ht="14.25">
      <c r="A126" s="330"/>
      <c r="B126" s="52"/>
      <c r="C126" s="34"/>
      <c r="D126" s="4"/>
      <c r="E126" s="5" t="s">
        <v>470</v>
      </c>
      <c r="F126" s="5"/>
      <c r="G126" s="5"/>
      <c r="H126" s="5"/>
      <c r="I126" s="327" t="b">
        <f>IF(E102="","",IF(180-ABS(E67)&lt;=5,TRUE,FALSE))</f>
        <v>0</v>
      </c>
      <c r="J126" s="5"/>
      <c r="K126" s="5"/>
      <c r="L126" s="5"/>
      <c r="M126" s="5"/>
    </row>
    <row r="127" spans="1:13" ht="14.25">
      <c r="A127" s="330"/>
      <c r="B127" s="52"/>
      <c r="C127" s="34"/>
      <c r="D127" s="4"/>
      <c r="E127" s="5"/>
      <c r="F127" s="5"/>
      <c r="G127" s="5"/>
      <c r="H127" s="5"/>
      <c r="I127" s="328"/>
      <c r="J127" s="5"/>
      <c r="K127" s="5"/>
      <c r="L127" s="5"/>
      <c r="M127" s="5"/>
    </row>
    <row r="128" spans="1:13" ht="14.25">
      <c r="A128" s="330"/>
      <c r="B128" s="52"/>
      <c r="C128" s="34"/>
      <c r="D128" s="4"/>
      <c r="E128" s="5" t="s">
        <v>1391</v>
      </c>
      <c r="F128" s="5"/>
      <c r="G128" s="5"/>
      <c r="H128" s="5"/>
      <c r="I128" s="6"/>
      <c r="J128" s="5"/>
      <c r="K128" s="5"/>
      <c r="L128" s="5"/>
      <c r="M128" s="5"/>
    </row>
    <row r="129" spans="1:13" ht="14.25">
      <c r="A129" s="330"/>
      <c r="B129" s="52"/>
      <c r="C129" s="34"/>
      <c r="D129" s="4"/>
      <c r="E129" s="5" t="s">
        <v>485</v>
      </c>
      <c r="F129" s="5"/>
      <c r="G129" s="5"/>
      <c r="H129" s="5"/>
      <c r="I129" s="6"/>
      <c r="J129" s="5"/>
      <c r="K129" s="5"/>
      <c r="L129" s="5"/>
      <c r="M129" s="5"/>
    </row>
    <row r="130" spans="1:13" ht="14.25">
      <c r="A130" s="330"/>
      <c r="B130" s="52"/>
      <c r="C130" s="34"/>
      <c r="D130" s="4"/>
      <c r="E130" s="5"/>
      <c r="F130" s="5"/>
      <c r="G130" s="5"/>
      <c r="H130" s="5"/>
      <c r="I130" s="6"/>
      <c r="J130" s="5"/>
      <c r="K130" s="5"/>
      <c r="L130" s="5"/>
      <c r="M130" s="5"/>
    </row>
    <row r="131" spans="1:13" ht="14.25">
      <c r="A131" s="330"/>
      <c r="B131" s="52"/>
      <c r="C131" s="34"/>
      <c r="D131" s="4"/>
      <c r="E131" s="131" t="s">
        <v>1575</v>
      </c>
      <c r="F131" s="5"/>
      <c r="G131" s="5"/>
      <c r="H131" s="5"/>
      <c r="I131" s="6"/>
      <c r="J131" s="5"/>
      <c r="K131" s="5"/>
      <c r="L131" s="5"/>
      <c r="M131" s="5"/>
    </row>
    <row r="132" spans="1:13" ht="14.25">
      <c r="A132" s="330"/>
      <c r="B132" s="52"/>
      <c r="C132" s="34"/>
      <c r="D132" s="4"/>
      <c r="E132" s="5" t="s">
        <v>486</v>
      </c>
      <c r="F132" s="5"/>
      <c r="G132" s="5"/>
      <c r="H132" s="5"/>
      <c r="I132" s="327" t="b">
        <f>IF(E102="","",IF(ABS(G67-G103)&lt;=5,TRUE,FALSE))</f>
        <v>1</v>
      </c>
      <c r="J132" s="5"/>
      <c r="K132" s="5"/>
      <c r="L132" s="5"/>
      <c r="M132" s="5"/>
    </row>
    <row r="133" spans="1:13" ht="14.25">
      <c r="A133" s="330"/>
      <c r="B133" s="52"/>
      <c r="C133" s="34"/>
      <c r="D133" s="4"/>
      <c r="E133" s="5"/>
      <c r="F133" s="5"/>
      <c r="G133" s="5"/>
      <c r="H133" s="5"/>
      <c r="I133" s="328"/>
      <c r="J133" s="5"/>
      <c r="K133" s="5"/>
      <c r="L133" s="5"/>
      <c r="M133" s="5"/>
    </row>
    <row r="134" spans="1:13" s="202" customFormat="1" ht="14.25">
      <c r="A134" s="330"/>
      <c r="B134" s="52"/>
      <c r="C134" s="34"/>
      <c r="D134" s="4"/>
      <c r="E134" s="5" t="s">
        <v>267</v>
      </c>
      <c r="F134" s="5"/>
      <c r="G134" s="5"/>
      <c r="H134" s="5"/>
      <c r="I134" s="328"/>
      <c r="J134" s="52"/>
      <c r="K134" s="52"/>
      <c r="L134" s="52"/>
      <c r="M134" s="52"/>
    </row>
    <row r="135" spans="1:13" s="202" customFormat="1" ht="14.25">
      <c r="A135" s="330"/>
      <c r="B135" s="52"/>
      <c r="C135" s="34"/>
      <c r="D135" s="4"/>
      <c r="E135" s="5" t="s">
        <v>1456</v>
      </c>
      <c r="F135" s="5"/>
      <c r="G135" s="5"/>
      <c r="H135" s="5"/>
      <c r="I135" s="328"/>
      <c r="J135" s="52"/>
      <c r="K135" s="52"/>
      <c r="L135" s="52"/>
      <c r="M135" s="52"/>
    </row>
    <row r="136" spans="1:13" ht="15" thickBot="1">
      <c r="A136" s="4"/>
      <c r="B136" s="5"/>
      <c r="C136" s="32"/>
      <c r="D136" s="7"/>
      <c r="E136" s="8"/>
      <c r="F136" s="8"/>
      <c r="G136" s="8"/>
      <c r="H136" s="8"/>
      <c r="I136" s="329"/>
      <c r="J136" s="5"/>
      <c r="K136" s="5"/>
      <c r="L136" s="5"/>
      <c r="M136" s="5"/>
    </row>
    <row r="137" spans="1:13" ht="14.25">
      <c r="A137" s="4"/>
      <c r="B137" s="5"/>
      <c r="C137" s="32"/>
      <c r="D137" s="32"/>
      <c r="E137" s="75"/>
      <c r="F137" s="34"/>
      <c r="G137" s="79"/>
      <c r="H137" s="32"/>
      <c r="I137" s="6"/>
      <c r="J137" s="5"/>
      <c r="K137" s="5"/>
      <c r="L137" s="5"/>
      <c r="M137" s="5"/>
    </row>
    <row r="138" spans="1:9" ht="14.25">
      <c r="A138" s="4"/>
      <c r="B138" s="22" t="s">
        <v>1095</v>
      </c>
      <c r="C138" s="32"/>
      <c r="D138" s="32"/>
      <c r="E138" s="75"/>
      <c r="F138" s="34"/>
      <c r="G138" s="79"/>
      <c r="H138" s="32"/>
      <c r="I138" s="6"/>
    </row>
    <row r="139" spans="1:9" ht="14.25">
      <c r="A139" s="4"/>
      <c r="B139" s="5"/>
      <c r="C139" s="32"/>
      <c r="D139" s="32"/>
      <c r="E139" s="75"/>
      <c r="F139" s="34"/>
      <c r="G139" s="79"/>
      <c r="H139" s="32"/>
      <c r="I139" s="6"/>
    </row>
    <row r="140" spans="1:9" ht="14.25">
      <c r="A140" s="4"/>
      <c r="B140" s="5"/>
      <c r="C140" s="22" t="s">
        <v>1242</v>
      </c>
      <c r="D140" s="32"/>
      <c r="E140" s="55">
        <f>IF('Input-Output'!D26="","",'Input-Output'!D26)</f>
        <v>-81.51</v>
      </c>
      <c r="F140" s="32" t="s">
        <v>1233</v>
      </c>
      <c r="G140" s="78">
        <f>IF(E140="","",IF(E140&lt;0,360+E140,E140))</f>
        <v>278.49</v>
      </c>
      <c r="H140" s="32" t="s">
        <v>1233</v>
      </c>
      <c r="I140" s="6"/>
    </row>
    <row r="141" spans="1:9" ht="14.25">
      <c r="A141" s="4"/>
      <c r="B141" s="5"/>
      <c r="C141" s="32"/>
      <c r="D141" s="32"/>
      <c r="E141" s="75"/>
      <c r="F141" s="34"/>
      <c r="G141" s="79"/>
      <c r="H141" s="32"/>
      <c r="I141" s="6"/>
    </row>
    <row r="142" spans="1:9" ht="15" thickBot="1">
      <c r="A142" s="7"/>
      <c r="B142" s="8"/>
      <c r="C142" s="36"/>
      <c r="D142" s="36"/>
      <c r="E142" s="76"/>
      <c r="F142" s="36"/>
      <c r="G142" s="8"/>
      <c r="H142" s="8"/>
      <c r="I142" s="9"/>
    </row>
    <row r="143" ht="13.5" thickBot="1"/>
    <row r="144" spans="1:9" ht="12.75">
      <c r="A144" s="1"/>
      <c r="B144" s="2"/>
      <c r="C144" s="2"/>
      <c r="D144" s="2"/>
      <c r="E144" s="2"/>
      <c r="F144" s="2"/>
      <c r="G144" s="2"/>
      <c r="H144" s="2"/>
      <c r="I144" s="3"/>
    </row>
    <row r="145" spans="1:9" ht="16.5">
      <c r="A145" s="43" t="s">
        <v>1697</v>
      </c>
      <c r="B145" s="5"/>
      <c r="C145" s="5"/>
      <c r="D145" s="5"/>
      <c r="E145" s="5"/>
      <c r="F145" s="5"/>
      <c r="G145" s="5"/>
      <c r="H145" s="5"/>
      <c r="I145" s="6"/>
    </row>
    <row r="146" spans="1:9" ht="16.5">
      <c r="A146" s="43" t="s">
        <v>859</v>
      </c>
      <c r="B146" s="5"/>
      <c r="C146" s="5"/>
      <c r="D146" s="5"/>
      <c r="E146" s="5"/>
      <c r="F146" s="5"/>
      <c r="G146" s="5"/>
      <c r="H146" s="5"/>
      <c r="I146" s="6"/>
    </row>
    <row r="147" spans="1:9" ht="12.75">
      <c r="A147" s="4"/>
      <c r="B147" s="5"/>
      <c r="C147" s="5"/>
      <c r="D147" s="5"/>
      <c r="E147" s="5"/>
      <c r="F147" s="5"/>
      <c r="G147" s="5"/>
      <c r="H147" s="5"/>
      <c r="I147" s="6"/>
    </row>
    <row r="148" spans="1:9" ht="12.75">
      <c r="A148" s="4"/>
      <c r="B148" s="5" t="s">
        <v>1761</v>
      </c>
      <c r="C148" s="5"/>
      <c r="D148" s="5"/>
      <c r="E148" s="5"/>
      <c r="F148" s="5"/>
      <c r="G148" s="5"/>
      <c r="H148" s="5"/>
      <c r="I148" s="6"/>
    </row>
    <row r="149" spans="1:9" ht="12.75">
      <c r="A149" s="4"/>
      <c r="B149" s="5" t="s">
        <v>1645</v>
      </c>
      <c r="C149" s="5"/>
      <c r="D149" s="5"/>
      <c r="E149" s="5"/>
      <c r="F149" s="5"/>
      <c r="G149" s="5"/>
      <c r="H149" s="5"/>
      <c r="I149" s="6"/>
    </row>
    <row r="150" spans="1:9" ht="12.75">
      <c r="A150" s="4"/>
      <c r="B150" s="5" t="s">
        <v>1472</v>
      </c>
      <c r="C150" s="5"/>
      <c r="D150" s="5"/>
      <c r="E150" s="5"/>
      <c r="F150" s="5"/>
      <c r="G150" s="5"/>
      <c r="H150" s="5"/>
      <c r="I150" s="6"/>
    </row>
    <row r="151" spans="1:9" ht="12.75">
      <c r="A151" s="4"/>
      <c r="B151" s="5" t="s">
        <v>1762</v>
      </c>
      <c r="C151" s="5"/>
      <c r="D151" s="5"/>
      <c r="E151" s="5"/>
      <c r="F151" s="5"/>
      <c r="G151" s="5"/>
      <c r="H151" s="5"/>
      <c r="I151" s="6"/>
    </row>
    <row r="152" spans="1:9" ht="12.75">
      <c r="A152" s="4"/>
      <c r="B152" s="5"/>
      <c r="C152" s="5"/>
      <c r="D152" s="5"/>
      <c r="E152" s="5"/>
      <c r="F152" s="5"/>
      <c r="G152" s="5"/>
      <c r="H152" s="5"/>
      <c r="I152" s="6"/>
    </row>
    <row r="153" spans="1:9" ht="12.75">
      <c r="A153" s="4"/>
      <c r="B153" s="5"/>
      <c r="C153" s="5"/>
      <c r="D153" s="5"/>
      <c r="E153" s="5"/>
      <c r="F153" s="5"/>
      <c r="G153" s="5"/>
      <c r="H153" s="5"/>
      <c r="I153" s="6"/>
    </row>
    <row r="154" spans="1:9" ht="12.75">
      <c r="A154" s="4"/>
      <c r="B154" s="5"/>
      <c r="C154" s="5"/>
      <c r="D154" s="5"/>
      <c r="E154" s="46" t="s">
        <v>1763</v>
      </c>
      <c r="F154" s="5"/>
      <c r="G154" s="5"/>
      <c r="H154" s="5"/>
      <c r="I154" s="6"/>
    </row>
    <row r="155" spans="1:9" ht="12.75">
      <c r="A155" s="4"/>
      <c r="B155" s="5"/>
      <c r="C155" s="5"/>
      <c r="D155" s="5"/>
      <c r="E155" s="5"/>
      <c r="F155" s="5"/>
      <c r="G155" s="5"/>
      <c r="H155" s="5"/>
      <c r="I155" s="6"/>
    </row>
    <row r="156" spans="1:9" ht="12.75">
      <c r="A156" s="4"/>
      <c r="B156" s="5"/>
      <c r="C156" s="5"/>
      <c r="D156" s="5"/>
      <c r="E156" s="5"/>
      <c r="F156" s="5"/>
      <c r="G156" s="111"/>
      <c r="H156" s="5"/>
      <c r="I156" s="6"/>
    </row>
    <row r="157" spans="1:9" ht="12.75">
      <c r="A157" s="4"/>
      <c r="B157" s="5"/>
      <c r="C157" s="5"/>
      <c r="D157" s="5"/>
      <c r="E157" s="5"/>
      <c r="F157" s="110"/>
      <c r="G157" s="5"/>
      <c r="H157" s="5"/>
      <c r="I157" s="6"/>
    </row>
    <row r="158" spans="1:9" ht="12.75">
      <c r="A158" s="4"/>
      <c r="B158" s="5"/>
      <c r="C158" s="5"/>
      <c r="D158" s="5"/>
      <c r="E158" s="5"/>
      <c r="F158" s="5"/>
      <c r="G158" s="5"/>
      <c r="H158" s="5"/>
      <c r="I158" s="6"/>
    </row>
    <row r="159" spans="1:9" ht="12.75">
      <c r="A159" s="4"/>
      <c r="B159" s="5"/>
      <c r="C159" s="5"/>
      <c r="D159" s="5"/>
      <c r="E159" s="5"/>
      <c r="F159" s="5"/>
      <c r="G159" s="109"/>
      <c r="H159" s="5"/>
      <c r="I159" s="6"/>
    </row>
    <row r="160" spans="1:9" ht="12.75">
      <c r="A160" s="4"/>
      <c r="B160" s="5"/>
      <c r="C160" s="5"/>
      <c r="D160" s="5"/>
      <c r="E160" s="5"/>
      <c r="F160" s="5"/>
      <c r="G160" s="42"/>
      <c r="H160" s="5"/>
      <c r="I160" s="6"/>
    </row>
    <row r="161" spans="1:9" ht="12.75">
      <c r="A161" s="4"/>
      <c r="B161" s="5"/>
      <c r="C161" s="5"/>
      <c r="D161" s="5"/>
      <c r="E161" s="5"/>
      <c r="F161" s="5" t="s">
        <v>563</v>
      </c>
      <c r="G161" s="5"/>
      <c r="H161" s="5"/>
      <c r="I161" s="6"/>
    </row>
    <row r="162" spans="1:9" ht="12.75">
      <c r="A162" s="4"/>
      <c r="B162" s="5"/>
      <c r="C162" s="5"/>
      <c r="D162" s="5"/>
      <c r="E162" s="5"/>
      <c r="F162" s="61" t="s">
        <v>566</v>
      </c>
      <c r="G162" s="5" t="s">
        <v>564</v>
      </c>
      <c r="H162" s="5"/>
      <c r="I162" s="6"/>
    </row>
    <row r="163" spans="1:9" ht="12.75">
      <c r="A163" s="4"/>
      <c r="B163" s="5"/>
      <c r="C163" s="5"/>
      <c r="D163" s="5" t="s">
        <v>565</v>
      </c>
      <c r="E163" s="5"/>
      <c r="F163" s="275" t="s">
        <v>211</v>
      </c>
      <c r="G163" s="5"/>
      <c r="H163" s="5" t="s">
        <v>567</v>
      </c>
      <c r="I163" s="6"/>
    </row>
    <row r="164" spans="1:9" ht="12.75">
      <c r="A164" s="4"/>
      <c r="B164" s="5"/>
      <c r="C164" s="5"/>
      <c r="D164" s="5"/>
      <c r="E164" s="5"/>
      <c r="F164" s="5"/>
      <c r="G164" s="5"/>
      <c r="H164" s="5"/>
      <c r="I164" s="6"/>
    </row>
    <row r="165" spans="1:9" ht="12.75">
      <c r="A165" s="4"/>
      <c r="B165" s="5"/>
      <c r="C165" s="5"/>
      <c r="D165" s="5"/>
      <c r="E165" s="5"/>
      <c r="F165" s="5"/>
      <c r="G165" s="5" t="s">
        <v>667</v>
      </c>
      <c r="H165" s="5"/>
      <c r="I165" s="6"/>
    </row>
    <row r="166" spans="1:9" ht="12.75">
      <c r="A166" s="4"/>
      <c r="B166" s="5"/>
      <c r="C166" s="5"/>
      <c r="D166" s="5"/>
      <c r="E166" s="5"/>
      <c r="F166" s="5" t="s">
        <v>568</v>
      </c>
      <c r="G166" s="108"/>
      <c r="H166" s="5"/>
      <c r="I166" s="6"/>
    </row>
    <row r="167" spans="1:9" ht="12.75">
      <c r="A167" s="4"/>
      <c r="B167" s="5"/>
      <c r="C167" s="5"/>
      <c r="D167" s="5"/>
      <c r="E167" s="5"/>
      <c r="F167" s="5"/>
      <c r="G167" s="5"/>
      <c r="H167" s="5"/>
      <c r="I167" s="6"/>
    </row>
    <row r="168" spans="1:9" ht="12.75">
      <c r="A168" s="4"/>
      <c r="B168" s="5"/>
      <c r="C168" s="5"/>
      <c r="D168" s="5"/>
      <c r="E168" s="5" t="s">
        <v>668</v>
      </c>
      <c r="F168" s="5"/>
      <c r="G168" s="5"/>
      <c r="H168" s="5"/>
      <c r="I168" s="6"/>
    </row>
    <row r="169" spans="1:9" ht="12.75">
      <c r="A169" s="4"/>
      <c r="B169" s="5"/>
      <c r="C169" s="5"/>
      <c r="D169" s="5"/>
      <c r="E169" s="5" t="s">
        <v>669</v>
      </c>
      <c r="F169" s="5"/>
      <c r="G169" s="5"/>
      <c r="H169" s="5"/>
      <c r="I169" s="6"/>
    </row>
    <row r="170" spans="1:9" ht="12.75">
      <c r="A170" s="4"/>
      <c r="B170" s="5"/>
      <c r="C170" s="5"/>
      <c r="D170" s="5"/>
      <c r="E170" s="5"/>
      <c r="F170" s="5"/>
      <c r="G170" s="5"/>
      <c r="H170" s="5"/>
      <c r="I170" s="6"/>
    </row>
    <row r="171" spans="1:9" ht="12.75">
      <c r="A171" s="4"/>
      <c r="B171" s="5"/>
      <c r="C171" s="5"/>
      <c r="D171" s="5"/>
      <c r="E171" s="5"/>
      <c r="F171" s="5"/>
      <c r="G171" s="5"/>
      <c r="H171" s="5"/>
      <c r="I171" s="6"/>
    </row>
    <row r="172" spans="1:9" ht="12.75">
      <c r="A172" s="4"/>
      <c r="B172" s="5"/>
      <c r="C172" s="5"/>
      <c r="D172" s="5"/>
      <c r="E172" s="5"/>
      <c r="F172" s="5"/>
      <c r="G172" s="5"/>
      <c r="H172" s="5"/>
      <c r="I172" s="6"/>
    </row>
    <row r="173" spans="1:9" ht="12.75">
      <c r="A173" s="4"/>
      <c r="B173" s="5"/>
      <c r="C173" s="5"/>
      <c r="D173" s="5"/>
      <c r="E173" s="46" t="s">
        <v>673</v>
      </c>
      <c r="F173" s="5"/>
      <c r="G173" s="5"/>
      <c r="H173" s="5"/>
      <c r="I173" s="6"/>
    </row>
    <row r="174" spans="1:9" ht="12.75">
      <c r="A174" s="4"/>
      <c r="B174" s="5"/>
      <c r="C174" s="5"/>
      <c r="D174" s="5"/>
      <c r="E174" s="5"/>
      <c r="F174" s="5"/>
      <c r="G174" s="5"/>
      <c r="H174" s="5"/>
      <c r="I174" s="6"/>
    </row>
    <row r="175" spans="1:9" ht="13.5" thickBot="1">
      <c r="A175" s="7"/>
      <c r="B175" s="8"/>
      <c r="C175" s="8"/>
      <c r="D175" s="8"/>
      <c r="E175" s="8"/>
      <c r="F175" s="8"/>
      <c r="G175" s="8"/>
      <c r="H175" s="8"/>
      <c r="I175" s="9"/>
    </row>
    <row r="176" spans="1:13" ht="13.5" thickBot="1">
      <c r="A176" s="5"/>
      <c r="B176" s="5"/>
      <c r="C176" s="5"/>
      <c r="D176" s="5"/>
      <c r="E176" s="5"/>
      <c r="F176" s="5"/>
      <c r="G176" s="5"/>
      <c r="H176" s="5"/>
      <c r="I176" s="5"/>
      <c r="J176" s="5"/>
      <c r="K176" s="5"/>
      <c r="L176" s="5"/>
      <c r="M176" s="5"/>
    </row>
    <row r="177" spans="1:13" ht="12.75">
      <c r="A177" s="1"/>
      <c r="B177" s="2"/>
      <c r="C177" s="2"/>
      <c r="D177" s="2"/>
      <c r="E177" s="2"/>
      <c r="F177" s="2"/>
      <c r="G177" s="2"/>
      <c r="H177" s="2"/>
      <c r="I177" s="3"/>
      <c r="J177" s="5"/>
      <c r="K177" s="5"/>
      <c r="L177" s="5"/>
      <c r="M177" s="5"/>
    </row>
    <row r="178" spans="1:13" ht="15.75">
      <c r="A178" s="14" t="s">
        <v>265</v>
      </c>
      <c r="B178" s="5"/>
      <c r="C178" s="5"/>
      <c r="D178" s="5"/>
      <c r="E178" s="5"/>
      <c r="F178" s="5"/>
      <c r="G178" s="5"/>
      <c r="H178" s="5"/>
      <c r="I178" s="6"/>
      <c r="J178" s="5"/>
      <c r="K178" s="5"/>
      <c r="L178" s="5"/>
      <c r="M178" s="5"/>
    </row>
    <row r="179" spans="1:13" ht="12.75">
      <c r="A179" s="4"/>
      <c r="B179" s="5"/>
      <c r="C179" s="5"/>
      <c r="D179" s="5"/>
      <c r="E179" s="5"/>
      <c r="F179" s="5"/>
      <c r="G179" s="5"/>
      <c r="H179" s="5"/>
      <c r="I179" s="6"/>
      <c r="J179" s="5"/>
      <c r="K179" s="5"/>
      <c r="L179" s="5"/>
      <c r="M179" s="5"/>
    </row>
    <row r="180" spans="1:13" ht="12.75">
      <c r="A180" s="4"/>
      <c r="B180" s="5" t="s">
        <v>165</v>
      </c>
      <c r="C180" s="5"/>
      <c r="D180" s="5"/>
      <c r="E180" s="5"/>
      <c r="F180" s="5"/>
      <c r="G180" s="5"/>
      <c r="H180" s="5"/>
      <c r="I180" s="6"/>
      <c r="J180" s="5"/>
      <c r="K180" s="5"/>
      <c r="L180" s="5"/>
      <c r="M180" s="5"/>
    </row>
    <row r="181" spans="1:13" ht="12.75">
      <c r="A181" s="4"/>
      <c r="B181" s="5"/>
      <c r="C181" s="5"/>
      <c r="D181" s="5"/>
      <c r="E181" s="5"/>
      <c r="F181" s="5"/>
      <c r="G181" s="5"/>
      <c r="H181" s="5"/>
      <c r="I181" s="6"/>
      <c r="J181" s="5"/>
      <c r="K181" s="5"/>
      <c r="L181" s="5"/>
      <c r="M181" s="5"/>
    </row>
    <row r="182" spans="1:13" ht="12.75">
      <c r="A182" s="4"/>
      <c r="B182" s="26" t="s">
        <v>166</v>
      </c>
      <c r="C182" s="82">
        <v>0</v>
      </c>
      <c r="D182" s="5" t="s">
        <v>167</v>
      </c>
      <c r="E182" s="5"/>
      <c r="F182" s="5"/>
      <c r="G182" s="5"/>
      <c r="H182" s="5"/>
      <c r="I182" s="6"/>
      <c r="J182" s="5"/>
      <c r="K182" s="5"/>
      <c r="L182" s="5"/>
      <c r="M182" s="5"/>
    </row>
    <row r="183" spans="1:13" ht="12.75">
      <c r="A183" s="4"/>
      <c r="B183" s="26" t="s">
        <v>168</v>
      </c>
      <c r="C183" s="82">
        <v>0</v>
      </c>
      <c r="D183" s="5" t="s">
        <v>167</v>
      </c>
      <c r="E183" s="5"/>
      <c r="F183" s="5"/>
      <c r="G183" s="5"/>
      <c r="H183" s="5"/>
      <c r="I183" s="6"/>
      <c r="J183" s="5"/>
      <c r="K183" s="5"/>
      <c r="L183" s="5"/>
      <c r="M183" s="5"/>
    </row>
    <row r="184" spans="1:13" ht="12.75">
      <c r="A184" s="4"/>
      <c r="B184" s="26" t="s">
        <v>164</v>
      </c>
      <c r="C184" s="82">
        <v>0</v>
      </c>
      <c r="D184" s="5" t="s">
        <v>167</v>
      </c>
      <c r="E184" s="5"/>
      <c r="F184" s="5"/>
      <c r="G184" s="5"/>
      <c r="H184" s="5"/>
      <c r="I184" s="6"/>
      <c r="J184" s="5"/>
      <c r="K184" s="5"/>
      <c r="L184" s="5"/>
      <c r="M184" s="5"/>
    </row>
    <row r="185" spans="1:13" ht="13.5" thickBot="1">
      <c r="A185" s="7"/>
      <c r="B185" s="8"/>
      <c r="C185" s="8"/>
      <c r="D185" s="8"/>
      <c r="E185" s="8"/>
      <c r="F185" s="8"/>
      <c r="G185" s="8"/>
      <c r="H185" s="8"/>
      <c r="I185" s="9"/>
      <c r="J185" s="5"/>
      <c r="K185" s="5"/>
      <c r="L185" s="5"/>
      <c r="M185" s="5"/>
    </row>
    <row r="186" spans="1:13" ht="13.5" thickBot="1">
      <c r="A186" s="5"/>
      <c r="B186" s="5"/>
      <c r="C186" s="5"/>
      <c r="D186" s="5"/>
      <c r="E186" s="5"/>
      <c r="F186" s="5"/>
      <c r="G186" s="5"/>
      <c r="H186" s="5"/>
      <c r="I186" s="5"/>
      <c r="J186" s="5"/>
      <c r="K186" s="5"/>
      <c r="L186" s="5"/>
      <c r="M186" s="5"/>
    </row>
    <row r="187" spans="1:13" ht="18">
      <c r="A187" s="21" t="s">
        <v>78</v>
      </c>
      <c r="B187" s="23"/>
      <c r="C187" s="23"/>
      <c r="D187" s="2"/>
      <c r="E187" s="2"/>
      <c r="F187" s="2"/>
      <c r="G187" s="2"/>
      <c r="H187" s="2"/>
      <c r="I187" s="3"/>
      <c r="J187" s="5"/>
      <c r="K187" s="5"/>
      <c r="L187" s="5"/>
      <c r="M187" s="5"/>
    </row>
    <row r="188" spans="1:13" ht="18">
      <c r="A188" s="13"/>
      <c r="B188" s="172"/>
      <c r="C188" s="172"/>
      <c r="D188" s="5"/>
      <c r="E188" s="5"/>
      <c r="F188" s="5"/>
      <c r="G188" s="5"/>
      <c r="H188" s="5"/>
      <c r="I188" s="6"/>
      <c r="J188" s="5"/>
      <c r="K188" s="5"/>
      <c r="L188" s="5"/>
      <c r="M188" s="5"/>
    </row>
    <row r="189" spans="1:13" ht="18">
      <c r="A189" s="13"/>
      <c r="B189" s="46" t="s">
        <v>180</v>
      </c>
      <c r="C189" s="172"/>
      <c r="D189" s="5"/>
      <c r="E189" s="5"/>
      <c r="F189" s="5"/>
      <c r="G189" s="5"/>
      <c r="H189" s="5"/>
      <c r="I189" s="6"/>
      <c r="J189" s="5"/>
      <c r="K189" s="5"/>
      <c r="L189" s="5"/>
      <c r="M189" s="5"/>
    </row>
    <row r="190" spans="1:13" ht="18">
      <c r="A190" s="13"/>
      <c r="B190" s="5" t="s">
        <v>84</v>
      </c>
      <c r="C190" s="172"/>
      <c r="D190" s="5"/>
      <c r="E190" s="5"/>
      <c r="F190" s="5"/>
      <c r="G190" s="5"/>
      <c r="H190" s="5"/>
      <c r="I190" s="6"/>
      <c r="J190" s="5"/>
      <c r="K190" s="5"/>
      <c r="L190" s="5"/>
      <c r="M190" s="5"/>
    </row>
    <row r="191" spans="1:13" ht="12.75">
      <c r="A191" s="4"/>
      <c r="B191" s="5"/>
      <c r="C191" s="5"/>
      <c r="D191" s="5"/>
      <c r="E191" s="5"/>
      <c r="F191" s="5"/>
      <c r="G191" s="5"/>
      <c r="H191" s="5"/>
      <c r="I191" s="6"/>
      <c r="J191" s="5"/>
      <c r="K191" s="5"/>
      <c r="L191" s="5"/>
      <c r="M191" s="5"/>
    </row>
    <row r="192" spans="1:13" ht="12.75">
      <c r="A192" s="10"/>
      <c r="B192" s="5"/>
      <c r="C192" s="5" t="s">
        <v>85</v>
      </c>
      <c r="D192" s="5"/>
      <c r="E192" s="5"/>
      <c r="F192" s="5"/>
      <c r="G192" s="5"/>
      <c r="H192" s="5"/>
      <c r="I192" s="6"/>
      <c r="J192" s="5"/>
      <c r="K192" s="5"/>
      <c r="L192" s="5"/>
      <c r="M192" s="5"/>
    </row>
    <row r="193" spans="1:13" ht="12.75">
      <c r="A193" s="4"/>
      <c r="B193" s="5"/>
      <c r="C193" s="5" t="s">
        <v>86</v>
      </c>
      <c r="D193" s="5"/>
      <c r="E193" s="5"/>
      <c r="F193" s="5"/>
      <c r="G193" s="5"/>
      <c r="H193" s="5"/>
      <c r="I193" s="6"/>
      <c r="J193" s="5"/>
      <c r="K193" s="5"/>
      <c r="L193" s="5"/>
      <c r="M193" s="5"/>
    </row>
    <row r="194" spans="1:13" ht="12.75">
      <c r="A194" s="4"/>
      <c r="B194" s="5"/>
      <c r="C194" s="5" t="s">
        <v>387</v>
      </c>
      <c r="D194" s="5"/>
      <c r="E194" s="5"/>
      <c r="F194" s="5"/>
      <c r="G194" s="5"/>
      <c r="H194" s="5"/>
      <c r="I194" s="6"/>
      <c r="J194" s="5"/>
      <c r="K194" s="5"/>
      <c r="L194" s="5"/>
      <c r="M194" s="5"/>
    </row>
    <row r="195" spans="1:13" ht="13.5" thickBot="1">
      <c r="A195" s="4"/>
      <c r="B195" s="5"/>
      <c r="C195" s="5"/>
      <c r="D195" s="5"/>
      <c r="E195" s="5"/>
      <c r="F195" s="5"/>
      <c r="G195" s="5"/>
      <c r="H195" s="5"/>
      <c r="I195" s="6"/>
      <c r="J195" s="5"/>
      <c r="K195" s="5"/>
      <c r="L195" s="5"/>
      <c r="M195" s="5"/>
    </row>
    <row r="196" spans="1:13" ht="13.5" thickBot="1">
      <c r="A196" s="4"/>
      <c r="B196" s="5" t="s">
        <v>802</v>
      </c>
      <c r="C196" s="196">
        <v>20900000</v>
      </c>
      <c r="D196" s="5" t="s">
        <v>731</v>
      </c>
      <c r="E196" s="5"/>
      <c r="F196" s="168">
        <f>(C196/39.37)*12</f>
        <v>6370332.740665482</v>
      </c>
      <c r="G196" s="5" t="s">
        <v>167</v>
      </c>
      <c r="H196" s="5"/>
      <c r="I196" s="6"/>
      <c r="J196" s="5"/>
      <c r="K196" s="5"/>
      <c r="L196" s="5"/>
      <c r="M196" s="5"/>
    </row>
    <row r="197" spans="1:13" ht="12.75">
      <c r="A197" s="4"/>
      <c r="B197" s="5"/>
      <c r="C197" s="299"/>
      <c r="D197" s="52"/>
      <c r="E197" s="52"/>
      <c r="F197" s="301"/>
      <c r="G197" s="5"/>
      <c r="H197" s="5"/>
      <c r="I197" s="6"/>
      <c r="J197" s="5"/>
      <c r="K197" s="5"/>
      <c r="L197" s="5"/>
      <c r="M197" s="5"/>
    </row>
    <row r="198" spans="1:13" ht="12.75">
      <c r="A198" s="4"/>
      <c r="B198" s="5"/>
      <c r="C198" s="300" t="s">
        <v>1764</v>
      </c>
      <c r="D198" s="52"/>
      <c r="E198" s="52"/>
      <c r="F198" s="301"/>
      <c r="G198" s="5"/>
      <c r="H198" s="5"/>
      <c r="I198" s="6"/>
      <c r="J198" s="5"/>
      <c r="K198" s="5"/>
      <c r="L198" s="5"/>
      <c r="M198" s="5"/>
    </row>
    <row r="199" spans="1:13" ht="13.5" thickBot="1">
      <c r="A199" s="7"/>
      <c r="B199" s="8"/>
      <c r="C199" s="8"/>
      <c r="D199" s="8"/>
      <c r="E199" s="8"/>
      <c r="F199" s="8"/>
      <c r="G199" s="8"/>
      <c r="H199" s="8"/>
      <c r="I199" s="9"/>
      <c r="J199" s="5"/>
      <c r="K199" s="5"/>
      <c r="L199" s="5"/>
      <c r="M199" s="5"/>
    </row>
    <row r="200" spans="1:13" ht="15" thickBot="1">
      <c r="A200" s="5"/>
      <c r="B200" s="5"/>
      <c r="C200" s="32"/>
      <c r="D200" s="32"/>
      <c r="E200" s="75"/>
      <c r="F200" s="32"/>
      <c r="G200" s="5"/>
      <c r="H200" s="5"/>
      <c r="I200" s="5"/>
      <c r="J200" s="5"/>
      <c r="K200" s="5"/>
      <c r="L200" s="5"/>
      <c r="M200" s="5"/>
    </row>
    <row r="201" spans="1:9" ht="12.75">
      <c r="A201" s="1"/>
      <c r="B201" s="2"/>
      <c r="C201" s="2"/>
      <c r="D201" s="2"/>
      <c r="E201" s="2"/>
      <c r="F201" s="2"/>
      <c r="G201" s="2"/>
      <c r="H201" s="2"/>
      <c r="I201" s="3"/>
    </row>
    <row r="202" spans="1:9" ht="18">
      <c r="A202" s="13" t="s">
        <v>1741</v>
      </c>
      <c r="B202" s="5"/>
      <c r="C202" s="5"/>
      <c r="D202" s="5"/>
      <c r="E202" s="5"/>
      <c r="F202" s="5"/>
      <c r="G202" s="5"/>
      <c r="H202" s="5"/>
      <c r="I202" s="6"/>
    </row>
    <row r="203" spans="1:9" ht="12.75">
      <c r="A203" s="4"/>
      <c r="B203" s="5"/>
      <c r="C203" s="5"/>
      <c r="D203" s="5"/>
      <c r="E203" s="5"/>
      <c r="F203" s="5"/>
      <c r="G203" s="5"/>
      <c r="H203" s="5"/>
      <c r="I203" s="6"/>
    </row>
    <row r="204" spans="1:9" ht="12.75">
      <c r="A204" s="4"/>
      <c r="B204" s="22" t="s">
        <v>1742</v>
      </c>
      <c r="C204" s="5"/>
      <c r="D204" s="5"/>
      <c r="E204" s="5"/>
      <c r="F204" s="5"/>
      <c r="G204" s="5"/>
      <c r="H204" s="5"/>
      <c r="I204" s="6"/>
    </row>
    <row r="205" spans="1:9" ht="12.75">
      <c r="A205" s="4"/>
      <c r="B205" s="5"/>
      <c r="C205" s="5"/>
      <c r="D205" s="5"/>
      <c r="E205" s="5"/>
      <c r="F205" s="5"/>
      <c r="G205" s="5"/>
      <c r="H205" s="5"/>
      <c r="I205" s="6"/>
    </row>
    <row r="206" spans="1:9" ht="12.75">
      <c r="A206" s="4"/>
      <c r="B206" s="26" t="s">
        <v>1743</v>
      </c>
      <c r="C206" s="24">
        <f>$F$196*COS(RADIANS(G62))*COS(RADIANS(G63))</f>
        <v>-2634366.503415983</v>
      </c>
      <c r="D206" s="5" t="s">
        <v>167</v>
      </c>
      <c r="E206" s="5"/>
      <c r="F206" s="5"/>
      <c r="G206" s="5"/>
      <c r="H206" s="5"/>
      <c r="I206" s="6"/>
    </row>
    <row r="207" spans="1:9" ht="12.75">
      <c r="A207" s="4"/>
      <c r="B207" s="26" t="s">
        <v>1744</v>
      </c>
      <c r="C207" s="24">
        <f>$F$196*COS(RADIANS(G62))*SIN(RADIANS(G63))</f>
        <v>-4183303.014919896</v>
      </c>
      <c r="D207" s="5" t="s">
        <v>167</v>
      </c>
      <c r="E207" s="5"/>
      <c r="F207" s="5"/>
      <c r="G207" s="5"/>
      <c r="H207" s="5"/>
      <c r="I207" s="6"/>
    </row>
    <row r="208" spans="1:9" ht="12.75">
      <c r="A208" s="4"/>
      <c r="B208" s="26" t="s">
        <v>1745</v>
      </c>
      <c r="C208" s="24">
        <f>$F$196*SIN(RADIANS(G62))</f>
        <v>4017614.744825162</v>
      </c>
      <c r="D208" s="5" t="s">
        <v>167</v>
      </c>
      <c r="E208" s="5" t="s">
        <v>1170</v>
      </c>
      <c r="F208" s="5"/>
      <c r="G208" s="5"/>
      <c r="H208" s="176">
        <f>SQRT((C206-$C$182)^2+(C207-$C$183)^2+(C208-$C$184)^2)</f>
        <v>6370332.740665482</v>
      </c>
      <c r="I208" s="6" t="s">
        <v>167</v>
      </c>
    </row>
    <row r="209" spans="1:9" ht="12.75">
      <c r="A209" s="4"/>
      <c r="B209" s="5"/>
      <c r="C209" s="5"/>
      <c r="D209" s="5"/>
      <c r="E209" s="5"/>
      <c r="F209" s="5"/>
      <c r="G209" s="5"/>
      <c r="H209" s="5"/>
      <c r="I209" s="6"/>
    </row>
    <row r="210" spans="1:9" ht="12.75">
      <c r="A210" s="4"/>
      <c r="B210" s="5"/>
      <c r="C210" s="5"/>
      <c r="D210" s="5"/>
      <c r="E210" s="5"/>
      <c r="F210" s="5"/>
      <c r="G210" s="5"/>
      <c r="H210" s="5"/>
      <c r="I210" s="6"/>
    </row>
    <row r="211" spans="1:9" ht="12.75">
      <c r="A211" s="4"/>
      <c r="B211" s="22" t="s">
        <v>1171</v>
      </c>
      <c r="C211" s="5"/>
      <c r="D211" s="5"/>
      <c r="E211" s="5"/>
      <c r="F211" s="5"/>
      <c r="G211" s="5"/>
      <c r="H211" s="5"/>
      <c r="I211" s="6"/>
    </row>
    <row r="212" spans="1:9" ht="12.75">
      <c r="A212" s="4"/>
      <c r="B212" s="5"/>
      <c r="C212" s="5"/>
      <c r="D212" s="5"/>
      <c r="E212" s="5"/>
      <c r="F212" s="5"/>
      <c r="G212" s="5"/>
      <c r="H212" s="5"/>
      <c r="I212" s="6"/>
    </row>
    <row r="213" spans="1:9" ht="12.75">
      <c r="A213" s="4"/>
      <c r="B213" s="26" t="s">
        <v>1172</v>
      </c>
      <c r="C213" s="24">
        <f>$F$196*COS(RADIANS(G66))*COS(RADIANS(G67))</f>
        <v>-2686114.7361198566</v>
      </c>
      <c r="D213" s="5" t="s">
        <v>167</v>
      </c>
      <c r="E213" s="5"/>
      <c r="F213" s="5"/>
      <c r="G213" s="5"/>
      <c r="H213" s="5"/>
      <c r="I213" s="6"/>
    </row>
    <row r="214" spans="1:9" ht="12.75">
      <c r="A214" s="4"/>
      <c r="B214" s="26" t="s">
        <v>1173</v>
      </c>
      <c r="C214" s="24">
        <f>$F$196*COS(RADIANS(G66))*SIN(RADIANS(G67))</f>
        <v>-4216355.559770088</v>
      </c>
      <c r="D214" s="5" t="s">
        <v>167</v>
      </c>
      <c r="E214" s="5"/>
      <c r="F214" s="5"/>
      <c r="G214" s="5"/>
      <c r="H214" s="5"/>
      <c r="I214" s="6"/>
    </row>
    <row r="215" spans="1:9" ht="12.75">
      <c r="A215" s="4"/>
      <c r="B215" s="26" t="s">
        <v>1174</v>
      </c>
      <c r="C215" s="24">
        <f>$F$196*SIN(RADIANS(G66))</f>
        <v>3948198.6582225338</v>
      </c>
      <c r="D215" s="5" t="s">
        <v>167</v>
      </c>
      <c r="E215" s="5" t="s">
        <v>1062</v>
      </c>
      <c r="F215" s="5"/>
      <c r="G215" s="5"/>
      <c r="H215" s="176">
        <f>SQRT((C213-$C$182)^2+(C214-$C$183)^2+(C215-$C$184)^2)</f>
        <v>6370332.740665482</v>
      </c>
      <c r="I215" s="6" t="s">
        <v>167</v>
      </c>
    </row>
    <row r="216" spans="1:9" ht="12.75">
      <c r="A216" s="4"/>
      <c r="B216" s="5"/>
      <c r="C216" s="5"/>
      <c r="D216" s="5"/>
      <c r="E216" s="5"/>
      <c r="F216" s="5"/>
      <c r="G216" s="5"/>
      <c r="H216" s="5"/>
      <c r="I216" s="6"/>
    </row>
    <row r="217" spans="1:9" ht="12.75">
      <c r="A217" s="4"/>
      <c r="B217" s="5"/>
      <c r="C217" s="5"/>
      <c r="D217" s="5"/>
      <c r="E217" s="5"/>
      <c r="F217" s="5"/>
      <c r="G217" s="5"/>
      <c r="H217" s="5"/>
      <c r="I217" s="6"/>
    </row>
    <row r="218" spans="1:9" ht="12.75">
      <c r="A218" s="4"/>
      <c r="B218" s="22" t="s">
        <v>603</v>
      </c>
      <c r="C218" s="5"/>
      <c r="D218" s="5"/>
      <c r="E218" s="5"/>
      <c r="F218" s="5"/>
      <c r="G218" s="5"/>
      <c r="H218" s="5"/>
      <c r="I218" s="6"/>
    </row>
    <row r="219" spans="1:9" ht="12.75">
      <c r="A219" s="4"/>
      <c r="B219" s="5"/>
      <c r="C219" s="5"/>
      <c r="D219" s="5"/>
      <c r="E219" s="5"/>
      <c r="F219" s="5"/>
      <c r="G219" s="5"/>
      <c r="H219" s="5"/>
      <c r="I219" s="6"/>
    </row>
    <row r="220" spans="1:9" ht="12.75">
      <c r="A220" s="4"/>
      <c r="B220" s="26" t="s">
        <v>604</v>
      </c>
      <c r="C220" s="24">
        <f>IF(G102="","",$F$196*COS(RADIANS(G102))*COS(RADIANS(G103)))</f>
        <v>-2671272.744019775</v>
      </c>
      <c r="D220" s="5" t="s">
        <v>167</v>
      </c>
      <c r="E220" s="5"/>
      <c r="F220" s="5"/>
      <c r="G220" s="5"/>
      <c r="H220" s="5"/>
      <c r="I220" s="6"/>
    </row>
    <row r="221" spans="1:9" ht="12.75">
      <c r="A221" s="4"/>
      <c r="B221" s="26" t="s">
        <v>605</v>
      </c>
      <c r="C221" s="24">
        <f>IF(G102="","",$F$196*COS(RADIANS(G102))*SIN(RADIANS(G103)))</f>
        <v>-4250129.951439654</v>
      </c>
      <c r="D221" s="5" t="s">
        <v>167</v>
      </c>
      <c r="E221" s="5"/>
      <c r="F221" s="174"/>
      <c r="G221" s="5"/>
      <c r="H221" s="5"/>
      <c r="I221" s="6"/>
    </row>
    <row r="222" spans="1:9" ht="12.75">
      <c r="A222" s="4"/>
      <c r="B222" s="26" t="s">
        <v>606</v>
      </c>
      <c r="C222" s="24">
        <f>IF(G102="","",$F$196*SIN(RADIANS(G102)))</f>
        <v>3921968.453433455</v>
      </c>
      <c r="D222" s="5" t="s">
        <v>167</v>
      </c>
      <c r="E222" s="5" t="s">
        <v>1063</v>
      </c>
      <c r="F222" s="5"/>
      <c r="G222" s="5"/>
      <c r="H222" s="176">
        <f>IF(C220="","",SQRT((C220-$C$182)^2+(C221-$C$183)^2+(C222-$C$184)^2))</f>
        <v>6370332.740665482</v>
      </c>
      <c r="I222" s="6" t="s">
        <v>167</v>
      </c>
    </row>
    <row r="223" spans="1:9" ht="13.5" thickBot="1">
      <c r="A223" s="7"/>
      <c r="B223" s="8"/>
      <c r="C223" s="8"/>
      <c r="D223" s="8"/>
      <c r="E223" s="8"/>
      <c r="F223" s="8"/>
      <c r="G223" s="8"/>
      <c r="H223" s="8"/>
      <c r="I223" s="9"/>
    </row>
    <row r="224" spans="1:9" ht="13.5" thickBot="1">
      <c r="A224" s="5"/>
      <c r="B224" s="5"/>
      <c r="C224" s="5"/>
      <c r="D224" s="5"/>
      <c r="E224" s="5"/>
      <c r="F224" s="5"/>
      <c r="G224" s="5"/>
      <c r="H224" s="5"/>
      <c r="I224" s="5"/>
    </row>
    <row r="225" spans="1:9" ht="12.75">
      <c r="A225" s="1"/>
      <c r="B225" s="2"/>
      <c r="C225" s="2"/>
      <c r="D225" s="2"/>
      <c r="E225" s="2"/>
      <c r="F225" s="2"/>
      <c r="G225" s="2"/>
      <c r="H225" s="2"/>
      <c r="I225" s="3"/>
    </row>
    <row r="226" spans="1:9" ht="12.75">
      <c r="A226" s="10" t="s">
        <v>607</v>
      </c>
      <c r="B226" s="5"/>
      <c r="C226" s="5"/>
      <c r="D226" s="5"/>
      <c r="E226" s="5"/>
      <c r="F226" s="5"/>
      <c r="G226" s="5"/>
      <c r="H226" s="5"/>
      <c r="I226" s="6"/>
    </row>
    <row r="227" spans="1:9" ht="12.75">
      <c r="A227" s="10" t="s">
        <v>193</v>
      </c>
      <c r="B227" s="5"/>
      <c r="C227" s="5"/>
      <c r="D227" s="5"/>
      <c r="E227" s="5"/>
      <c r="F227" s="5"/>
      <c r="G227" s="5"/>
      <c r="H227" s="5"/>
      <c r="I227" s="6"/>
    </row>
    <row r="228" spans="1:9" ht="12.75">
      <c r="A228" s="4"/>
      <c r="B228" s="5"/>
      <c r="C228" s="5"/>
      <c r="D228" s="5"/>
      <c r="E228" s="5"/>
      <c r="F228" s="5"/>
      <c r="G228" s="5"/>
      <c r="H228" s="5"/>
      <c r="I228" s="6"/>
    </row>
    <row r="229" spans="1:9" ht="12.75">
      <c r="A229" s="4"/>
      <c r="B229" s="5" t="s">
        <v>194</v>
      </c>
      <c r="C229" s="5"/>
      <c r="D229" s="5"/>
      <c r="E229" s="5"/>
      <c r="F229" s="17" t="s">
        <v>195</v>
      </c>
      <c r="G229" s="59">
        <v>90</v>
      </c>
      <c r="H229" s="5"/>
      <c r="I229" s="170"/>
    </row>
    <row r="230" spans="1:9" ht="12.75">
      <c r="A230" s="4"/>
      <c r="B230" s="5"/>
      <c r="C230" s="5"/>
      <c r="D230" s="5"/>
      <c r="E230" s="5"/>
      <c r="F230" s="17" t="s">
        <v>96</v>
      </c>
      <c r="G230" s="54">
        <v>0</v>
      </c>
      <c r="H230" s="5"/>
      <c r="I230" s="6"/>
    </row>
    <row r="231" spans="1:9" ht="12.75">
      <c r="A231" s="4"/>
      <c r="B231" s="5"/>
      <c r="C231" s="5"/>
      <c r="D231" s="5"/>
      <c r="E231" s="5"/>
      <c r="F231" s="5"/>
      <c r="G231" s="5"/>
      <c r="H231" s="5"/>
      <c r="I231" s="6"/>
    </row>
    <row r="232" spans="1:9" ht="12.75">
      <c r="A232" s="4"/>
      <c r="B232" s="5"/>
      <c r="C232" s="5"/>
      <c r="D232" s="5"/>
      <c r="E232" s="5"/>
      <c r="F232" s="5"/>
      <c r="G232" s="5"/>
      <c r="H232" s="5"/>
      <c r="I232" s="6"/>
    </row>
    <row r="233" spans="1:9" ht="12.75">
      <c r="A233" s="4"/>
      <c r="B233" s="5" t="s">
        <v>97</v>
      </c>
      <c r="C233" s="5"/>
      <c r="D233" s="5"/>
      <c r="E233" s="5"/>
      <c r="F233" s="26" t="s">
        <v>98</v>
      </c>
      <c r="G233" s="24">
        <f>$F$196*COS(RADIANS(G229))*COS(RADIANS(G230))</f>
        <v>3.900703800179785E-10</v>
      </c>
      <c r="H233" s="5" t="s">
        <v>167</v>
      </c>
      <c r="I233" s="6"/>
    </row>
    <row r="234" spans="1:9" ht="12.75">
      <c r="A234" s="4"/>
      <c r="B234" s="5"/>
      <c r="C234" s="5"/>
      <c r="D234" s="5"/>
      <c r="E234" s="5"/>
      <c r="F234" s="26" t="s">
        <v>99</v>
      </c>
      <c r="G234" s="24">
        <f>$F$196*COS(RADIANS(G229))*SIN(RADIANS(G230))</f>
        <v>0</v>
      </c>
      <c r="H234" s="5" t="s">
        <v>167</v>
      </c>
      <c r="I234" s="6"/>
    </row>
    <row r="235" spans="1:9" ht="12.75">
      <c r="A235" s="4"/>
      <c r="B235" s="5"/>
      <c r="C235" s="5"/>
      <c r="D235" s="5"/>
      <c r="E235" s="5"/>
      <c r="F235" s="26" t="s">
        <v>100</v>
      </c>
      <c r="G235" s="24">
        <f>$F$196*SIN(RADIANS(G229))</f>
        <v>6370332.740665482</v>
      </c>
      <c r="H235" s="5" t="s">
        <v>167</v>
      </c>
      <c r="I235" s="6"/>
    </row>
    <row r="236" spans="1:9" ht="12.75">
      <c r="A236" s="4"/>
      <c r="B236" s="5"/>
      <c r="C236" s="5"/>
      <c r="D236" s="5"/>
      <c r="E236" s="5"/>
      <c r="F236" s="26"/>
      <c r="G236" s="177"/>
      <c r="H236" s="5"/>
      <c r="I236" s="6"/>
    </row>
    <row r="237" spans="1:9" ht="12.75">
      <c r="A237" s="4"/>
      <c r="B237" s="5"/>
      <c r="C237" s="5" t="s">
        <v>101</v>
      </c>
      <c r="D237" s="5"/>
      <c r="E237" s="5"/>
      <c r="G237" s="176">
        <f>SQRT((G233-$C$182)^2+(G234-$C$183)^2+(G235-$C$184)^2)</f>
        <v>6370332.740665482</v>
      </c>
      <c r="H237" s="5" t="s">
        <v>167</v>
      </c>
      <c r="I237" s="6"/>
    </row>
    <row r="238" spans="1:9" ht="12.75">
      <c r="A238" s="4"/>
      <c r="B238" s="5"/>
      <c r="C238" s="5"/>
      <c r="D238" s="5"/>
      <c r="E238" s="5"/>
      <c r="F238" s="26"/>
      <c r="G238" s="177"/>
      <c r="H238" s="5"/>
      <c r="I238" s="6"/>
    </row>
    <row r="239" spans="1:9" ht="13.5" thickBot="1">
      <c r="A239" s="7"/>
      <c r="B239" s="8"/>
      <c r="C239" s="8"/>
      <c r="D239" s="8"/>
      <c r="E239" s="8"/>
      <c r="F239" s="8"/>
      <c r="G239" s="8"/>
      <c r="H239" s="8"/>
      <c r="I239" s="9"/>
    </row>
    <row r="240" spans="1:9" ht="13.5" thickBot="1">
      <c r="A240" s="5"/>
      <c r="B240" s="5"/>
      <c r="C240" s="5"/>
      <c r="D240" s="5"/>
      <c r="E240" s="5"/>
      <c r="F240" s="5"/>
      <c r="G240" s="5"/>
      <c r="H240" s="5"/>
      <c r="I240" s="5"/>
    </row>
    <row r="241" spans="1:9" ht="12.75">
      <c r="A241" s="1"/>
      <c r="B241" s="2"/>
      <c r="C241" s="2"/>
      <c r="D241" s="2"/>
      <c r="E241" s="2"/>
      <c r="F241" s="2"/>
      <c r="G241" s="2"/>
      <c r="H241" s="2"/>
      <c r="I241" s="3"/>
    </row>
    <row r="242" spans="1:9" ht="12.75">
      <c r="A242" s="10" t="s">
        <v>607</v>
      </c>
      <c r="B242" s="5"/>
      <c r="C242" s="5"/>
      <c r="D242" s="5"/>
      <c r="E242" s="5"/>
      <c r="F242" s="5"/>
      <c r="G242" s="5"/>
      <c r="H242" s="5"/>
      <c r="I242" s="6"/>
    </row>
    <row r="243" spans="1:9" ht="12.75">
      <c r="A243" s="10" t="s">
        <v>203</v>
      </c>
      <c r="B243" s="5"/>
      <c r="C243" s="5"/>
      <c r="D243" s="5"/>
      <c r="E243" s="5"/>
      <c r="F243" s="5"/>
      <c r="G243" s="5"/>
      <c r="H243" s="5"/>
      <c r="I243" s="6"/>
    </row>
    <row r="244" spans="1:9" ht="12.75">
      <c r="A244" s="4"/>
      <c r="B244" s="5"/>
      <c r="C244" s="5"/>
      <c r="D244" s="5"/>
      <c r="E244" s="5"/>
      <c r="F244" s="5"/>
      <c r="G244" s="5"/>
      <c r="H244" s="5"/>
      <c r="I244" s="6"/>
    </row>
    <row r="245" spans="1:9" ht="12.75">
      <c r="A245" s="4"/>
      <c r="B245" s="5" t="s">
        <v>616</v>
      </c>
      <c r="C245" s="5"/>
      <c r="D245" s="5"/>
      <c r="E245" s="5"/>
      <c r="F245" s="17" t="s">
        <v>195</v>
      </c>
      <c r="G245" s="59">
        <v>0</v>
      </c>
      <c r="H245" s="5"/>
      <c r="I245" s="170"/>
    </row>
    <row r="246" spans="1:9" ht="12.75">
      <c r="A246" s="4"/>
      <c r="B246" s="5" t="s">
        <v>1593</v>
      </c>
      <c r="C246" s="5"/>
      <c r="D246" s="5"/>
      <c r="E246" s="5"/>
      <c r="F246" s="17" t="s">
        <v>96</v>
      </c>
      <c r="G246" s="54">
        <f>G63</f>
        <v>237.8</v>
      </c>
      <c r="H246" s="5"/>
      <c r="I246" s="6"/>
    </row>
    <row r="247" spans="1:9" ht="12.75">
      <c r="A247" s="4"/>
      <c r="B247" s="5"/>
      <c r="C247" s="5"/>
      <c r="D247" s="5"/>
      <c r="E247" s="5"/>
      <c r="F247" s="5"/>
      <c r="G247" s="5"/>
      <c r="H247" s="5"/>
      <c r="I247" s="6"/>
    </row>
    <row r="248" spans="1:10" ht="12.75">
      <c r="A248" s="4"/>
      <c r="B248" s="5"/>
      <c r="C248" s="5"/>
      <c r="D248" s="5"/>
      <c r="E248" s="5"/>
      <c r="F248" s="5"/>
      <c r="G248" s="5"/>
      <c r="H248" s="5"/>
      <c r="I248" s="6"/>
      <c r="J248" s="171"/>
    </row>
    <row r="249" spans="1:9" ht="12.75">
      <c r="A249" s="4"/>
      <c r="B249" s="5" t="s">
        <v>1479</v>
      </c>
      <c r="C249" s="5"/>
      <c r="D249" s="5"/>
      <c r="E249" s="5"/>
      <c r="F249" s="26" t="s">
        <v>1486</v>
      </c>
      <c r="G249" s="24">
        <f>$F$196*COS(RADIANS(G245))*COS(RADIANS(G246))</f>
        <v>-3394599.1881772685</v>
      </c>
      <c r="H249" s="5" t="s">
        <v>167</v>
      </c>
      <c r="I249" s="6"/>
    </row>
    <row r="250" spans="1:9" ht="12.75">
      <c r="A250" s="4"/>
      <c r="B250" s="5" t="s">
        <v>1593</v>
      </c>
      <c r="C250" s="5"/>
      <c r="D250" s="5"/>
      <c r="E250" s="5"/>
      <c r="F250" s="26" t="s">
        <v>1487</v>
      </c>
      <c r="G250" s="24">
        <f>$F$196*COS(RADIANS(G245))*SIN(RADIANS(G246))</f>
        <v>-5390532.031109807</v>
      </c>
      <c r="H250" s="5" t="s">
        <v>167</v>
      </c>
      <c r="I250" s="6"/>
    </row>
    <row r="251" spans="1:9" ht="12.75">
      <c r="A251" s="4"/>
      <c r="B251" s="5"/>
      <c r="C251" s="5"/>
      <c r="D251" s="5"/>
      <c r="E251" s="5"/>
      <c r="F251" s="26" t="s">
        <v>1488</v>
      </c>
      <c r="G251" s="24">
        <f>$F$196*SIN(RADIANS(G245))</f>
        <v>0</v>
      </c>
      <c r="H251" s="5" t="s">
        <v>167</v>
      </c>
      <c r="I251" s="6"/>
    </row>
    <row r="252" spans="1:9" ht="12.75">
      <c r="A252" s="4"/>
      <c r="B252" s="5"/>
      <c r="C252" s="5"/>
      <c r="D252" s="5"/>
      <c r="E252" s="5"/>
      <c r="F252" s="26"/>
      <c r="G252" s="177"/>
      <c r="H252" s="5"/>
      <c r="I252" s="6"/>
    </row>
    <row r="253" spans="1:9" ht="12.75">
      <c r="A253" s="4"/>
      <c r="B253" s="5"/>
      <c r="C253" s="5" t="s">
        <v>1490</v>
      </c>
      <c r="D253" s="5"/>
      <c r="E253" s="5"/>
      <c r="G253" s="176">
        <f>SQRT((G249-$C$182)^2+(G250-$C$183)^2+(G251-$C$184)^2)</f>
        <v>6370332.740665482</v>
      </c>
      <c r="H253" s="5" t="s">
        <v>167</v>
      </c>
      <c r="I253" s="6"/>
    </row>
    <row r="254" spans="1:9" ht="12.75">
      <c r="A254" s="4"/>
      <c r="B254" s="5"/>
      <c r="C254" s="5"/>
      <c r="D254" s="5"/>
      <c r="E254" s="5"/>
      <c r="F254" s="26"/>
      <c r="G254" s="177"/>
      <c r="H254" s="5"/>
      <c r="I254" s="6"/>
    </row>
    <row r="255" spans="1:9" ht="13.5" thickBot="1">
      <c r="A255" s="7"/>
      <c r="B255" s="8"/>
      <c r="C255" s="8"/>
      <c r="D255" s="8"/>
      <c r="E255" s="8"/>
      <c r="F255" s="8"/>
      <c r="G255" s="8"/>
      <c r="H255" s="8"/>
      <c r="I255" s="9"/>
    </row>
    <row r="256" spans="1:6" ht="13.5" thickBot="1">
      <c r="A256" s="5"/>
      <c r="B256" s="5"/>
      <c r="C256" s="5"/>
      <c r="D256" s="5"/>
      <c r="E256" s="5"/>
      <c r="F256" s="5"/>
    </row>
    <row r="257" spans="1:10" ht="12.75">
      <c r="A257" s="1"/>
      <c r="B257" s="2"/>
      <c r="C257" s="2"/>
      <c r="D257" s="2"/>
      <c r="E257" s="2"/>
      <c r="F257" s="2"/>
      <c r="G257" s="2"/>
      <c r="H257" s="2"/>
      <c r="I257" s="3"/>
      <c r="J257" s="5"/>
    </row>
    <row r="258" spans="1:10" ht="12.75">
      <c r="A258" s="10" t="s">
        <v>754</v>
      </c>
      <c r="B258" s="5"/>
      <c r="C258" s="5"/>
      <c r="D258" s="5"/>
      <c r="E258" s="5"/>
      <c r="F258" s="5"/>
      <c r="G258" s="5"/>
      <c r="H258" s="5"/>
      <c r="I258" s="6"/>
      <c r="J258" s="5"/>
    </row>
    <row r="259" spans="1:10" ht="12.75">
      <c r="A259" s="4"/>
      <c r="B259" s="5"/>
      <c r="C259" s="5"/>
      <c r="D259" s="5"/>
      <c r="E259" s="5"/>
      <c r="F259" s="5"/>
      <c r="G259" s="5"/>
      <c r="H259" s="5"/>
      <c r="I259" s="6"/>
      <c r="J259" s="5"/>
    </row>
    <row r="260" spans="1:10" ht="13.5" thickBot="1">
      <c r="A260" s="4"/>
      <c r="B260" s="26" t="s">
        <v>755</v>
      </c>
      <c r="C260" s="15" t="s">
        <v>864</v>
      </c>
      <c r="D260" s="15"/>
      <c r="E260" s="169">
        <f>SPH_REC!C206/SPH_REC!$H$208</f>
        <v>-0.41353671945569076</v>
      </c>
      <c r="F260" s="5"/>
      <c r="G260" s="5"/>
      <c r="H260" s="5"/>
      <c r="I260" s="6"/>
      <c r="J260" s="5"/>
    </row>
    <row r="261" spans="1:10" ht="13.5" thickBot="1">
      <c r="A261" s="4"/>
      <c r="B261" s="26" t="s">
        <v>865</v>
      </c>
      <c r="C261" s="15" t="s">
        <v>437</v>
      </c>
      <c r="D261" s="15"/>
      <c r="E261" s="169">
        <f>SPH_REC!C207/SPH_REC!$H$208</f>
        <v>-0.6566851662575609</v>
      </c>
      <c r="F261" s="5"/>
      <c r="G261" s="199" t="s">
        <v>438</v>
      </c>
      <c r="H261" s="38"/>
      <c r="I261" s="39"/>
      <c r="J261" s="5"/>
    </row>
    <row r="262" spans="1:10" ht="13.5" thickBot="1">
      <c r="A262" s="4"/>
      <c r="B262" s="26" t="s">
        <v>439</v>
      </c>
      <c r="C262" s="15" t="s">
        <v>440</v>
      </c>
      <c r="D262" s="15"/>
      <c r="E262" s="169">
        <f>SPH_REC!C208/SPH_REC!$H$208</f>
        <v>0.6306758074312863</v>
      </c>
      <c r="F262" s="5"/>
      <c r="G262" s="86" t="str">
        <f>IF(SQRT(E260^2+E261^2+E262^2)=1,"None","Not Unit Vector")</f>
        <v>None</v>
      </c>
      <c r="H262" s="116"/>
      <c r="I262" s="87"/>
      <c r="J262" s="5"/>
    </row>
    <row r="263" spans="1:10" ht="12.75">
      <c r="A263" s="4"/>
      <c r="B263" s="5"/>
      <c r="C263" s="5"/>
      <c r="D263" s="5"/>
      <c r="E263" s="5"/>
      <c r="F263" s="5"/>
      <c r="G263" s="5"/>
      <c r="H263" s="5"/>
      <c r="I263" s="6"/>
      <c r="J263" s="5"/>
    </row>
    <row r="264" spans="1:10" ht="12.75">
      <c r="A264" s="4"/>
      <c r="B264" s="5"/>
      <c r="C264" s="5"/>
      <c r="D264" s="5"/>
      <c r="E264" s="5"/>
      <c r="F264" s="5"/>
      <c r="G264" s="5"/>
      <c r="H264" s="5"/>
      <c r="I264" s="6"/>
      <c r="J264" s="5"/>
    </row>
    <row r="265" spans="1:10" ht="12.75">
      <c r="A265" s="10" t="s">
        <v>56</v>
      </c>
      <c r="B265" s="5"/>
      <c r="C265" s="5"/>
      <c r="D265" s="5"/>
      <c r="E265" s="5"/>
      <c r="F265" s="5"/>
      <c r="G265" s="5"/>
      <c r="H265" s="5"/>
      <c r="I265" s="6"/>
      <c r="J265" s="5"/>
    </row>
    <row r="266" spans="1:10" ht="12.75">
      <c r="A266" s="4"/>
      <c r="B266" s="5"/>
      <c r="C266" s="5"/>
      <c r="D266" s="5"/>
      <c r="E266" s="5"/>
      <c r="F266" s="5"/>
      <c r="G266" s="5"/>
      <c r="H266" s="5"/>
      <c r="I266" s="6"/>
      <c r="J266" s="5"/>
    </row>
    <row r="267" spans="1:10" ht="13.5" thickBot="1">
      <c r="A267" s="4"/>
      <c r="B267" s="26" t="s">
        <v>57</v>
      </c>
      <c r="C267" s="15" t="s">
        <v>58</v>
      </c>
      <c r="D267" s="15"/>
      <c r="E267" s="169">
        <f>SPH_REC!C213/SPH_REC!$H$215</f>
        <v>-0.4216600365272677</v>
      </c>
      <c r="F267" s="5"/>
      <c r="G267" s="5"/>
      <c r="H267" s="5"/>
      <c r="I267" s="6"/>
      <c r="J267" s="5"/>
    </row>
    <row r="268" spans="1:10" ht="13.5" thickBot="1">
      <c r="A268" s="4"/>
      <c r="B268" s="26" t="s">
        <v>59</v>
      </c>
      <c r="C268" s="15" t="s">
        <v>60</v>
      </c>
      <c r="D268" s="15"/>
      <c r="E268" s="169">
        <f>SPH_REC!C214/SPH_REC!$H$215</f>
        <v>-0.6618736777836856</v>
      </c>
      <c r="F268" s="5"/>
      <c r="G268" s="199" t="s">
        <v>1087</v>
      </c>
      <c r="H268" s="38"/>
      <c r="I268" s="39"/>
      <c r="J268" s="5"/>
    </row>
    <row r="269" spans="1:10" ht="13.5" thickBot="1">
      <c r="A269" s="4"/>
      <c r="B269" s="26" t="s">
        <v>1088</v>
      </c>
      <c r="C269" s="15" t="s">
        <v>623</v>
      </c>
      <c r="D269" s="15"/>
      <c r="E269" s="169">
        <f>SPH_REC!C215/SPH_REC!$H$215</f>
        <v>0.61977903179514</v>
      </c>
      <c r="F269" s="5"/>
      <c r="G269" s="86" t="str">
        <f>IF(SQRT(E267^2+E268^2+E269^2)=1,"None","Not Unit Vector")</f>
        <v>None</v>
      </c>
      <c r="H269" s="116"/>
      <c r="I269" s="87"/>
      <c r="J269" s="5"/>
    </row>
    <row r="270" spans="1:10" ht="12.75">
      <c r="A270" s="4"/>
      <c r="B270" s="5"/>
      <c r="C270" s="5"/>
      <c r="D270" s="5"/>
      <c r="E270" s="5"/>
      <c r="F270" s="5"/>
      <c r="G270" s="5"/>
      <c r="H270" s="5"/>
      <c r="I270" s="6"/>
      <c r="J270" s="5"/>
    </row>
    <row r="271" spans="1:10" ht="12.75">
      <c r="A271" s="4"/>
      <c r="B271" s="5"/>
      <c r="C271" s="5"/>
      <c r="D271" s="5"/>
      <c r="E271" s="5"/>
      <c r="F271" s="5"/>
      <c r="G271" s="5"/>
      <c r="H271" s="5"/>
      <c r="I271" s="6"/>
      <c r="J271" s="5"/>
    </row>
    <row r="272" spans="1:10" ht="12.75">
      <c r="A272" s="10" t="s">
        <v>224</v>
      </c>
      <c r="B272" s="5"/>
      <c r="C272" s="5"/>
      <c r="D272" s="5"/>
      <c r="E272" s="5"/>
      <c r="F272" s="5"/>
      <c r="G272" s="5"/>
      <c r="H272" s="5"/>
      <c r="I272" s="6"/>
      <c r="J272" s="5"/>
    </row>
    <row r="273" spans="1:10" ht="12.75">
      <c r="A273" s="4"/>
      <c r="B273" s="5"/>
      <c r="C273" s="5"/>
      <c r="D273" s="5"/>
      <c r="E273" s="5"/>
      <c r="F273" s="5"/>
      <c r="G273" s="5"/>
      <c r="H273" s="5"/>
      <c r="I273" s="6"/>
      <c r="J273" s="5"/>
    </row>
    <row r="274" spans="1:10" ht="13.5" thickBot="1">
      <c r="A274" s="4"/>
      <c r="B274" s="26" t="s">
        <v>225</v>
      </c>
      <c r="C274" s="15" t="s">
        <v>226</v>
      </c>
      <c r="D274" s="15"/>
      <c r="E274" s="169">
        <f>IF(SPH_REC!C220="","",SPH_REC!C220/SPH_REC!$H$222)</f>
        <v>-0.4193301751676975</v>
      </c>
      <c r="F274" s="5"/>
      <c r="G274" s="5"/>
      <c r="H274" s="5"/>
      <c r="I274" s="6"/>
      <c r="J274" s="5"/>
    </row>
    <row r="275" spans="1:10" ht="13.5" thickBot="1">
      <c r="A275" s="4"/>
      <c r="B275" s="26" t="s">
        <v>227</v>
      </c>
      <c r="C275" s="15" t="s">
        <v>204</v>
      </c>
      <c r="D275" s="15"/>
      <c r="E275" s="169">
        <f>IF(SPH_REC!C221="","",SPH_REC!C221/SPH_REC!$H$222)</f>
        <v>-0.6671755031426602</v>
      </c>
      <c r="F275" s="5"/>
      <c r="G275" s="199" t="s">
        <v>205</v>
      </c>
      <c r="H275" s="38"/>
      <c r="I275" s="39"/>
      <c r="J275" s="5"/>
    </row>
    <row r="276" spans="1:10" ht="13.5" thickBot="1">
      <c r="A276" s="4"/>
      <c r="B276" s="26" t="s">
        <v>206</v>
      </c>
      <c r="C276" s="15" t="s">
        <v>1478</v>
      </c>
      <c r="D276" s="15"/>
      <c r="E276" s="169">
        <f>IF(SPH_REC!C222="","",SPH_REC!C222/SPH_REC!$H$222)</f>
        <v>0.6156614753256583</v>
      </c>
      <c r="F276" s="5"/>
      <c r="G276" s="86" t="str">
        <f>IF(E274="","None",IF(SQRT(E274^2+E275^2+E276^2)=1,"None","Not Unit Vector"))</f>
        <v>None</v>
      </c>
      <c r="H276" s="116"/>
      <c r="I276" s="87"/>
      <c r="J276" s="5"/>
    </row>
    <row r="277" spans="1:10" ht="12.75">
      <c r="A277" s="4"/>
      <c r="B277" s="26"/>
      <c r="C277" s="15"/>
      <c r="D277" s="15"/>
      <c r="E277" s="123"/>
      <c r="F277" s="5"/>
      <c r="G277" s="5"/>
      <c r="H277" s="5"/>
      <c r="I277" s="6"/>
      <c r="J277" s="5"/>
    </row>
    <row r="278" spans="1:10" ht="12.75">
      <c r="A278" s="4"/>
      <c r="B278" s="26"/>
      <c r="C278" s="15"/>
      <c r="D278" s="15"/>
      <c r="E278" s="123"/>
      <c r="F278" s="5"/>
      <c r="G278" s="5"/>
      <c r="H278" s="5"/>
      <c r="I278" s="6"/>
      <c r="J278" s="5"/>
    </row>
    <row r="279" spans="1:10" ht="12.75">
      <c r="A279" s="10" t="s">
        <v>310</v>
      </c>
      <c r="B279" s="5"/>
      <c r="C279" s="5"/>
      <c r="D279" s="5"/>
      <c r="E279" s="5"/>
      <c r="F279" s="5"/>
      <c r="G279" s="5"/>
      <c r="H279" s="5"/>
      <c r="I279" s="6"/>
      <c r="J279" s="5"/>
    </row>
    <row r="280" spans="1:10" ht="12.75">
      <c r="A280" s="4"/>
      <c r="B280" s="5"/>
      <c r="C280" s="5"/>
      <c r="D280" s="5"/>
      <c r="E280" s="5"/>
      <c r="F280" s="5"/>
      <c r="G280" s="5"/>
      <c r="H280" s="5"/>
      <c r="I280" s="6"/>
      <c r="J280" s="5"/>
    </row>
    <row r="281" spans="1:10" ht="13.5" thickBot="1">
      <c r="A281" s="4"/>
      <c r="B281" s="26" t="s">
        <v>311</v>
      </c>
      <c r="C281" s="15" t="s">
        <v>312</v>
      </c>
      <c r="D281" s="15"/>
      <c r="E281" s="169">
        <f>G233/$G$237</f>
        <v>6.123233995736766E-17</v>
      </c>
      <c r="F281" s="5"/>
      <c r="G281" s="5"/>
      <c r="H281" s="5"/>
      <c r="I281" s="6"/>
      <c r="J281" s="5"/>
    </row>
    <row r="282" spans="1:10" ht="13.5" thickBot="1">
      <c r="A282" s="4"/>
      <c r="B282" s="26" t="s">
        <v>313</v>
      </c>
      <c r="C282" s="15" t="s">
        <v>1480</v>
      </c>
      <c r="D282" s="15"/>
      <c r="E282" s="169">
        <f>G234/$G$237</f>
        <v>0</v>
      </c>
      <c r="F282" s="5"/>
      <c r="G282" s="199" t="s">
        <v>1481</v>
      </c>
      <c r="H282" s="38"/>
      <c r="I282" s="39"/>
      <c r="J282" s="5"/>
    </row>
    <row r="283" spans="1:10" ht="13.5" thickBot="1">
      <c r="A283" s="4"/>
      <c r="B283" s="26" t="s">
        <v>1482</v>
      </c>
      <c r="C283" s="15" t="s">
        <v>869</v>
      </c>
      <c r="D283" s="15"/>
      <c r="E283" s="169">
        <f>G235/$G$237</f>
        <v>1</v>
      </c>
      <c r="F283" s="5"/>
      <c r="G283" s="86" t="str">
        <f>IF(SQRT(E281^2+E282^2+E283^2)=1,"None","Not Unit Vector")</f>
        <v>None</v>
      </c>
      <c r="H283" s="116"/>
      <c r="I283" s="87"/>
      <c r="J283" s="5"/>
    </row>
    <row r="284" spans="1:10" ht="12.75">
      <c r="A284" s="4"/>
      <c r="B284" s="26"/>
      <c r="C284" s="15"/>
      <c r="D284" s="15"/>
      <c r="E284" s="123"/>
      <c r="F284" s="5"/>
      <c r="G284" s="5"/>
      <c r="H284" s="5"/>
      <c r="I284" s="6"/>
      <c r="J284" s="5"/>
    </row>
    <row r="285" spans="1:10" ht="12.75">
      <c r="A285" s="4"/>
      <c r="B285" s="26"/>
      <c r="C285" s="15"/>
      <c r="D285" s="15"/>
      <c r="E285" s="123"/>
      <c r="F285" s="5"/>
      <c r="G285" s="5"/>
      <c r="H285" s="5"/>
      <c r="I285" s="6"/>
      <c r="J285" s="5"/>
    </row>
    <row r="286" spans="1:10" ht="12.75">
      <c r="A286" s="10" t="s">
        <v>870</v>
      </c>
      <c r="B286" s="5"/>
      <c r="C286" s="5"/>
      <c r="D286" s="5"/>
      <c r="E286" s="5"/>
      <c r="F286" s="5"/>
      <c r="G286" s="5"/>
      <c r="H286" s="5"/>
      <c r="I286" s="6"/>
      <c r="J286" s="5"/>
    </row>
    <row r="287" spans="1:10" ht="12.75">
      <c r="A287" s="10" t="s">
        <v>1780</v>
      </c>
      <c r="B287" s="5"/>
      <c r="C287" s="5"/>
      <c r="D287" s="5"/>
      <c r="E287" s="5"/>
      <c r="F287" s="5"/>
      <c r="G287" s="5"/>
      <c r="H287" s="5"/>
      <c r="I287" s="6"/>
      <c r="J287" s="5"/>
    </row>
    <row r="288" spans="1:10" ht="12.75">
      <c r="A288" s="10"/>
      <c r="B288" s="5"/>
      <c r="C288" s="5"/>
      <c r="D288" s="5"/>
      <c r="E288" s="5"/>
      <c r="F288" s="5"/>
      <c r="G288" s="5"/>
      <c r="H288" s="5"/>
      <c r="I288" s="6"/>
      <c r="J288" s="5"/>
    </row>
    <row r="289" spans="1:10" ht="13.5" thickBot="1">
      <c r="A289" s="4"/>
      <c r="B289" s="26" t="s">
        <v>766</v>
      </c>
      <c r="C289" s="15" t="s">
        <v>767</v>
      </c>
      <c r="D289" s="15"/>
      <c r="E289" s="169">
        <f>G249/$G$253</f>
        <v>-0.5328762760707298</v>
      </c>
      <c r="F289" s="5"/>
      <c r="G289" s="5"/>
      <c r="H289" s="5"/>
      <c r="I289" s="6"/>
      <c r="J289" s="5"/>
    </row>
    <row r="290" spans="1:10" ht="13.5" thickBot="1">
      <c r="A290" s="4"/>
      <c r="B290" s="26" t="s">
        <v>768</v>
      </c>
      <c r="C290" s="15" t="s">
        <v>771</v>
      </c>
      <c r="D290" s="15"/>
      <c r="E290" s="169">
        <f>G250/$G$253</f>
        <v>-0.8461931661275641</v>
      </c>
      <c r="F290" s="5"/>
      <c r="G290" s="199" t="s">
        <v>764</v>
      </c>
      <c r="H290" s="38"/>
      <c r="I290" s="39"/>
      <c r="J290" s="5"/>
    </row>
    <row r="291" spans="1:10" ht="13.5" thickBot="1">
      <c r="A291" s="4"/>
      <c r="B291" s="26" t="s">
        <v>765</v>
      </c>
      <c r="C291" s="15" t="s">
        <v>1121</v>
      </c>
      <c r="D291" s="15"/>
      <c r="E291" s="169">
        <f>G251/$G$253</f>
        <v>0</v>
      </c>
      <c r="F291" s="5"/>
      <c r="G291" s="86" t="str">
        <f>IF(SQRT(E289^2+E290^2+E291^2)=1,"None","Not Unit Vector")</f>
        <v>None</v>
      </c>
      <c r="H291" s="116"/>
      <c r="I291" s="87"/>
      <c r="J291" s="5"/>
    </row>
    <row r="292" spans="1:10" ht="13.5" thickBot="1">
      <c r="A292" s="7"/>
      <c r="B292" s="56"/>
      <c r="C292" s="57"/>
      <c r="D292" s="57"/>
      <c r="E292" s="58"/>
      <c r="F292" s="8"/>
      <c r="G292" s="8"/>
      <c r="H292" s="8"/>
      <c r="I292" s="9"/>
      <c r="J292" s="5"/>
    </row>
    <row r="293" ht="13.5" thickBot="1"/>
    <row r="294" spans="1:10" ht="12.75">
      <c r="A294" s="1"/>
      <c r="B294" s="2"/>
      <c r="C294" s="2"/>
      <c r="D294" s="2"/>
      <c r="E294" s="2"/>
      <c r="F294" s="2"/>
      <c r="G294" s="2"/>
      <c r="H294" s="2"/>
      <c r="I294" s="3"/>
      <c r="J294" s="5"/>
    </row>
    <row r="295" spans="1:10" ht="15.75">
      <c r="A295" s="14" t="s">
        <v>1801</v>
      </c>
      <c r="B295" s="5"/>
      <c r="C295" s="5"/>
      <c r="D295" s="5"/>
      <c r="E295" s="5"/>
      <c r="F295" s="5"/>
      <c r="G295" s="5"/>
      <c r="H295" s="5"/>
      <c r="I295" s="6"/>
      <c r="J295" s="5"/>
    </row>
    <row r="296" spans="1:10" ht="15.75">
      <c r="A296" s="14"/>
      <c r="B296" s="5"/>
      <c r="C296" s="5"/>
      <c r="D296" s="5"/>
      <c r="E296" s="5"/>
      <c r="F296" s="5"/>
      <c r="G296" s="5"/>
      <c r="H296" s="5"/>
      <c r="I296" s="6"/>
      <c r="J296" s="5"/>
    </row>
    <row r="297" spans="1:10" ht="13.5" customHeight="1">
      <c r="A297" s="14"/>
      <c r="B297" s="22" t="s">
        <v>1582</v>
      </c>
      <c r="C297" s="22"/>
      <c r="D297" s="5"/>
      <c r="E297" s="5"/>
      <c r="F297" s="5"/>
      <c r="G297" s="408"/>
      <c r="H297" s="408"/>
      <c r="I297" s="6"/>
      <c r="J297" s="5"/>
    </row>
    <row r="298" spans="1:10" ht="13.5" customHeight="1">
      <c r="A298" s="14"/>
      <c r="B298" s="5"/>
      <c r="C298" s="46" t="s">
        <v>1579</v>
      </c>
      <c r="D298" s="5"/>
      <c r="E298" s="5"/>
      <c r="F298" s="5"/>
      <c r="G298" s="408"/>
      <c r="H298" s="408"/>
      <c r="I298" s="6"/>
      <c r="J298" s="5"/>
    </row>
    <row r="299" spans="1:10" ht="13.5" customHeight="1">
      <c r="A299" s="14"/>
      <c r="B299" s="5"/>
      <c r="C299" s="46"/>
      <c r="D299" s="5"/>
      <c r="E299" s="5"/>
      <c r="F299" s="5"/>
      <c r="G299" s="408"/>
      <c r="H299" s="408"/>
      <c r="I299" s="6"/>
      <c r="J299" s="5"/>
    </row>
    <row r="300" spans="1:10" ht="13.5" customHeight="1">
      <c r="A300" s="14"/>
      <c r="B300" s="5"/>
      <c r="C300" s="46" t="s">
        <v>1571</v>
      </c>
      <c r="D300" s="5"/>
      <c r="E300" s="5"/>
      <c r="F300" s="5"/>
      <c r="G300" s="355" t="b">
        <f>IF('Input-Output'!E15=1,TRUE,FALSE)</f>
        <v>0</v>
      </c>
      <c r="H300" s="408"/>
      <c r="I300" s="6"/>
      <c r="J300" s="5"/>
    </row>
    <row r="301" spans="1:10" ht="13.5" customHeight="1">
      <c r="A301" s="14"/>
      <c r="B301" s="5"/>
      <c r="C301" s="22"/>
      <c r="D301" s="5"/>
      <c r="E301" s="5"/>
      <c r="F301" s="5"/>
      <c r="G301" s="408"/>
      <c r="H301" s="408"/>
      <c r="I301" s="6"/>
      <c r="J301" s="5"/>
    </row>
    <row r="302" spans="1:10" ht="13.5" customHeight="1">
      <c r="A302" s="14"/>
      <c r="B302" s="5"/>
      <c r="C302" s="22" t="s">
        <v>1580</v>
      </c>
      <c r="D302" s="5"/>
      <c r="E302" s="5"/>
      <c r="F302" s="5"/>
      <c r="G302" s="408"/>
      <c r="H302" s="408"/>
      <c r="I302" s="6"/>
      <c r="J302" s="5"/>
    </row>
    <row r="303" spans="1:10" ht="13.5" customHeight="1">
      <c r="A303" s="14"/>
      <c r="B303" s="5"/>
      <c r="C303" s="22"/>
      <c r="D303" s="5"/>
      <c r="E303" s="5"/>
      <c r="F303" s="5"/>
      <c r="G303" s="408"/>
      <c r="H303" s="408"/>
      <c r="I303" s="6"/>
      <c r="J303" s="5"/>
    </row>
    <row r="304" spans="1:10" ht="13.5" customHeight="1">
      <c r="A304" s="14"/>
      <c r="B304" s="5"/>
      <c r="C304" s="22"/>
      <c r="D304" s="379" t="s">
        <v>1494</v>
      </c>
      <c r="E304" s="5"/>
      <c r="F304" s="5"/>
      <c r="G304" s="408"/>
      <c r="H304" s="408"/>
      <c r="I304" s="6"/>
      <c r="J304" s="5"/>
    </row>
    <row r="305" spans="1:10" ht="13.5" customHeight="1">
      <c r="A305" s="14"/>
      <c r="B305" s="5"/>
      <c r="C305" s="22"/>
      <c r="D305" s="379" t="s">
        <v>1572</v>
      </c>
      <c r="E305" s="409">
        <f>(1/0.86897624)*(1/0.6213711922)</f>
        <v>1.8520000041620177</v>
      </c>
      <c r="F305" s="5"/>
      <c r="G305" s="408"/>
      <c r="H305" s="408"/>
      <c r="I305" s="6"/>
      <c r="J305" s="5"/>
    </row>
    <row r="306" spans="1:10" ht="13.5" customHeight="1">
      <c r="A306" s="14"/>
      <c r="B306" s="5"/>
      <c r="C306" s="22"/>
      <c r="D306" s="379"/>
      <c r="E306" s="5"/>
      <c r="F306" s="5"/>
      <c r="G306" s="408"/>
      <c r="H306" s="408"/>
      <c r="I306" s="6"/>
      <c r="J306" s="5"/>
    </row>
    <row r="307" spans="1:10" ht="13.5" customHeight="1" thickBot="1">
      <c r="A307" s="14"/>
      <c r="B307" s="5"/>
      <c r="C307" s="22"/>
      <c r="D307" s="379"/>
      <c r="E307" s="5"/>
      <c r="F307" s="5"/>
      <c r="G307" s="408"/>
      <c r="H307" s="408"/>
      <c r="I307" s="6"/>
      <c r="J307" s="5"/>
    </row>
    <row r="308" spans="1:10" ht="13.5" customHeight="1" thickBot="1">
      <c r="A308" s="14"/>
      <c r="B308" s="5"/>
      <c r="C308" s="22" t="s">
        <v>1581</v>
      </c>
      <c r="D308" s="379"/>
      <c r="E308" s="5"/>
      <c r="F308" s="5"/>
      <c r="G308" s="410">
        <f>IF(G300=TRUE,'Input-Output'!D15*E305,'Input-Output'!D15)</f>
        <v>296.32</v>
      </c>
      <c r="H308" s="408" t="s">
        <v>1236</v>
      </c>
      <c r="I308" s="6"/>
      <c r="J308" s="5"/>
    </row>
    <row r="309" spans="1:10" ht="13.5" customHeight="1">
      <c r="A309" s="14"/>
      <c r="B309" s="5"/>
      <c r="C309" s="22"/>
      <c r="D309" s="379"/>
      <c r="E309" s="5"/>
      <c r="F309" s="5"/>
      <c r="G309" s="408"/>
      <c r="H309" s="408"/>
      <c r="I309" s="6"/>
      <c r="J309" s="5"/>
    </row>
    <row r="310" spans="1:10" ht="12.75">
      <c r="A310" s="4"/>
      <c r="B310" s="5"/>
      <c r="C310" s="22"/>
      <c r="D310" s="379"/>
      <c r="E310" s="5"/>
      <c r="F310" s="5"/>
      <c r="G310" s="408"/>
      <c r="H310" s="408"/>
      <c r="I310" s="6"/>
      <c r="J310" s="5"/>
    </row>
    <row r="311" spans="1:10" ht="12.75">
      <c r="A311" s="4"/>
      <c r="B311" s="5" t="s">
        <v>1802</v>
      </c>
      <c r="C311" s="5"/>
      <c r="D311" s="5"/>
      <c r="E311" s="5"/>
      <c r="F311" s="5"/>
      <c r="G311" s="5"/>
      <c r="H311" s="5"/>
      <c r="I311" s="6"/>
      <c r="J311" s="5"/>
    </row>
    <row r="312" spans="1:10" ht="12.75">
      <c r="A312" s="4"/>
      <c r="B312" s="5" t="s">
        <v>802</v>
      </c>
      <c r="C312" s="5"/>
      <c r="D312" s="5"/>
      <c r="E312" s="95">
        <f>SPH_REC!F196</f>
        <v>6370332.740665482</v>
      </c>
      <c r="F312" s="5" t="s">
        <v>167</v>
      </c>
      <c r="G312" s="5"/>
      <c r="H312" s="5"/>
      <c r="I312" s="6"/>
      <c r="J312" s="5"/>
    </row>
    <row r="313" spans="1:10" ht="12.75">
      <c r="A313" s="4"/>
      <c r="B313" s="5" t="s">
        <v>779</v>
      </c>
      <c r="C313" s="95">
        <f>G308</f>
        <v>296.32</v>
      </c>
      <c r="D313" s="5" t="s">
        <v>780</v>
      </c>
      <c r="E313" s="95">
        <f>C313*1000</f>
        <v>296320</v>
      </c>
      <c r="F313" s="5" t="s">
        <v>167</v>
      </c>
      <c r="G313" s="52"/>
      <c r="H313" s="5"/>
      <c r="I313" s="6"/>
      <c r="J313" s="5"/>
    </row>
    <row r="314" spans="1:10" ht="12.75">
      <c r="A314" s="4"/>
      <c r="B314" s="5"/>
      <c r="C314" s="5"/>
      <c r="D314" s="5"/>
      <c r="E314" s="5"/>
      <c r="F314" s="5"/>
      <c r="G314" s="5"/>
      <c r="H314" s="5"/>
      <c r="I314" s="6"/>
      <c r="J314" s="5"/>
    </row>
    <row r="315" spans="1:10" ht="12.75">
      <c r="A315" s="4"/>
      <c r="B315" s="22" t="s">
        <v>781</v>
      </c>
      <c r="C315" s="5"/>
      <c r="D315" s="5"/>
      <c r="E315" s="5"/>
      <c r="F315" s="5"/>
      <c r="G315" s="5"/>
      <c r="H315" s="53">
        <f>E312+E313</f>
        <v>6666652.740665482</v>
      </c>
      <c r="I315" s="6" t="s">
        <v>167</v>
      </c>
      <c r="J315" s="5"/>
    </row>
    <row r="316" spans="1:10" ht="12.75">
      <c r="A316" s="4"/>
      <c r="B316" s="5"/>
      <c r="C316" s="5"/>
      <c r="D316" s="5"/>
      <c r="E316" s="5"/>
      <c r="F316" s="5"/>
      <c r="G316" s="5"/>
      <c r="H316" s="5"/>
      <c r="I316" s="6"/>
      <c r="J316" s="5"/>
    </row>
    <row r="317" spans="1:10" ht="12.75">
      <c r="A317" s="4"/>
      <c r="B317" s="5"/>
      <c r="C317" s="5"/>
      <c r="D317" s="5"/>
      <c r="E317" s="5"/>
      <c r="F317" s="5"/>
      <c r="G317" s="5"/>
      <c r="H317" s="5"/>
      <c r="I317" s="6"/>
      <c r="J317" s="5"/>
    </row>
    <row r="318" spans="1:10" ht="12.75">
      <c r="A318" s="4"/>
      <c r="B318" s="26" t="s">
        <v>1128</v>
      </c>
      <c r="C318" s="15" t="s">
        <v>650</v>
      </c>
      <c r="D318" s="15"/>
      <c r="E318" s="24">
        <f>E260*H315</f>
        <v>-2756905.7041250933</v>
      </c>
      <c r="F318" s="5" t="s">
        <v>167</v>
      </c>
      <c r="G318" s="5"/>
      <c r="H318" s="5"/>
      <c r="I318" s="6"/>
      <c r="J318" s="5"/>
    </row>
    <row r="319" spans="1:10" ht="12.75">
      <c r="A319" s="4"/>
      <c r="B319" s="26" t="s">
        <v>651</v>
      </c>
      <c r="C319" s="15" t="s">
        <v>652</v>
      </c>
      <c r="D319" s="15"/>
      <c r="E319" s="24">
        <f>E261*H315</f>
        <v>-4377891.963385336</v>
      </c>
      <c r="F319" s="5" t="s">
        <v>167</v>
      </c>
      <c r="G319" s="5"/>
      <c r="H319" s="5"/>
      <c r="I319" s="6"/>
      <c r="J319" s="5"/>
    </row>
    <row r="320" spans="1:10" ht="12.75">
      <c r="A320" s="4"/>
      <c r="B320" s="26" t="s">
        <v>1223</v>
      </c>
      <c r="C320" s="15" t="s">
        <v>1224</v>
      </c>
      <c r="D320" s="15"/>
      <c r="E320" s="24">
        <f>E262*H315</f>
        <v>4204496.6000832</v>
      </c>
      <c r="F320" s="5" t="s">
        <v>167</v>
      </c>
      <c r="G320" s="146"/>
      <c r="H320" s="5"/>
      <c r="I320" s="6"/>
      <c r="J320" s="5"/>
    </row>
    <row r="321" spans="1:10" ht="13.5" thickBot="1">
      <c r="A321" s="7"/>
      <c r="B321" s="8"/>
      <c r="C321" s="8"/>
      <c r="D321" s="8"/>
      <c r="E321" s="8"/>
      <c r="F321" s="8"/>
      <c r="G321" s="8"/>
      <c r="H321" s="8"/>
      <c r="I321" s="9"/>
      <c r="J321" s="5"/>
    </row>
    <row r="322" spans="1:6" ht="12.75">
      <c r="A322" s="5"/>
      <c r="B322" s="5"/>
      <c r="C322" s="5"/>
      <c r="D322" s="5"/>
      <c r="E322" s="5"/>
      <c r="F322" s="5"/>
    </row>
    <row r="323" spans="1:6" ht="13.5" thickBot="1">
      <c r="A323" s="5"/>
      <c r="B323" s="5"/>
      <c r="C323" s="5"/>
      <c r="D323" s="5"/>
      <c r="E323" s="5"/>
      <c r="F323" s="5"/>
    </row>
    <row r="324" spans="1:9" ht="18.75" customHeight="1">
      <c r="A324" s="51" t="s">
        <v>76</v>
      </c>
      <c r="B324" s="2"/>
      <c r="C324" s="2"/>
      <c r="D324" s="2"/>
      <c r="E324" s="2"/>
      <c r="F324" s="2"/>
      <c r="G324" s="2"/>
      <c r="H324" s="2"/>
      <c r="I324" s="3"/>
    </row>
    <row r="325" spans="1:9" ht="12.75">
      <c r="A325" s="4" t="s">
        <v>9</v>
      </c>
      <c r="B325" s="5"/>
      <c r="C325" s="5"/>
      <c r="D325" s="5"/>
      <c r="E325" s="5"/>
      <c r="F325" s="5"/>
      <c r="G325" s="5"/>
      <c r="H325" s="5"/>
      <c r="I325" s="6"/>
    </row>
    <row r="326" spans="1:9" ht="12.75">
      <c r="A326" s="4"/>
      <c r="B326" s="5"/>
      <c r="C326" s="5"/>
      <c r="D326" s="5"/>
      <c r="E326" s="5"/>
      <c r="F326" s="5"/>
      <c r="G326" s="5"/>
      <c r="H326" s="5"/>
      <c r="I326" s="6"/>
    </row>
    <row r="327" spans="1:9" ht="12.75">
      <c r="A327" s="4"/>
      <c r="B327" s="5"/>
      <c r="C327" s="5" t="s">
        <v>72</v>
      </c>
      <c r="D327" s="5" t="s">
        <v>73</v>
      </c>
      <c r="E327" s="5"/>
      <c r="F327" s="5"/>
      <c r="G327" s="5"/>
      <c r="H327" s="5"/>
      <c r="I327" s="6"/>
    </row>
    <row r="328" spans="1:9" ht="12.75">
      <c r="A328" s="4"/>
      <c r="B328" s="22" t="s">
        <v>1636</v>
      </c>
      <c r="C328" s="315">
        <f>IF(INDEX(Camera_Lens,'Input-Output'!C30)="Custom","Custom",INDEX(Camera_Lens,'Input-Output'!C30))</f>
        <v>250</v>
      </c>
      <c r="D328" s="316">
        <f>IF('Input-Output'!D30="","",'Input-Output'!D30)</f>
      </c>
      <c r="E328" s="5" t="s">
        <v>74</v>
      </c>
      <c r="F328" s="5"/>
      <c r="G328" s="5"/>
      <c r="H328" s="5"/>
      <c r="I328" s="6"/>
    </row>
    <row r="329" spans="1:9" ht="12.75">
      <c r="A329" s="4"/>
      <c r="B329" s="5"/>
      <c r="C329" s="5"/>
      <c r="D329" s="5"/>
      <c r="E329" s="5"/>
      <c r="F329" s="5"/>
      <c r="G329" s="5"/>
      <c r="H329" s="5"/>
      <c r="I329" s="6"/>
    </row>
    <row r="330" spans="1:9" ht="12.75">
      <c r="A330" s="4"/>
      <c r="B330" s="5"/>
      <c r="C330" s="22" t="s">
        <v>75</v>
      </c>
      <c r="D330" s="5"/>
      <c r="E330" s="5"/>
      <c r="F330" s="317">
        <f>IF(C328="Custom",D328,C328)</f>
        <v>250</v>
      </c>
      <c r="G330" s="5" t="s">
        <v>74</v>
      </c>
      <c r="H330" s="5"/>
      <c r="I330" s="6"/>
    </row>
    <row r="331" spans="1:9" ht="12.75">
      <c r="A331" s="4"/>
      <c r="B331" s="5"/>
      <c r="C331" s="5"/>
      <c r="D331" s="5"/>
      <c r="E331" s="5"/>
      <c r="F331" s="5"/>
      <c r="G331" s="5"/>
      <c r="H331" s="5"/>
      <c r="I331" s="6"/>
    </row>
    <row r="332" spans="1:9" ht="12.75">
      <c r="A332" s="4"/>
      <c r="B332" s="5"/>
      <c r="C332" s="5"/>
      <c r="D332" s="5"/>
      <c r="E332" s="5"/>
      <c r="F332" s="5"/>
      <c r="G332" s="5"/>
      <c r="H332" s="5"/>
      <c r="I332" s="6"/>
    </row>
    <row r="333" spans="1:9" ht="12.75">
      <c r="A333" s="4"/>
      <c r="B333" s="5"/>
      <c r="C333" s="763" t="s">
        <v>72</v>
      </c>
      <c r="D333" s="763"/>
      <c r="E333" s="763" t="s">
        <v>73</v>
      </c>
      <c r="F333" s="763"/>
      <c r="G333" s="5"/>
      <c r="H333" s="5"/>
      <c r="I333" s="6"/>
    </row>
    <row r="334" spans="1:9" ht="12.75">
      <c r="A334" s="4"/>
      <c r="B334" s="22" t="s">
        <v>1263</v>
      </c>
      <c r="C334" s="314" t="s">
        <v>442</v>
      </c>
      <c r="D334" s="314" t="s">
        <v>441</v>
      </c>
      <c r="E334" s="318" t="s">
        <v>442</v>
      </c>
      <c r="F334" s="318" t="s">
        <v>441</v>
      </c>
      <c r="G334" s="5"/>
      <c r="H334" s="5"/>
      <c r="I334" s="6"/>
    </row>
    <row r="335" spans="1:9" ht="12.75">
      <c r="A335" s="4"/>
      <c r="B335" s="5"/>
      <c r="C335" s="315">
        <f>IF(INDEX(Image_Format,'Input-Output'!C31,1)="Custom","Custom",INDEX(Image_Format,'Input-Output'!C31,2))</f>
        <v>105</v>
      </c>
      <c r="D335" s="315">
        <f>IF(INDEX(Image_Format,'Input-Output'!C31,1)="Custom","Custom",INDEX(Image_Format,'Input-Output'!C31,3))</f>
        <v>120</v>
      </c>
      <c r="E335" s="319">
        <f>IF('Input-Output'!D32="","",'Input-Output'!D32)</f>
      </c>
      <c r="F335" s="319">
        <f>IF('Input-Output'!E32="","",'Input-Output'!E32)</f>
      </c>
      <c r="G335" s="5"/>
      <c r="H335" s="5"/>
      <c r="I335" s="6"/>
    </row>
    <row r="336" spans="1:9" ht="12.75">
      <c r="A336" s="4"/>
      <c r="B336" s="5"/>
      <c r="C336" s="5"/>
      <c r="D336" s="5"/>
      <c r="E336" s="5"/>
      <c r="F336" s="5"/>
      <c r="G336" s="5"/>
      <c r="H336" s="5"/>
      <c r="I336" s="6"/>
    </row>
    <row r="337" spans="1:9" ht="12.75">
      <c r="A337" s="4"/>
      <c r="B337" s="5"/>
      <c r="C337" s="22"/>
      <c r="D337" s="22"/>
      <c r="E337" s="22"/>
      <c r="F337" s="132" t="s">
        <v>442</v>
      </c>
      <c r="G337" s="132" t="s">
        <v>441</v>
      </c>
      <c r="H337" s="22"/>
      <c r="I337" s="6"/>
    </row>
    <row r="338" spans="1:9" ht="12.75">
      <c r="A338" s="4"/>
      <c r="B338" s="5"/>
      <c r="C338" s="22" t="s">
        <v>1578</v>
      </c>
      <c r="D338" s="22"/>
      <c r="E338" s="22"/>
      <c r="F338" s="355">
        <f>IF(C335="Custom",E335,C335)</f>
        <v>105</v>
      </c>
      <c r="G338" s="355">
        <f>IF(D335="Custom",F335,D335)</f>
        <v>120</v>
      </c>
      <c r="H338" s="22" t="s">
        <v>74</v>
      </c>
      <c r="I338" s="6"/>
    </row>
    <row r="339" spans="1:9" ht="12.75">
      <c r="A339" s="4"/>
      <c r="B339" s="5"/>
      <c r="C339" s="5"/>
      <c r="D339" s="5"/>
      <c r="E339" s="5"/>
      <c r="F339" s="350"/>
      <c r="G339" s="350"/>
      <c r="H339" s="5"/>
      <c r="I339" s="6"/>
    </row>
    <row r="340" spans="1:9" ht="12.75">
      <c r="A340" s="4"/>
      <c r="B340" s="5"/>
      <c r="C340" s="5" t="s">
        <v>1462</v>
      </c>
      <c r="D340" s="5"/>
      <c r="E340" s="5"/>
      <c r="F340" s="5"/>
      <c r="G340" s="52"/>
      <c r="H340" s="5"/>
      <c r="I340" s="6"/>
    </row>
    <row r="341" spans="1:9" ht="12.75">
      <c r="A341" s="4"/>
      <c r="B341" s="5"/>
      <c r="C341" s="5" t="s">
        <v>1463</v>
      </c>
      <c r="D341" s="5"/>
      <c r="E341" s="5"/>
      <c r="F341" s="5"/>
      <c r="G341" s="52"/>
      <c r="H341" s="5"/>
      <c r="I341" s="6"/>
    </row>
    <row r="342" spans="1:9" ht="13.5" thickBot="1">
      <c r="A342" s="4"/>
      <c r="B342" s="5"/>
      <c r="C342" s="5"/>
      <c r="D342" s="5"/>
      <c r="E342" s="5"/>
      <c r="F342" s="5"/>
      <c r="G342" s="52"/>
      <c r="H342" s="5"/>
      <c r="I342" s="6"/>
    </row>
    <row r="343" spans="1:9" ht="13.5" thickBot="1">
      <c r="A343" s="4"/>
      <c r="B343" s="5"/>
      <c r="C343" s="5" t="s">
        <v>471</v>
      </c>
      <c r="D343" s="5"/>
      <c r="E343" s="5"/>
      <c r="F343" s="5"/>
      <c r="G343" s="349" t="b">
        <f>AND(AND(E102&lt;&gt;"",E103&lt;&gt;""),E140&lt;&gt;"")</f>
        <v>1</v>
      </c>
      <c r="H343" s="5"/>
      <c r="I343" s="6"/>
    </row>
    <row r="344" spans="1:9" ht="12.75">
      <c r="A344" s="4"/>
      <c r="B344" s="5"/>
      <c r="C344" s="5"/>
      <c r="D344" s="5"/>
      <c r="E344" s="5"/>
      <c r="F344" s="5"/>
      <c r="G344" s="52"/>
      <c r="H344" s="5"/>
      <c r="I344" s="6"/>
    </row>
    <row r="345" spans="1:9" ht="12.75">
      <c r="A345" s="4"/>
      <c r="B345" s="5"/>
      <c r="C345" s="5"/>
      <c r="D345" s="5" t="s">
        <v>1225</v>
      </c>
      <c r="E345" s="5"/>
      <c r="F345" s="5"/>
      <c r="G345" s="350"/>
      <c r="H345" s="350"/>
      <c r="I345" s="6"/>
    </row>
    <row r="346" spans="1:9" ht="12.75">
      <c r="A346" s="4"/>
      <c r="B346" s="5"/>
      <c r="C346" s="5"/>
      <c r="D346" s="5" t="s">
        <v>1226</v>
      </c>
      <c r="E346" s="5"/>
      <c r="F346" s="5"/>
      <c r="G346" s="5"/>
      <c r="H346" s="5"/>
      <c r="I346" s="6"/>
    </row>
    <row r="347" spans="1:9" ht="12.75">
      <c r="A347" s="4"/>
      <c r="B347" s="5"/>
      <c r="C347" s="5"/>
      <c r="D347" s="5" t="s">
        <v>145</v>
      </c>
      <c r="E347" s="5"/>
      <c r="F347" s="5"/>
      <c r="G347" s="5"/>
      <c r="H347" s="5"/>
      <c r="I347" s="6"/>
    </row>
    <row r="348" spans="1:9" ht="12.75">
      <c r="A348" s="4"/>
      <c r="B348" s="5"/>
      <c r="C348" s="5"/>
      <c r="D348" s="5"/>
      <c r="E348" s="5"/>
      <c r="F348" s="5"/>
      <c r="G348" s="5"/>
      <c r="H348" s="5"/>
      <c r="I348" s="6"/>
    </row>
    <row r="349" spans="1:9" ht="13.5" thickBot="1">
      <c r="A349" s="4"/>
      <c r="B349" s="5"/>
      <c r="C349" s="5"/>
      <c r="D349" s="5" t="s">
        <v>302</v>
      </c>
      <c r="E349" s="5"/>
      <c r="F349" s="5"/>
      <c r="G349" s="5"/>
      <c r="H349" s="5"/>
      <c r="I349" s="6"/>
    </row>
    <row r="350" spans="1:9" ht="13.5" thickBot="1">
      <c r="A350" s="4"/>
      <c r="B350" s="5"/>
      <c r="C350" s="5"/>
      <c r="D350" s="5" t="s">
        <v>303</v>
      </c>
      <c r="E350" s="5"/>
      <c r="F350" s="5"/>
      <c r="G350" s="5"/>
      <c r="H350" s="349">
        <f>IF(AND(G343=FALSE,(F338&lt;&gt;G338))=TRUE,TRUE,"")</f>
      </c>
      <c r="I350" s="6"/>
    </row>
    <row r="351" spans="1:9" ht="12.75">
      <c r="A351" s="4"/>
      <c r="B351" s="5"/>
      <c r="C351" s="5"/>
      <c r="D351" s="5"/>
      <c r="E351" s="5"/>
      <c r="F351" s="5"/>
      <c r="G351" s="5"/>
      <c r="H351" s="5"/>
      <c r="I351" s="6"/>
    </row>
    <row r="352" spans="1:9" ht="12.75">
      <c r="A352" s="4"/>
      <c r="B352" s="5"/>
      <c r="C352" s="5"/>
      <c r="D352" s="5" t="s">
        <v>1414</v>
      </c>
      <c r="E352" s="5"/>
      <c r="F352" s="5"/>
      <c r="G352" s="5"/>
      <c r="H352" s="5"/>
      <c r="I352" s="6"/>
    </row>
    <row r="353" spans="1:9" ht="12.75">
      <c r="A353" s="4"/>
      <c r="B353" s="5"/>
      <c r="C353" s="5"/>
      <c r="D353" s="5" t="s">
        <v>1634</v>
      </c>
      <c r="E353" s="5"/>
      <c r="F353" s="5"/>
      <c r="G353" s="5"/>
      <c r="H353" s="5"/>
      <c r="I353" s="6"/>
    </row>
    <row r="354" spans="1:9" ht="12.75">
      <c r="A354" s="4"/>
      <c r="B354" s="5"/>
      <c r="C354" s="5"/>
      <c r="D354" s="5"/>
      <c r="E354" s="5"/>
      <c r="F354" s="5"/>
      <c r="G354" s="5"/>
      <c r="H354" s="5"/>
      <c r="I354" s="6"/>
    </row>
    <row r="355" spans="1:9" ht="12.75">
      <c r="A355" s="4"/>
      <c r="B355" s="5"/>
      <c r="C355" s="5"/>
      <c r="D355" s="5"/>
      <c r="E355" s="5"/>
      <c r="F355" s="5"/>
      <c r="G355" s="132" t="s">
        <v>442</v>
      </c>
      <c r="H355" s="132" t="s">
        <v>441</v>
      </c>
      <c r="I355" s="6"/>
    </row>
    <row r="356" spans="1:9" ht="12.75">
      <c r="A356" s="4"/>
      <c r="B356" s="5"/>
      <c r="C356" s="22" t="s">
        <v>1635</v>
      </c>
      <c r="D356" s="5"/>
      <c r="E356" s="5"/>
      <c r="F356" s="5"/>
      <c r="G356" s="355">
        <f>IF(H350=TRUE,IF(F338&gt;G338,G338,F338),F338)</f>
        <v>105</v>
      </c>
      <c r="H356" s="355">
        <f>IF(H350=TRUE,IF(F338&gt;G338,G338,F338),G338)</f>
        <v>120</v>
      </c>
      <c r="I356" s="259" t="s">
        <v>74</v>
      </c>
    </row>
    <row r="357" spans="1:9" ht="12.75">
      <c r="A357" s="4"/>
      <c r="B357" s="5"/>
      <c r="C357" s="22"/>
      <c r="D357" s="5"/>
      <c r="E357" s="5"/>
      <c r="F357" s="5"/>
      <c r="G357" s="408"/>
      <c r="H357" s="408"/>
      <c r="I357" s="259"/>
    </row>
    <row r="358" spans="1:9" ht="13.5" customHeight="1" thickBot="1">
      <c r="A358" s="7"/>
      <c r="B358" s="8"/>
      <c r="C358" s="8"/>
      <c r="D358" s="8"/>
      <c r="E358" s="8"/>
      <c r="F358" s="8"/>
      <c r="G358" s="8"/>
      <c r="H358" s="8"/>
      <c r="I358" s="9"/>
    </row>
    <row r="359" spans="1:6" ht="13.5" customHeight="1">
      <c r="A359" s="5"/>
      <c r="B359" s="5"/>
      <c r="C359" s="5"/>
      <c r="D359" s="5"/>
      <c r="E359" s="5"/>
      <c r="F359" s="5"/>
    </row>
    <row r="360" spans="1:6" ht="13.5" customHeight="1">
      <c r="A360" s="5"/>
      <c r="B360" s="5"/>
      <c r="C360" s="5"/>
      <c r="D360" s="5"/>
      <c r="E360" s="5"/>
      <c r="F360" s="5"/>
    </row>
    <row r="361" spans="1:6" ht="12.75">
      <c r="A361" s="5"/>
      <c r="B361" s="5"/>
      <c r="C361" s="5"/>
      <c r="D361" s="5"/>
      <c r="E361" s="5"/>
      <c r="F361" s="5"/>
    </row>
    <row r="363" spans="1:4" ht="15.75">
      <c r="A363" s="225" t="s">
        <v>655</v>
      </c>
      <c r="B363" s="226"/>
      <c r="C363" s="226"/>
      <c r="D363" s="226"/>
    </row>
    <row r="364" ht="13.5" thickBot="1"/>
    <row r="365" spans="2:4" ht="15.75">
      <c r="B365" s="219" t="s">
        <v>656</v>
      </c>
      <c r="C365" s="219" t="s">
        <v>657</v>
      </c>
      <c r="D365" s="223" t="s">
        <v>656</v>
      </c>
    </row>
    <row r="366" spans="2:4" ht="16.5" thickBot="1">
      <c r="B366" s="220" t="s">
        <v>658</v>
      </c>
      <c r="C366" s="228"/>
      <c r="D366" s="224" t="s">
        <v>659</v>
      </c>
    </row>
    <row r="367" spans="2:4" ht="15.75">
      <c r="B367" s="229">
        <v>1</v>
      </c>
      <c r="C367" s="231" t="str">
        <f>IF(G262="None","None","Error")</f>
        <v>None</v>
      </c>
      <c r="D367" s="237">
        <f>IF(C367="None",0,1)</f>
        <v>0</v>
      </c>
    </row>
    <row r="368" spans="2:4" ht="15.75">
      <c r="B368" s="221">
        <v>2</v>
      </c>
      <c r="C368" s="232" t="str">
        <f>IF(G269="None","None","Error")</f>
        <v>None</v>
      </c>
      <c r="D368" s="238">
        <f>IF(C368="None",0,1)</f>
        <v>0</v>
      </c>
    </row>
    <row r="369" spans="2:4" ht="15.75">
      <c r="B369" s="221">
        <v>3</v>
      </c>
      <c r="C369" s="232" t="str">
        <f>IF(G276="None","None","Error")</f>
        <v>None</v>
      </c>
      <c r="D369" s="238">
        <f>IF(C369="None",0,1)</f>
        <v>0</v>
      </c>
    </row>
    <row r="370" spans="2:4" ht="15.75">
      <c r="B370" s="221">
        <v>4</v>
      </c>
      <c r="C370" s="232" t="str">
        <f>IF(G283="None","None","Error")</f>
        <v>None</v>
      </c>
      <c r="D370" s="238">
        <f>IF(C370="None",0,1)</f>
        <v>0</v>
      </c>
    </row>
    <row r="371" spans="2:4" ht="16.5" thickBot="1">
      <c r="B371" s="230">
        <v>5</v>
      </c>
      <c r="C371" s="233" t="str">
        <f>IF(G291="None","None","Error")</f>
        <v>None</v>
      </c>
      <c r="D371" s="239">
        <f>IF(C371="None",0,1)</f>
        <v>0</v>
      </c>
    </row>
    <row r="372" ht="13.5" thickBot="1"/>
    <row r="373" spans="2:4" ht="16.5" thickBot="1">
      <c r="B373" s="234" t="s">
        <v>660</v>
      </c>
      <c r="C373" s="235"/>
      <c r="D373" s="236">
        <f>SUM(D367:D371)</f>
        <v>0</v>
      </c>
    </row>
  </sheetData>
  <sheetProtection password="CFF3" sheet="1" objects="1" scenarios="1"/>
  <mergeCells count="2">
    <mergeCell ref="C333:D333"/>
    <mergeCell ref="E333:F333"/>
  </mergeCells>
  <printOptions/>
  <pageMargins left="0.75" right="0.42" top="0.51" bottom="0.99" header="0.5" footer="0.5"/>
  <pageSetup orientation="portrait" paperSize="9" scale="68"/>
  <headerFooter alignWithMargins="0">
    <oddFooter>&amp;C&amp;A&amp;RPage &amp;P</oddFooter>
  </headerFooter>
  <drawing r:id="rId1"/>
</worksheet>
</file>

<file path=xl/worksheets/sheet5.xml><?xml version="1.0" encoding="utf-8"?>
<worksheet xmlns="http://schemas.openxmlformats.org/spreadsheetml/2006/main" xmlns:r="http://schemas.openxmlformats.org/officeDocument/2006/relationships">
  <sheetPr codeName="Sheet4"/>
  <dimension ref="A1:M419"/>
  <sheetViews>
    <sheetView workbookViewId="0" topLeftCell="A1">
      <selection activeCell="A1" sqref="A1"/>
    </sheetView>
  </sheetViews>
  <sheetFormatPr defaultColWidth="9.00390625" defaultRowHeight="12.75"/>
  <cols>
    <col min="1" max="1" width="2.125" style="0" customWidth="1"/>
    <col min="2" max="2" width="11.375" style="0" customWidth="1"/>
    <col min="3" max="3" width="14.00390625" style="0" customWidth="1"/>
    <col min="4" max="4" width="10.625" style="0" customWidth="1"/>
    <col min="5" max="5" width="15.125" style="0" customWidth="1"/>
    <col min="6" max="6" width="16.25390625" style="0" customWidth="1"/>
    <col min="7" max="7" width="11.375" style="0" customWidth="1"/>
    <col min="8" max="8" width="12.125" style="0" customWidth="1"/>
    <col min="9" max="9" width="12.25390625" style="0" customWidth="1"/>
    <col min="10" max="10" width="12.00390625" style="0" customWidth="1"/>
    <col min="11" max="11" width="20.375" style="0" customWidth="1"/>
    <col min="12" max="12" width="6.875" style="0" customWidth="1"/>
    <col min="13" max="16384" width="11.375" style="0" customWidth="1"/>
  </cols>
  <sheetData>
    <row r="1" spans="1:12" ht="23.25">
      <c r="A1" s="458" t="s">
        <v>343</v>
      </c>
      <c r="B1" s="298"/>
      <c r="C1" s="298"/>
      <c r="D1" s="298"/>
      <c r="E1" s="298"/>
      <c r="F1" s="298"/>
      <c r="G1" s="298"/>
      <c r="H1" s="298"/>
      <c r="I1" s="298"/>
      <c r="J1" s="298"/>
      <c r="K1" s="298"/>
      <c r="L1" s="298"/>
    </row>
    <row r="2" spans="1:10" ht="16.5" customHeight="1">
      <c r="A2" s="472"/>
      <c r="B2" s="202"/>
      <c r="C2" s="202"/>
      <c r="D2" s="202"/>
      <c r="E2" s="202"/>
      <c r="F2" s="202"/>
      <c r="G2" s="202"/>
      <c r="H2" s="202"/>
      <c r="I2" s="202"/>
      <c r="J2" s="202"/>
    </row>
    <row r="3" spans="1:13" ht="21.75" customHeight="1">
      <c r="A3" s="458"/>
      <c r="B3" s="491" t="s">
        <v>950</v>
      </c>
      <c r="C3" s="298"/>
      <c r="D3" s="298"/>
      <c r="E3" s="298"/>
      <c r="F3" s="298"/>
      <c r="G3" s="298"/>
      <c r="H3" s="298"/>
      <c r="I3" s="298"/>
      <c r="J3" s="298"/>
      <c r="K3" s="298"/>
      <c r="L3" s="298"/>
      <c r="M3" s="298"/>
    </row>
    <row r="4" spans="1:13" ht="18.75" customHeight="1">
      <c r="A4" s="458"/>
      <c r="B4" s="492" t="s">
        <v>947</v>
      </c>
      <c r="C4" s="298"/>
      <c r="D4" s="298"/>
      <c r="E4" s="298"/>
      <c r="F4" s="298"/>
      <c r="G4" s="298"/>
      <c r="H4" s="298"/>
      <c r="I4" s="298"/>
      <c r="J4" s="298"/>
      <c r="K4" s="298"/>
      <c r="L4" s="298"/>
      <c r="M4" s="298"/>
    </row>
    <row r="5" spans="1:13" ht="15" customHeight="1">
      <c r="A5" s="458"/>
      <c r="B5" s="297"/>
      <c r="C5" s="298"/>
      <c r="D5" s="298"/>
      <c r="E5" s="298"/>
      <c r="F5" s="298"/>
      <c r="G5" s="298"/>
      <c r="H5" s="298"/>
      <c r="I5" s="298"/>
      <c r="J5" s="298"/>
      <c r="K5" s="298"/>
      <c r="L5" s="298"/>
      <c r="M5" s="298"/>
    </row>
    <row r="6" spans="1:10" ht="15" customHeight="1">
      <c r="A6" s="472"/>
      <c r="B6" s="202"/>
      <c r="C6" s="202"/>
      <c r="D6" s="202"/>
      <c r="E6" s="202"/>
      <c r="F6" s="202"/>
      <c r="G6" s="202"/>
      <c r="H6" s="202"/>
      <c r="I6" s="202"/>
      <c r="J6" s="202"/>
    </row>
    <row r="7" spans="1:2" ht="18">
      <c r="A7" s="12" t="s">
        <v>661</v>
      </c>
      <c r="B7" s="12"/>
    </row>
    <row r="8" ht="23.25">
      <c r="A8" s="25" t="s">
        <v>662</v>
      </c>
    </row>
    <row r="9" ht="21.75" customHeight="1">
      <c r="A9" s="25" t="s">
        <v>663</v>
      </c>
    </row>
    <row r="10" ht="13.5" customHeight="1">
      <c r="A10" s="25"/>
    </row>
    <row r="12" spans="1:2" ht="15.75">
      <c r="A12" s="11" t="s">
        <v>664</v>
      </c>
      <c r="B12" s="60"/>
    </row>
    <row r="14" spans="1:2" ht="14.25">
      <c r="A14" s="30" t="s">
        <v>665</v>
      </c>
      <c r="B14" s="30"/>
    </row>
    <row r="15" spans="1:2" ht="14.25">
      <c r="A15" s="30" t="s">
        <v>670</v>
      </c>
      <c r="B15" s="30"/>
    </row>
    <row r="16" spans="1:2" ht="14.25">
      <c r="A16" s="30"/>
      <c r="B16" s="30"/>
    </row>
    <row r="17" spans="1:2" ht="14.25">
      <c r="A17" s="30" t="s">
        <v>1132</v>
      </c>
      <c r="B17" s="30"/>
    </row>
    <row r="18" spans="1:2" ht="14.25">
      <c r="A18" s="30"/>
      <c r="B18" s="30"/>
    </row>
    <row r="19" spans="1:2" ht="14.25">
      <c r="A19" s="30" t="s">
        <v>1133</v>
      </c>
      <c r="B19" s="30"/>
    </row>
    <row r="20" spans="1:2" ht="14.25">
      <c r="A20" s="30" t="s">
        <v>582</v>
      </c>
      <c r="B20" s="30"/>
    </row>
    <row r="21" spans="1:2" ht="14.25">
      <c r="A21" s="30" t="s">
        <v>583</v>
      </c>
      <c r="B21" s="30"/>
    </row>
    <row r="22" ht="13.5" thickBot="1"/>
    <row r="23" spans="1:12" ht="12.75">
      <c r="A23" s="1"/>
      <c r="B23" s="2"/>
      <c r="C23" s="2"/>
      <c r="D23" s="2"/>
      <c r="E23" s="2"/>
      <c r="F23" s="3"/>
      <c r="G23" s="1"/>
      <c r="H23" s="2"/>
      <c r="I23" s="2"/>
      <c r="J23" s="2"/>
      <c r="K23" s="2"/>
      <c r="L23" s="3"/>
    </row>
    <row r="24" spans="1:12" ht="18">
      <c r="A24" s="13" t="s">
        <v>143</v>
      </c>
      <c r="B24" s="5"/>
      <c r="C24" s="5"/>
      <c r="D24" s="5"/>
      <c r="E24" s="5"/>
      <c r="F24" s="6"/>
      <c r="G24" s="43" t="s">
        <v>584</v>
      </c>
      <c r="H24" s="5"/>
      <c r="I24" s="5"/>
      <c r="J24" s="5"/>
      <c r="K24" s="5"/>
      <c r="L24" s="6"/>
    </row>
    <row r="25" spans="1:12" ht="12.75">
      <c r="A25" s="4"/>
      <c r="B25" s="5"/>
      <c r="C25" s="5"/>
      <c r="D25" s="5"/>
      <c r="E25" s="5"/>
      <c r="F25" s="6"/>
      <c r="G25" s="4"/>
      <c r="H25" s="5"/>
      <c r="I25" s="5"/>
      <c r="J25" s="5"/>
      <c r="K25" s="5"/>
      <c r="L25" s="6"/>
    </row>
    <row r="26" spans="1:12" ht="12.75">
      <c r="A26" s="4"/>
      <c r="B26" s="5"/>
      <c r="C26" s="5"/>
      <c r="D26" s="5"/>
      <c r="E26" s="5"/>
      <c r="F26" s="6"/>
      <c r="G26" s="4" t="s">
        <v>1750</v>
      </c>
      <c r="H26" s="5"/>
      <c r="I26" s="5"/>
      <c r="J26" s="5"/>
      <c r="K26" s="5"/>
      <c r="L26" s="6"/>
    </row>
    <row r="27" spans="1:12" ht="12.75">
      <c r="A27" s="4"/>
      <c r="B27" s="5"/>
      <c r="C27" s="5"/>
      <c r="D27" s="5"/>
      <c r="E27" s="5"/>
      <c r="F27" s="6"/>
      <c r="G27" s="4" t="s">
        <v>1751</v>
      </c>
      <c r="H27" s="5"/>
      <c r="I27" s="5"/>
      <c r="J27" s="5"/>
      <c r="K27" s="5"/>
      <c r="L27" s="6"/>
    </row>
    <row r="28" spans="1:12" ht="12.75">
      <c r="A28" s="4"/>
      <c r="B28" s="5"/>
      <c r="C28" s="5"/>
      <c r="D28" s="5"/>
      <c r="E28" s="5"/>
      <c r="F28" s="6"/>
      <c r="G28" s="4" t="s">
        <v>744</v>
      </c>
      <c r="H28" s="5"/>
      <c r="I28" s="5"/>
      <c r="J28" s="5"/>
      <c r="K28" s="5"/>
      <c r="L28" s="6"/>
    </row>
    <row r="29" spans="1:12" ht="12.75">
      <c r="A29" s="4"/>
      <c r="B29" s="5"/>
      <c r="C29" s="5"/>
      <c r="D29" s="110" t="s">
        <v>745</v>
      </c>
      <c r="E29" s="5"/>
      <c r="F29" s="6"/>
      <c r="G29" s="4" t="s">
        <v>747</v>
      </c>
      <c r="H29" s="5"/>
      <c r="I29" s="5"/>
      <c r="J29" s="5"/>
      <c r="K29" s="5"/>
      <c r="L29" s="6"/>
    </row>
    <row r="30" spans="1:12" ht="12.75">
      <c r="A30" s="4"/>
      <c r="B30" s="5"/>
      <c r="C30" s="5"/>
      <c r="D30" s="5"/>
      <c r="E30" s="5"/>
      <c r="F30" s="6"/>
      <c r="G30" s="4"/>
      <c r="H30" s="5"/>
      <c r="I30" s="5"/>
      <c r="J30" s="5"/>
      <c r="K30" s="5"/>
      <c r="L30" s="6"/>
    </row>
    <row r="31" spans="1:12" ht="12.75">
      <c r="A31" s="4"/>
      <c r="B31" s="5"/>
      <c r="C31" s="5"/>
      <c r="D31" s="41" t="s">
        <v>748</v>
      </c>
      <c r="E31" s="5"/>
      <c r="F31" s="6"/>
      <c r="G31" s="4"/>
      <c r="H31" s="5"/>
      <c r="I31" s="5"/>
      <c r="J31" s="5" t="s">
        <v>749</v>
      </c>
      <c r="K31" s="5"/>
      <c r="L31" s="6"/>
    </row>
    <row r="32" spans="1:12" ht="12.75">
      <c r="A32" s="4"/>
      <c r="B32" s="5"/>
      <c r="C32" s="5"/>
      <c r="D32" s="5"/>
      <c r="E32" s="109" t="s">
        <v>750</v>
      </c>
      <c r="F32" s="6"/>
      <c r="G32" s="4"/>
      <c r="H32" s="5"/>
      <c r="I32" s="5" t="s">
        <v>1759</v>
      </c>
      <c r="J32" s="5"/>
      <c r="K32" s="5"/>
      <c r="L32" s="6"/>
    </row>
    <row r="33" spans="1:12" ht="12.75">
      <c r="A33" s="4"/>
      <c r="B33" s="5"/>
      <c r="C33" s="5"/>
      <c r="D33" s="5" t="s">
        <v>1760</v>
      </c>
      <c r="E33" s="5"/>
      <c r="F33" s="6"/>
      <c r="G33" s="4"/>
      <c r="H33" s="5"/>
      <c r="I33" s="5"/>
      <c r="J33" s="5"/>
      <c r="K33" s="5" t="s">
        <v>1679</v>
      </c>
      <c r="L33" s="6"/>
    </row>
    <row r="34" spans="1:12" ht="12.75">
      <c r="A34" s="4"/>
      <c r="B34" s="5"/>
      <c r="C34" s="5"/>
      <c r="D34" s="5"/>
      <c r="E34" s="5"/>
      <c r="F34" s="6"/>
      <c r="G34" s="4"/>
      <c r="H34" s="5"/>
      <c r="I34" s="5"/>
      <c r="J34" s="5"/>
      <c r="K34" s="5"/>
      <c r="L34" s="6"/>
    </row>
    <row r="35" spans="1:12" ht="12.75">
      <c r="A35" s="4"/>
      <c r="B35" s="5"/>
      <c r="C35" s="5"/>
      <c r="D35" s="5"/>
      <c r="E35" s="5"/>
      <c r="F35" s="6"/>
      <c r="G35" s="4"/>
      <c r="H35" s="5"/>
      <c r="I35" s="5"/>
      <c r="J35" s="5"/>
      <c r="K35" s="5"/>
      <c r="L35" s="6"/>
    </row>
    <row r="36" spans="1:12" ht="12.75">
      <c r="A36" s="4"/>
      <c r="B36" s="5"/>
      <c r="C36" s="5"/>
      <c r="D36" s="5"/>
      <c r="E36" s="5"/>
      <c r="F36" s="6"/>
      <c r="G36" s="4"/>
      <c r="H36" s="5"/>
      <c r="I36" s="5" t="s">
        <v>1765</v>
      </c>
      <c r="J36" s="5"/>
      <c r="K36" s="5"/>
      <c r="L36" s="6"/>
    </row>
    <row r="37" spans="1:12" ht="12.75">
      <c r="A37" s="4"/>
      <c r="B37" s="5"/>
      <c r="C37" s="5"/>
      <c r="D37" s="5"/>
      <c r="E37" s="5"/>
      <c r="F37" s="6"/>
      <c r="G37" s="4"/>
      <c r="H37" s="5"/>
      <c r="I37" s="5"/>
      <c r="J37" s="5"/>
      <c r="K37" s="5"/>
      <c r="L37" s="6"/>
    </row>
    <row r="38" spans="1:12" ht="12.75">
      <c r="A38" s="4"/>
      <c r="B38" s="5"/>
      <c r="C38" s="5"/>
      <c r="D38" s="5"/>
      <c r="E38" s="5"/>
      <c r="F38" s="6"/>
      <c r="G38" s="4"/>
      <c r="H38" s="5"/>
      <c r="I38" s="5"/>
      <c r="J38" s="5"/>
      <c r="K38" s="5" t="s">
        <v>1766</v>
      </c>
      <c r="L38" s="6"/>
    </row>
    <row r="39" spans="1:12" ht="12.75">
      <c r="A39" s="4"/>
      <c r="B39" s="5"/>
      <c r="C39" s="5"/>
      <c r="D39" s="5"/>
      <c r="E39" s="5"/>
      <c r="F39" s="6"/>
      <c r="G39" s="4"/>
      <c r="H39" s="5"/>
      <c r="I39" s="5"/>
      <c r="J39" s="5"/>
      <c r="K39" s="5"/>
      <c r="L39" s="6"/>
    </row>
    <row r="40" spans="1:12" ht="12.75">
      <c r="A40" s="4"/>
      <c r="B40" s="5"/>
      <c r="C40" s="5"/>
      <c r="D40" s="5"/>
      <c r="E40" s="5"/>
      <c r="F40" s="6"/>
      <c r="G40" s="4"/>
      <c r="H40" s="5"/>
      <c r="I40" s="5"/>
      <c r="J40" s="5"/>
      <c r="K40" s="5"/>
      <c r="L40" s="6"/>
    </row>
    <row r="41" spans="1:12" ht="12.75">
      <c r="A41" s="4"/>
      <c r="B41" s="5"/>
      <c r="C41" s="5"/>
      <c r="D41" s="110" t="s">
        <v>1767</v>
      </c>
      <c r="E41" s="5"/>
      <c r="F41" s="6" t="s">
        <v>1768</v>
      </c>
      <c r="G41" s="4"/>
      <c r="H41" s="5"/>
      <c r="I41" s="5" t="s">
        <v>1769</v>
      </c>
      <c r="J41" s="5"/>
      <c r="K41" s="5"/>
      <c r="L41" s="6"/>
    </row>
    <row r="42" spans="1:12" ht="12.75">
      <c r="A42" s="4"/>
      <c r="B42" s="41" t="s">
        <v>1770</v>
      </c>
      <c r="C42" s="5"/>
      <c r="D42" s="5"/>
      <c r="E42" s="112" t="s">
        <v>1771</v>
      </c>
      <c r="F42" s="6"/>
      <c r="G42" s="4"/>
      <c r="H42" s="5"/>
      <c r="I42" s="5"/>
      <c r="J42" s="5"/>
      <c r="K42" s="5"/>
      <c r="L42" s="6"/>
    </row>
    <row r="43" spans="1:12" ht="12.75">
      <c r="A43" s="4"/>
      <c r="B43" s="5"/>
      <c r="C43" s="5"/>
      <c r="D43" s="110" t="s">
        <v>1772</v>
      </c>
      <c r="E43" s="5"/>
      <c r="F43" s="6"/>
      <c r="G43" s="4"/>
      <c r="H43" s="5"/>
      <c r="I43" s="5"/>
      <c r="J43" s="111" t="s">
        <v>487</v>
      </c>
      <c r="K43" s="5"/>
      <c r="L43" s="6"/>
    </row>
    <row r="44" spans="1:12" ht="12.75">
      <c r="A44" s="4"/>
      <c r="B44" s="5"/>
      <c r="C44" s="5"/>
      <c r="D44" s="112" t="s">
        <v>488</v>
      </c>
      <c r="E44" s="5"/>
      <c r="F44" s="6"/>
      <c r="G44" s="4"/>
      <c r="H44" s="5"/>
      <c r="I44" s="110" t="s">
        <v>489</v>
      </c>
      <c r="J44" s="5"/>
      <c r="K44" s="5"/>
      <c r="L44" s="6"/>
    </row>
    <row r="45" spans="1:12" ht="12.75">
      <c r="A45" s="4"/>
      <c r="B45" s="5"/>
      <c r="C45" s="5"/>
      <c r="D45" s="5"/>
      <c r="E45" s="22" t="s">
        <v>490</v>
      </c>
      <c r="F45" s="6"/>
      <c r="G45" s="4"/>
      <c r="H45" s="5"/>
      <c r="I45" s="5"/>
      <c r="J45" s="5"/>
      <c r="K45" s="5"/>
      <c r="L45" s="6"/>
    </row>
    <row r="46" spans="1:12" ht="12.75">
      <c r="A46" s="4"/>
      <c r="B46" s="5"/>
      <c r="C46" s="5" t="s">
        <v>491</v>
      </c>
      <c r="D46" s="5"/>
      <c r="E46" s="5"/>
      <c r="F46" s="6"/>
      <c r="G46" s="4"/>
      <c r="H46" s="5"/>
      <c r="I46" s="5"/>
      <c r="J46" s="109" t="s">
        <v>492</v>
      </c>
      <c r="K46" s="5"/>
      <c r="L46" s="6"/>
    </row>
    <row r="47" spans="1:12" ht="12.75">
      <c r="A47" s="4"/>
      <c r="B47" s="5"/>
      <c r="C47" s="5" t="s">
        <v>263</v>
      </c>
      <c r="D47" s="5"/>
      <c r="E47" s="5"/>
      <c r="F47" s="6"/>
      <c r="G47" s="4"/>
      <c r="H47" s="5"/>
      <c r="I47" s="5"/>
      <c r="J47" s="42"/>
      <c r="K47" s="5"/>
      <c r="L47" s="6"/>
    </row>
    <row r="48" spans="1:12" ht="12.75">
      <c r="A48" s="4"/>
      <c r="B48" s="5"/>
      <c r="C48" s="5"/>
      <c r="D48" s="5"/>
      <c r="E48" s="5"/>
      <c r="F48" s="6"/>
      <c r="G48" s="4"/>
      <c r="H48" s="5"/>
      <c r="I48" s="5" t="s">
        <v>493</v>
      </c>
      <c r="J48" s="5"/>
      <c r="K48" s="5"/>
      <c r="L48" s="6"/>
    </row>
    <row r="49" spans="1:12" ht="12.75">
      <c r="A49" s="4"/>
      <c r="B49" s="5"/>
      <c r="C49" s="5"/>
      <c r="D49" s="5"/>
      <c r="E49" s="5"/>
      <c r="F49" s="6"/>
      <c r="G49" s="4"/>
      <c r="H49" s="5"/>
      <c r="I49" s="61" t="s">
        <v>494</v>
      </c>
      <c r="J49" s="5"/>
      <c r="K49" s="5"/>
      <c r="L49" s="6"/>
    </row>
    <row r="50" spans="1:12" ht="12.75">
      <c r="A50" s="4"/>
      <c r="B50" s="5"/>
      <c r="C50" s="5"/>
      <c r="D50" s="5"/>
      <c r="E50" s="5"/>
      <c r="F50" s="6"/>
      <c r="G50" s="4"/>
      <c r="H50" s="5"/>
      <c r="I50" s="5"/>
      <c r="J50" s="5"/>
      <c r="K50" s="5"/>
      <c r="L50" s="6"/>
    </row>
    <row r="51" spans="1:12" ht="12.75">
      <c r="A51" s="4"/>
      <c r="B51" s="5"/>
      <c r="C51" s="5"/>
      <c r="D51" s="5"/>
      <c r="E51" s="5"/>
      <c r="F51" s="6"/>
      <c r="G51" s="4"/>
      <c r="H51" s="5"/>
      <c r="I51" s="5"/>
      <c r="J51" s="5"/>
      <c r="K51" s="5"/>
      <c r="L51" s="6"/>
    </row>
    <row r="52" spans="1:12" ht="12.75">
      <c r="A52" s="4"/>
      <c r="B52" s="5"/>
      <c r="C52" s="5"/>
      <c r="D52" s="5"/>
      <c r="E52" s="5"/>
      <c r="F52" s="6"/>
      <c r="G52" s="4"/>
      <c r="H52" s="5"/>
      <c r="I52" s="5"/>
      <c r="J52" s="5"/>
      <c r="K52" s="5"/>
      <c r="L52" s="6"/>
    </row>
    <row r="53" spans="1:12" ht="12.75">
      <c r="A53" s="4"/>
      <c r="B53" s="5"/>
      <c r="C53" s="5"/>
      <c r="D53" s="5"/>
      <c r="E53" s="5"/>
      <c r="F53" s="6"/>
      <c r="G53" s="4"/>
      <c r="H53" s="5"/>
      <c r="I53" s="5"/>
      <c r="J53" s="108" t="s">
        <v>495</v>
      </c>
      <c r="K53" s="5"/>
      <c r="L53" s="6"/>
    </row>
    <row r="54" spans="1:12" ht="12.75">
      <c r="A54" s="4"/>
      <c r="B54" s="5"/>
      <c r="C54" s="5"/>
      <c r="D54" s="5"/>
      <c r="E54" s="5"/>
      <c r="F54" s="6"/>
      <c r="G54" s="4"/>
      <c r="H54" s="5"/>
      <c r="I54" s="5"/>
      <c r="J54" s="5"/>
      <c r="K54" s="5"/>
      <c r="L54" s="6"/>
    </row>
    <row r="55" spans="1:12" ht="12.75">
      <c r="A55" s="4"/>
      <c r="B55" s="5"/>
      <c r="C55" s="5"/>
      <c r="D55" s="5"/>
      <c r="E55" s="5"/>
      <c r="F55" s="6"/>
      <c r="G55" s="4"/>
      <c r="H55" s="5"/>
      <c r="I55" s="5"/>
      <c r="J55" s="5"/>
      <c r="K55" s="5"/>
      <c r="L55" s="6"/>
    </row>
    <row r="56" spans="1:12" ht="12.75">
      <c r="A56" s="4"/>
      <c r="B56" s="5"/>
      <c r="C56" s="5"/>
      <c r="D56" s="5"/>
      <c r="E56" s="5"/>
      <c r="F56" s="6"/>
      <c r="G56" s="4"/>
      <c r="H56" s="5"/>
      <c r="I56" s="5"/>
      <c r="J56" s="5"/>
      <c r="K56" s="5"/>
      <c r="L56" s="6"/>
    </row>
    <row r="57" spans="1:12" ht="12.75">
      <c r="A57" s="4"/>
      <c r="B57" s="5"/>
      <c r="C57" s="5"/>
      <c r="D57" s="5"/>
      <c r="E57" s="5"/>
      <c r="F57" s="6"/>
      <c r="G57" s="4"/>
      <c r="H57" s="5"/>
      <c r="I57" s="5"/>
      <c r="J57" s="5"/>
      <c r="K57" s="5"/>
      <c r="L57" s="6"/>
    </row>
    <row r="58" spans="1:12" ht="13.5" thickBot="1">
      <c r="A58" s="7"/>
      <c r="B58" s="8"/>
      <c r="C58" s="8"/>
      <c r="D58" s="8"/>
      <c r="E58" s="8"/>
      <c r="F58" s="9"/>
      <c r="G58" s="7"/>
      <c r="H58" s="8"/>
      <c r="I58" s="8"/>
      <c r="J58" s="8"/>
      <c r="K58" s="8"/>
      <c r="L58" s="9"/>
    </row>
    <row r="59" ht="13.5" thickBot="1"/>
    <row r="60" spans="1:12" ht="12.75">
      <c r="A60" s="1"/>
      <c r="B60" s="2"/>
      <c r="C60" s="2"/>
      <c r="D60" s="2"/>
      <c r="E60" s="2"/>
      <c r="F60" s="2"/>
      <c r="G60" s="2"/>
      <c r="H60" s="2"/>
      <c r="I60" s="2"/>
      <c r="J60" s="2"/>
      <c r="K60" s="2"/>
      <c r="L60" s="3"/>
    </row>
    <row r="61" spans="1:12" ht="12.75">
      <c r="A61" s="10" t="s">
        <v>909</v>
      </c>
      <c r="B61" s="5"/>
      <c r="C61" s="5"/>
      <c r="D61" s="5"/>
      <c r="E61" s="5"/>
      <c r="F61" s="5"/>
      <c r="G61" s="5"/>
      <c r="H61" s="5"/>
      <c r="I61" s="5"/>
      <c r="J61" s="5"/>
      <c r="K61" s="5"/>
      <c r="L61" s="6"/>
    </row>
    <row r="62" spans="1:12" ht="12.75">
      <c r="A62" s="10" t="s">
        <v>496</v>
      </c>
      <c r="B62" s="5"/>
      <c r="C62" s="5"/>
      <c r="D62" s="5"/>
      <c r="E62" s="5"/>
      <c r="F62" s="5"/>
      <c r="G62" s="5"/>
      <c r="H62" s="5"/>
      <c r="I62" s="5"/>
      <c r="J62" s="5"/>
      <c r="K62" s="5"/>
      <c r="L62" s="6"/>
    </row>
    <row r="63" spans="1:12" ht="12.75">
      <c r="A63" s="4"/>
      <c r="B63" s="5"/>
      <c r="C63" s="5"/>
      <c r="D63" s="5"/>
      <c r="E63" s="5"/>
      <c r="F63" s="5"/>
      <c r="G63" s="5"/>
      <c r="H63" s="5"/>
      <c r="I63" s="5"/>
      <c r="J63" s="5"/>
      <c r="K63" s="5"/>
      <c r="L63" s="6"/>
    </row>
    <row r="64" spans="1:12" ht="12.75">
      <c r="A64" s="4"/>
      <c r="B64" s="5" t="s">
        <v>314</v>
      </c>
      <c r="C64" s="5"/>
      <c r="D64" s="5"/>
      <c r="E64" s="5"/>
      <c r="F64" s="5"/>
      <c r="G64" s="5"/>
      <c r="H64" s="5"/>
      <c r="I64" s="5"/>
      <c r="J64" s="5"/>
      <c r="K64" s="5"/>
      <c r="L64" s="6"/>
    </row>
    <row r="65" spans="1:12" ht="12.75">
      <c r="A65" s="4"/>
      <c r="B65" s="5" t="s">
        <v>215</v>
      </c>
      <c r="C65" s="5"/>
      <c r="D65" s="5"/>
      <c r="E65" s="5"/>
      <c r="F65" s="5"/>
      <c r="G65" s="5"/>
      <c r="H65" s="5"/>
      <c r="I65" s="5"/>
      <c r="J65" s="5"/>
      <c r="K65" s="5"/>
      <c r="L65" s="6"/>
    </row>
    <row r="66" spans="1:12" ht="12.75">
      <c r="A66" s="4"/>
      <c r="B66" s="5"/>
      <c r="C66" s="5"/>
      <c r="D66" s="5"/>
      <c r="E66" s="5"/>
      <c r="F66" s="5"/>
      <c r="G66" s="5"/>
      <c r="H66" s="5"/>
      <c r="I66" s="5"/>
      <c r="J66" s="5"/>
      <c r="K66" s="5"/>
      <c r="L66" s="6"/>
    </row>
    <row r="67" spans="1:12" ht="12.75">
      <c r="A67" s="4"/>
      <c r="B67" s="22" t="s">
        <v>116</v>
      </c>
      <c r="C67" s="5"/>
      <c r="D67" s="5"/>
      <c r="E67" s="5"/>
      <c r="F67" s="5"/>
      <c r="G67" s="5"/>
      <c r="H67" s="5"/>
      <c r="I67" s="5"/>
      <c r="J67" s="5"/>
      <c r="K67" s="5"/>
      <c r="L67" s="6"/>
    </row>
    <row r="68" spans="1:12" ht="12.75">
      <c r="A68" s="4"/>
      <c r="B68" s="5"/>
      <c r="C68" s="5"/>
      <c r="D68" s="5"/>
      <c r="E68" s="5"/>
      <c r="F68" s="5"/>
      <c r="G68" s="5"/>
      <c r="H68" s="5"/>
      <c r="I68" s="5"/>
      <c r="J68" s="5"/>
      <c r="K68" s="5"/>
      <c r="L68" s="6"/>
    </row>
    <row r="69" spans="1:12" ht="12.75">
      <c r="A69" s="4"/>
      <c r="B69" s="5" t="s">
        <v>115</v>
      </c>
      <c r="C69" s="5"/>
      <c r="D69" s="5"/>
      <c r="E69" s="5"/>
      <c r="F69" s="5"/>
      <c r="G69" s="5"/>
      <c r="H69" s="5"/>
      <c r="I69" s="5"/>
      <c r="J69" s="5"/>
      <c r="K69" s="5"/>
      <c r="L69" s="6"/>
    </row>
    <row r="70" spans="1:12" ht="12.75">
      <c r="A70" s="4"/>
      <c r="B70" s="5"/>
      <c r="C70" s="5" t="s">
        <v>519</v>
      </c>
      <c r="D70" s="5"/>
      <c r="E70" s="5"/>
      <c r="F70" s="5"/>
      <c r="G70" s="5"/>
      <c r="H70" s="5"/>
      <c r="I70" s="5"/>
      <c r="J70" s="5"/>
      <c r="K70" s="5"/>
      <c r="L70" s="6"/>
    </row>
    <row r="71" spans="1:12" ht="12.75">
      <c r="A71" s="4"/>
      <c r="B71" s="5"/>
      <c r="C71" s="5"/>
      <c r="D71" s="5"/>
      <c r="E71" s="5"/>
      <c r="F71" s="5"/>
      <c r="G71" s="5"/>
      <c r="H71" s="5"/>
      <c r="I71" s="5"/>
      <c r="J71" s="5"/>
      <c r="K71" s="5"/>
      <c r="L71" s="6"/>
    </row>
    <row r="72" spans="1:12" ht="12.75">
      <c r="A72" s="4"/>
      <c r="B72" s="5" t="s">
        <v>45</v>
      </c>
      <c r="C72" s="5"/>
      <c r="D72" s="5"/>
      <c r="E72" s="5"/>
      <c r="F72" s="5"/>
      <c r="G72" s="5"/>
      <c r="H72" s="5"/>
      <c r="I72" s="5"/>
      <c r="J72" s="5"/>
      <c r="K72" s="5"/>
      <c r="L72" s="6"/>
    </row>
    <row r="73" spans="1:12" ht="12.75">
      <c r="A73" s="4"/>
      <c r="B73" s="5"/>
      <c r="C73" s="5" t="s">
        <v>130</v>
      </c>
      <c r="D73" s="5"/>
      <c r="E73" s="5"/>
      <c r="F73" s="5"/>
      <c r="G73" s="5"/>
      <c r="H73" s="5"/>
      <c r="I73" s="5"/>
      <c r="J73" s="5"/>
      <c r="K73" s="5"/>
      <c r="L73" s="6"/>
    </row>
    <row r="74" spans="1:12" ht="12.75">
      <c r="A74" s="4"/>
      <c r="B74" s="5"/>
      <c r="C74" s="5"/>
      <c r="D74" s="5"/>
      <c r="E74" s="5"/>
      <c r="F74" s="5"/>
      <c r="G74" s="5"/>
      <c r="H74" s="5"/>
      <c r="I74" s="5"/>
      <c r="J74" s="5"/>
      <c r="K74" s="5"/>
      <c r="L74" s="6"/>
    </row>
    <row r="75" spans="1:12" ht="12.75">
      <c r="A75" s="4"/>
      <c r="B75" s="5" t="s">
        <v>124</v>
      </c>
      <c r="C75" s="5"/>
      <c r="D75" s="5"/>
      <c r="E75" s="5"/>
      <c r="F75" s="5"/>
      <c r="G75" s="5"/>
      <c r="H75" s="5"/>
      <c r="I75" s="5"/>
      <c r="J75" s="5"/>
      <c r="K75" s="5"/>
      <c r="L75" s="6"/>
    </row>
    <row r="76" spans="1:12" ht="12.75">
      <c r="A76" s="4"/>
      <c r="B76" s="5"/>
      <c r="C76" s="5" t="s">
        <v>1350</v>
      </c>
      <c r="D76" s="5"/>
      <c r="E76" s="5"/>
      <c r="F76" s="5"/>
      <c r="G76" s="5"/>
      <c r="H76" s="5"/>
      <c r="I76" s="5"/>
      <c r="J76" s="5"/>
      <c r="K76" s="5"/>
      <c r="L76" s="6"/>
    </row>
    <row r="77" spans="1:12" ht="12.75">
      <c r="A77" s="4"/>
      <c r="B77" s="5"/>
      <c r="C77" s="5"/>
      <c r="D77" s="5"/>
      <c r="E77" s="5"/>
      <c r="F77" s="5"/>
      <c r="G77" s="5"/>
      <c r="H77" s="5"/>
      <c r="I77" s="5"/>
      <c r="J77" s="5"/>
      <c r="K77" s="5"/>
      <c r="L77" s="6"/>
    </row>
    <row r="78" spans="1:12" ht="12.75">
      <c r="A78" s="4"/>
      <c r="B78" s="5"/>
      <c r="C78" s="5"/>
      <c r="D78" s="5"/>
      <c r="E78" s="5"/>
      <c r="F78" s="5"/>
      <c r="G78" s="5"/>
      <c r="H78" s="5"/>
      <c r="I78" s="5"/>
      <c r="J78" s="5"/>
      <c r="K78" s="5"/>
      <c r="L78" s="6"/>
    </row>
    <row r="79" spans="1:12" ht="12.75">
      <c r="A79" s="4"/>
      <c r="B79" s="22" t="s">
        <v>1695</v>
      </c>
      <c r="C79" s="5"/>
      <c r="D79" s="5"/>
      <c r="E79" s="5"/>
      <c r="F79" s="5"/>
      <c r="G79" s="5"/>
      <c r="H79" s="5"/>
      <c r="I79" s="5"/>
      <c r="J79" s="5"/>
      <c r="K79" s="5"/>
      <c r="L79" s="6"/>
    </row>
    <row r="80" spans="1:12" ht="12.75">
      <c r="A80" s="4"/>
      <c r="B80" s="22" t="s">
        <v>654</v>
      </c>
      <c r="C80" s="5"/>
      <c r="D80" s="5"/>
      <c r="E80" s="5"/>
      <c r="F80" s="5"/>
      <c r="G80" s="5"/>
      <c r="H80" s="5"/>
      <c r="I80" s="5"/>
      <c r="J80" s="95">
        <f>SPH_REC!H315</f>
        <v>6666652.740665482</v>
      </c>
      <c r="K80" s="5" t="s">
        <v>559</v>
      </c>
      <c r="L80" s="6"/>
    </row>
    <row r="81" spans="1:12" ht="13.5" thickBot="1">
      <c r="A81" s="7"/>
      <c r="B81" s="8"/>
      <c r="C81" s="8"/>
      <c r="D81" s="8"/>
      <c r="E81" s="8"/>
      <c r="F81" s="8"/>
      <c r="G81" s="8"/>
      <c r="H81" s="8"/>
      <c r="I81" s="8"/>
      <c r="J81" s="8"/>
      <c r="K81" s="8"/>
      <c r="L81" s="9"/>
    </row>
    <row r="82" ht="13.5" thickBot="1"/>
    <row r="83" spans="1:12" ht="12.75">
      <c r="A83" s="1"/>
      <c r="B83" s="2"/>
      <c r="C83" s="2"/>
      <c r="D83" s="2"/>
      <c r="E83" s="2"/>
      <c r="F83" s="2"/>
      <c r="G83" s="2"/>
      <c r="H83" s="2"/>
      <c r="I83" s="2"/>
      <c r="J83" s="2"/>
      <c r="K83" s="2"/>
      <c r="L83" s="3"/>
    </row>
    <row r="84" spans="1:12" ht="12.75">
      <c r="A84" s="4"/>
      <c r="B84" s="22" t="s">
        <v>560</v>
      </c>
      <c r="C84" s="5" t="s">
        <v>561</v>
      </c>
      <c r="D84" s="5"/>
      <c r="E84" s="5"/>
      <c r="F84" s="5"/>
      <c r="G84" s="5"/>
      <c r="H84" s="5"/>
      <c r="I84" s="5"/>
      <c r="J84" s="5"/>
      <c r="K84" s="5"/>
      <c r="L84" s="6"/>
    </row>
    <row r="85" spans="1:12" ht="12.75">
      <c r="A85" s="4"/>
      <c r="B85" s="5"/>
      <c r="C85" s="5"/>
      <c r="D85" s="5"/>
      <c r="E85" s="5"/>
      <c r="F85" s="5"/>
      <c r="G85" s="5"/>
      <c r="H85" s="5"/>
      <c r="I85" s="5"/>
      <c r="J85" s="5"/>
      <c r="K85" s="5"/>
      <c r="L85" s="6"/>
    </row>
    <row r="86" spans="1:12" ht="12.75">
      <c r="A86" s="4"/>
      <c r="B86" s="5" t="s">
        <v>562</v>
      </c>
      <c r="C86" s="5"/>
      <c r="D86" s="5"/>
      <c r="E86" s="5" t="s">
        <v>794</v>
      </c>
      <c r="F86" s="5"/>
      <c r="G86" s="5"/>
      <c r="H86" s="5"/>
      <c r="I86" s="5"/>
      <c r="J86" s="5"/>
      <c r="K86" s="5"/>
      <c r="L86" s="6"/>
    </row>
    <row r="87" spans="1:12" ht="12.75">
      <c r="A87" s="4"/>
      <c r="B87" s="5" t="s">
        <v>693</v>
      </c>
      <c r="C87" s="5"/>
      <c r="D87" s="5"/>
      <c r="E87" s="5" t="s">
        <v>1725</v>
      </c>
      <c r="F87" s="5"/>
      <c r="G87" s="5"/>
      <c r="H87" s="5"/>
      <c r="I87" s="5"/>
      <c r="J87" s="5"/>
      <c r="K87" s="5"/>
      <c r="L87" s="6"/>
    </row>
    <row r="88" spans="1:12" ht="12.75">
      <c r="A88" s="4"/>
      <c r="B88" s="5"/>
      <c r="C88" s="5"/>
      <c r="D88" s="5"/>
      <c r="E88" s="5" t="s">
        <v>674</v>
      </c>
      <c r="F88" s="5"/>
      <c r="G88" s="5"/>
      <c r="H88" s="5"/>
      <c r="I88" s="5"/>
      <c r="J88" s="5"/>
      <c r="K88" s="5"/>
      <c r="L88" s="6"/>
    </row>
    <row r="89" spans="1:12" ht="12.75">
      <c r="A89" s="4"/>
      <c r="B89" s="5"/>
      <c r="C89" s="5"/>
      <c r="D89" s="5"/>
      <c r="E89" s="5"/>
      <c r="F89" s="5"/>
      <c r="G89" s="5"/>
      <c r="H89" s="5"/>
      <c r="I89" s="5"/>
      <c r="J89" s="5"/>
      <c r="K89" s="5"/>
      <c r="L89" s="6"/>
    </row>
    <row r="90" spans="1:12" ht="12.75">
      <c r="A90" s="4"/>
      <c r="B90" s="5" t="s">
        <v>675</v>
      </c>
      <c r="C90" s="5"/>
      <c r="D90" s="5"/>
      <c r="E90" s="5"/>
      <c r="F90" s="5"/>
      <c r="G90" s="5"/>
      <c r="H90" s="5"/>
      <c r="I90" s="5"/>
      <c r="J90" s="5"/>
      <c r="K90" s="5"/>
      <c r="L90" s="6"/>
    </row>
    <row r="91" spans="1:12" ht="12.75">
      <c r="A91" s="4"/>
      <c r="B91" s="5" t="s">
        <v>576</v>
      </c>
      <c r="C91" s="5"/>
      <c r="D91" s="5"/>
      <c r="E91" s="5" t="s">
        <v>577</v>
      </c>
      <c r="F91" s="80" t="s">
        <v>578</v>
      </c>
      <c r="G91" s="81" t="s">
        <v>579</v>
      </c>
      <c r="H91" s="82">
        <v>0</v>
      </c>
      <c r="I91" s="5"/>
      <c r="J91" s="5"/>
      <c r="K91" s="5"/>
      <c r="L91" s="6"/>
    </row>
    <row r="92" spans="1:12" ht="12.75">
      <c r="A92" s="4"/>
      <c r="B92" s="5"/>
      <c r="C92" s="5"/>
      <c r="D92" s="5"/>
      <c r="E92" s="5"/>
      <c r="F92" s="173" t="s">
        <v>580</v>
      </c>
      <c r="G92" s="82" t="s">
        <v>578</v>
      </c>
      <c r="H92" s="82">
        <v>0</v>
      </c>
      <c r="I92" s="5"/>
      <c r="J92" s="5"/>
      <c r="K92" s="5"/>
      <c r="L92" s="6"/>
    </row>
    <row r="93" spans="1:12" ht="12.75">
      <c r="A93" s="4"/>
      <c r="B93" s="5"/>
      <c r="C93" s="5"/>
      <c r="D93" s="5"/>
      <c r="E93" s="5"/>
      <c r="F93" s="80">
        <v>0</v>
      </c>
      <c r="G93" s="82">
        <v>0</v>
      </c>
      <c r="H93" s="82">
        <v>1</v>
      </c>
      <c r="I93" s="5"/>
      <c r="J93" s="5"/>
      <c r="K93" s="5"/>
      <c r="L93" s="6"/>
    </row>
    <row r="94" spans="1:12" ht="12.75">
      <c r="A94" s="4"/>
      <c r="B94" s="5"/>
      <c r="C94" s="5"/>
      <c r="D94" s="5"/>
      <c r="E94" s="5"/>
      <c r="F94" s="5"/>
      <c r="G94" s="5"/>
      <c r="H94" s="5"/>
      <c r="I94" s="5"/>
      <c r="J94" s="5"/>
      <c r="K94" s="5"/>
      <c r="L94" s="6"/>
    </row>
    <row r="95" spans="1:12" ht="12.75">
      <c r="A95" s="4"/>
      <c r="B95" s="5"/>
      <c r="C95" s="5"/>
      <c r="D95" s="5"/>
      <c r="E95" s="5"/>
      <c r="F95" s="5"/>
      <c r="G95" s="5"/>
      <c r="H95" s="5"/>
      <c r="I95" s="5"/>
      <c r="J95" s="5"/>
      <c r="K95" s="5"/>
      <c r="L95" s="6"/>
    </row>
    <row r="96" spans="1:12" ht="12.75">
      <c r="A96" s="4"/>
      <c r="B96" s="5" t="s">
        <v>481</v>
      </c>
      <c r="C96" s="5"/>
      <c r="D96" s="5"/>
      <c r="E96" s="5"/>
      <c r="F96" s="5"/>
      <c r="G96" s="5"/>
      <c r="H96" s="5"/>
      <c r="I96" s="5"/>
      <c r="J96" s="5"/>
      <c r="K96" s="5"/>
      <c r="L96" s="6"/>
    </row>
    <row r="97" spans="1:12" ht="12.75">
      <c r="A97" s="4"/>
      <c r="B97" s="5" t="s">
        <v>482</v>
      </c>
      <c r="C97" s="5"/>
      <c r="D97" s="5"/>
      <c r="E97" s="5"/>
      <c r="F97" s="5"/>
      <c r="G97" s="5"/>
      <c r="H97" s="5"/>
      <c r="I97" s="5"/>
      <c r="J97" s="5"/>
      <c r="K97" s="5"/>
      <c r="L97" s="6"/>
    </row>
    <row r="98" spans="1:12" ht="12.75">
      <c r="A98" s="4"/>
      <c r="B98" s="5" t="s">
        <v>384</v>
      </c>
      <c r="C98" s="5"/>
      <c r="D98" s="5"/>
      <c r="E98" s="5"/>
      <c r="F98" s="5"/>
      <c r="G98" s="5"/>
      <c r="H98" s="5"/>
      <c r="I98" s="5"/>
      <c r="J98" s="5"/>
      <c r="K98" s="5"/>
      <c r="L98" s="6"/>
    </row>
    <row r="99" spans="1:12" ht="12.75">
      <c r="A99" s="4"/>
      <c r="B99" s="5" t="s">
        <v>385</v>
      </c>
      <c r="C99" s="5"/>
      <c r="D99" s="5"/>
      <c r="E99" s="5"/>
      <c r="F99" s="5"/>
      <c r="G99" s="5"/>
      <c r="H99" s="5"/>
      <c r="I99" s="5"/>
      <c r="J99" s="5"/>
      <c r="K99" s="5"/>
      <c r="L99" s="6"/>
    </row>
    <row r="100" spans="1:12" ht="12.75">
      <c r="A100" s="4"/>
      <c r="B100" s="5" t="s">
        <v>386</v>
      </c>
      <c r="C100" s="5"/>
      <c r="D100" s="5"/>
      <c r="E100" s="5"/>
      <c r="F100" s="5"/>
      <c r="G100" s="5"/>
      <c r="H100" s="5"/>
      <c r="I100" s="5"/>
      <c r="J100" s="5"/>
      <c r="K100" s="5"/>
      <c r="L100" s="6"/>
    </row>
    <row r="101" spans="1:12" ht="12.75">
      <c r="A101" s="4"/>
      <c r="B101" s="5" t="s">
        <v>288</v>
      </c>
      <c r="C101" s="5"/>
      <c r="D101" s="5"/>
      <c r="E101" s="5"/>
      <c r="F101" s="5"/>
      <c r="G101" s="5"/>
      <c r="H101" s="5"/>
      <c r="I101" s="5"/>
      <c r="J101" s="5"/>
      <c r="K101" s="5"/>
      <c r="L101" s="6"/>
    </row>
    <row r="102" spans="1:12" ht="12.75">
      <c r="A102" s="4"/>
      <c r="B102" s="5"/>
      <c r="C102" s="5"/>
      <c r="D102" s="5"/>
      <c r="E102" s="5"/>
      <c r="F102" s="5"/>
      <c r="G102" s="5"/>
      <c r="H102" s="5"/>
      <c r="I102" s="5"/>
      <c r="J102" s="5"/>
      <c r="K102" s="5"/>
      <c r="L102" s="6"/>
    </row>
    <row r="103" spans="1:12" ht="12.75">
      <c r="A103" s="4"/>
      <c r="B103" s="20" t="s">
        <v>289</v>
      </c>
      <c r="C103" s="5"/>
      <c r="D103" s="93">
        <f>SPH_REC!G63</f>
        <v>237.8</v>
      </c>
      <c r="E103" s="5" t="s">
        <v>1233</v>
      </c>
      <c r="F103" s="5"/>
      <c r="G103" s="5" t="s">
        <v>290</v>
      </c>
      <c r="H103" s="5"/>
      <c r="I103" s="92">
        <f>COS(RADIANS(D103))</f>
        <v>-0.5328762760707298</v>
      </c>
      <c r="J103" s="92">
        <f>SIN(RADIANS(D103))</f>
        <v>-0.8461931661275641</v>
      </c>
      <c r="K103" s="92">
        <v>0</v>
      </c>
      <c r="L103" s="6"/>
    </row>
    <row r="104" spans="1:12" ht="12.75">
      <c r="A104" s="4"/>
      <c r="B104" s="5"/>
      <c r="C104" s="5"/>
      <c r="D104" s="5"/>
      <c r="E104" s="5"/>
      <c r="F104" s="5"/>
      <c r="G104" s="5"/>
      <c r="H104" s="5"/>
      <c r="I104" s="92">
        <f>-SIN(RADIANS(D103))</f>
        <v>0.8461931661275641</v>
      </c>
      <c r="J104" s="92">
        <f>COS(RADIANS(D103))</f>
        <v>-0.5328762760707298</v>
      </c>
      <c r="K104" s="92">
        <v>0</v>
      </c>
      <c r="L104" s="6"/>
    </row>
    <row r="105" spans="1:12" ht="12.75">
      <c r="A105" s="4"/>
      <c r="B105" s="131"/>
      <c r="C105" s="5"/>
      <c r="D105" s="5"/>
      <c r="E105" s="5"/>
      <c r="F105" s="5"/>
      <c r="G105" s="5"/>
      <c r="H105" s="5"/>
      <c r="I105" s="92">
        <v>0</v>
      </c>
      <c r="J105" s="92">
        <v>0</v>
      </c>
      <c r="K105" s="92">
        <v>1</v>
      </c>
      <c r="L105" s="6"/>
    </row>
    <row r="106" spans="1:12" ht="12.75">
      <c r="A106" s="4"/>
      <c r="B106" s="5"/>
      <c r="C106" s="5"/>
      <c r="D106" s="5"/>
      <c r="E106" s="5"/>
      <c r="F106" s="5"/>
      <c r="G106" s="5"/>
      <c r="H106" s="5"/>
      <c r="I106" s="5"/>
      <c r="J106" s="5"/>
      <c r="K106" s="5"/>
      <c r="L106" s="6"/>
    </row>
    <row r="107" spans="1:12" ht="13.5" thickBot="1">
      <c r="A107" s="7"/>
      <c r="B107" s="8"/>
      <c r="C107" s="8"/>
      <c r="D107" s="8"/>
      <c r="E107" s="8"/>
      <c r="F107" s="8"/>
      <c r="G107" s="8"/>
      <c r="H107" s="8"/>
      <c r="I107" s="8"/>
      <c r="J107" s="8"/>
      <c r="K107" s="8"/>
      <c r="L107" s="9"/>
    </row>
    <row r="108" ht="13.5" thickBot="1"/>
    <row r="109" spans="1:12" ht="12.75">
      <c r="A109" s="1"/>
      <c r="B109" s="2"/>
      <c r="C109" s="2"/>
      <c r="D109" s="2"/>
      <c r="E109" s="2"/>
      <c r="F109" s="2"/>
      <c r="G109" s="2"/>
      <c r="H109" s="2"/>
      <c r="I109" s="2"/>
      <c r="J109" s="2"/>
      <c r="K109" s="2"/>
      <c r="L109" s="3"/>
    </row>
    <row r="110" spans="1:12" ht="12.75">
      <c r="A110" s="4"/>
      <c r="B110" s="22" t="s">
        <v>291</v>
      </c>
      <c r="C110" s="5" t="s">
        <v>292</v>
      </c>
      <c r="D110" s="5"/>
      <c r="E110" s="5"/>
      <c r="F110" s="5"/>
      <c r="G110" s="5"/>
      <c r="H110" s="5"/>
      <c r="I110" s="5"/>
      <c r="J110" s="5"/>
      <c r="K110" s="5"/>
      <c r="L110" s="6"/>
    </row>
    <row r="111" spans="1:12" ht="12.75">
      <c r="A111" s="4"/>
      <c r="B111" s="5"/>
      <c r="C111" s="5"/>
      <c r="D111" s="5"/>
      <c r="E111" s="5"/>
      <c r="F111" s="5"/>
      <c r="G111" s="5"/>
      <c r="H111" s="5"/>
      <c r="I111" s="5"/>
      <c r="J111" s="5"/>
      <c r="K111" s="5"/>
      <c r="L111" s="6"/>
    </row>
    <row r="112" spans="1:12" ht="12.75">
      <c r="A112" s="4"/>
      <c r="B112" s="5" t="s">
        <v>562</v>
      </c>
      <c r="C112" s="5"/>
      <c r="D112" s="5"/>
      <c r="E112" s="5" t="s">
        <v>821</v>
      </c>
      <c r="F112" s="5"/>
      <c r="G112" s="5"/>
      <c r="H112" s="5"/>
      <c r="I112" s="5"/>
      <c r="J112" s="5"/>
      <c r="K112" s="5"/>
      <c r="L112" s="6"/>
    </row>
    <row r="113" spans="1:12" ht="12.75">
      <c r="A113" s="4"/>
      <c r="B113" s="5" t="s">
        <v>1681</v>
      </c>
      <c r="C113" s="5"/>
      <c r="D113" s="5"/>
      <c r="E113" s="5" t="s">
        <v>1682</v>
      </c>
      <c r="F113" s="5"/>
      <c r="G113" s="5"/>
      <c r="H113" s="5"/>
      <c r="I113" s="5"/>
      <c r="J113" s="5"/>
      <c r="K113" s="5"/>
      <c r="L113" s="6"/>
    </row>
    <row r="114" spans="1:12" ht="12.75">
      <c r="A114" s="4"/>
      <c r="B114" s="5"/>
      <c r="C114" s="5"/>
      <c r="D114" s="5"/>
      <c r="E114" s="5" t="s">
        <v>1683</v>
      </c>
      <c r="F114" s="5"/>
      <c r="G114" s="5"/>
      <c r="H114" s="5"/>
      <c r="I114" s="5"/>
      <c r="J114" s="5"/>
      <c r="K114" s="5"/>
      <c r="L114" s="6"/>
    </row>
    <row r="115" spans="1:12" ht="12.75">
      <c r="A115" s="4"/>
      <c r="B115" s="5"/>
      <c r="C115" s="5"/>
      <c r="D115" s="5"/>
      <c r="E115" s="5"/>
      <c r="F115" s="5"/>
      <c r="G115" s="5"/>
      <c r="H115" s="5"/>
      <c r="I115" s="5"/>
      <c r="J115" s="5"/>
      <c r="K115" s="5"/>
      <c r="L115" s="6"/>
    </row>
    <row r="116" spans="1:12" ht="12.75">
      <c r="A116" s="4"/>
      <c r="B116" s="5" t="s">
        <v>675</v>
      </c>
      <c r="C116" s="5"/>
      <c r="D116" s="5"/>
      <c r="E116" s="5"/>
      <c r="F116" s="5"/>
      <c r="G116" s="5"/>
      <c r="H116" s="5"/>
      <c r="I116" s="5"/>
      <c r="J116" s="5"/>
      <c r="K116" s="5"/>
      <c r="L116" s="6"/>
    </row>
    <row r="117" spans="1:12" ht="12.75">
      <c r="A117" s="4"/>
      <c r="B117" s="5" t="s">
        <v>1684</v>
      </c>
      <c r="C117" s="5"/>
      <c r="D117" s="5"/>
      <c r="E117" s="5" t="s">
        <v>577</v>
      </c>
      <c r="F117" s="80" t="s">
        <v>578</v>
      </c>
      <c r="G117" s="81">
        <v>0</v>
      </c>
      <c r="H117" s="81" t="s">
        <v>580</v>
      </c>
      <c r="I117" s="5"/>
      <c r="J117" s="5"/>
      <c r="K117" s="5"/>
      <c r="L117" s="6"/>
    </row>
    <row r="118" spans="1:12" ht="12.75">
      <c r="A118" s="4"/>
      <c r="B118" s="5"/>
      <c r="C118" s="5"/>
      <c r="D118" s="5"/>
      <c r="E118" s="5"/>
      <c r="F118" s="80">
        <v>0</v>
      </c>
      <c r="G118" s="82">
        <v>1</v>
      </c>
      <c r="H118" s="82">
        <v>0</v>
      </c>
      <c r="I118" s="5"/>
      <c r="J118" s="5"/>
      <c r="K118" s="5"/>
      <c r="L118" s="6"/>
    </row>
    <row r="119" spans="1:12" ht="12.75">
      <c r="A119" s="4"/>
      <c r="B119" s="5"/>
      <c r="C119" s="5"/>
      <c r="D119" s="5"/>
      <c r="E119" s="5"/>
      <c r="F119" s="173" t="s">
        <v>579</v>
      </c>
      <c r="G119" s="80">
        <v>0</v>
      </c>
      <c r="H119" s="82" t="s">
        <v>578</v>
      </c>
      <c r="I119" s="5"/>
      <c r="J119" s="5"/>
      <c r="K119" s="5"/>
      <c r="L119" s="6"/>
    </row>
    <row r="120" spans="1:12" ht="12.75">
      <c r="A120" s="4"/>
      <c r="B120" s="5"/>
      <c r="C120" s="5"/>
      <c r="D120" s="5"/>
      <c r="E120" s="5"/>
      <c r="F120" s="5"/>
      <c r="G120" s="5"/>
      <c r="H120" s="5"/>
      <c r="I120" s="5"/>
      <c r="J120" s="5"/>
      <c r="K120" s="5"/>
      <c r="L120" s="6"/>
    </row>
    <row r="121" spans="1:12" ht="12.75">
      <c r="A121" s="4"/>
      <c r="B121" s="5"/>
      <c r="C121" s="5"/>
      <c r="D121" s="5"/>
      <c r="E121" s="5"/>
      <c r="F121" s="5"/>
      <c r="G121" s="5"/>
      <c r="H121" s="5"/>
      <c r="I121" s="5"/>
      <c r="J121" s="5"/>
      <c r="K121" s="5"/>
      <c r="L121" s="6"/>
    </row>
    <row r="122" spans="1:12" ht="12.75">
      <c r="A122" s="4"/>
      <c r="B122" s="5" t="s">
        <v>1776</v>
      </c>
      <c r="C122" s="5"/>
      <c r="D122" s="5"/>
      <c r="E122" s="5"/>
      <c r="F122" s="5"/>
      <c r="G122" s="5"/>
      <c r="H122" s="5"/>
      <c r="I122" s="5"/>
      <c r="J122" s="5"/>
      <c r="K122" s="5"/>
      <c r="L122" s="6"/>
    </row>
    <row r="123" spans="1:12" ht="12.75">
      <c r="A123" s="4"/>
      <c r="B123" s="5" t="s">
        <v>482</v>
      </c>
      <c r="C123" s="5"/>
      <c r="D123" s="5"/>
      <c r="E123" s="5"/>
      <c r="F123" s="5"/>
      <c r="G123" s="5"/>
      <c r="H123" s="5"/>
      <c r="I123" s="5"/>
      <c r="J123" s="5"/>
      <c r="K123" s="5"/>
      <c r="L123" s="6"/>
    </row>
    <row r="124" spans="1:12" ht="12.75">
      <c r="A124" s="4"/>
      <c r="B124" s="5" t="s">
        <v>1598</v>
      </c>
      <c r="C124" s="5"/>
      <c r="D124" s="5"/>
      <c r="E124" s="5"/>
      <c r="F124" s="5"/>
      <c r="G124" s="5"/>
      <c r="H124" s="5"/>
      <c r="I124" s="5"/>
      <c r="J124" s="5"/>
      <c r="K124" s="5"/>
      <c r="L124" s="6"/>
    </row>
    <row r="125" spans="1:12" ht="12.75">
      <c r="A125" s="4"/>
      <c r="B125" s="5" t="s">
        <v>385</v>
      </c>
      <c r="C125" s="5"/>
      <c r="D125" s="5"/>
      <c r="E125" s="5"/>
      <c r="F125" s="5"/>
      <c r="G125" s="5"/>
      <c r="H125" s="5"/>
      <c r="I125" s="5"/>
      <c r="J125" s="5"/>
      <c r="K125" s="5"/>
      <c r="L125" s="6"/>
    </row>
    <row r="126" spans="1:12" ht="12.75">
      <c r="A126" s="4"/>
      <c r="B126" s="5" t="s">
        <v>1596</v>
      </c>
      <c r="C126" s="5"/>
      <c r="D126" s="5"/>
      <c r="E126" s="5"/>
      <c r="F126" s="5"/>
      <c r="G126" s="5"/>
      <c r="H126" s="5"/>
      <c r="I126" s="5"/>
      <c r="J126" s="5"/>
      <c r="K126" s="5"/>
      <c r="L126" s="6"/>
    </row>
    <row r="127" spans="1:12" ht="12.75">
      <c r="A127" s="4"/>
      <c r="B127" s="5" t="s">
        <v>1600</v>
      </c>
      <c r="C127" s="5"/>
      <c r="D127" s="5"/>
      <c r="E127" s="5"/>
      <c r="F127" s="5"/>
      <c r="G127" s="5"/>
      <c r="H127" s="5"/>
      <c r="I127" s="5"/>
      <c r="J127" s="5"/>
      <c r="K127" s="5"/>
      <c r="L127" s="6"/>
    </row>
    <row r="128" spans="1:12" ht="12.75">
      <c r="A128" s="4"/>
      <c r="B128" s="5"/>
      <c r="C128" s="5"/>
      <c r="D128" s="5"/>
      <c r="E128" s="5"/>
      <c r="F128" s="5"/>
      <c r="G128" s="5"/>
      <c r="H128" s="5"/>
      <c r="I128" s="5"/>
      <c r="J128" s="5"/>
      <c r="K128" s="5"/>
      <c r="L128" s="6"/>
    </row>
    <row r="129" spans="1:12" ht="12.75">
      <c r="A129" s="4"/>
      <c r="B129" s="20" t="s">
        <v>1794</v>
      </c>
      <c r="C129" s="5"/>
      <c r="D129" s="93">
        <f>90-SPH_REC!G62</f>
        <v>50.9</v>
      </c>
      <c r="E129" s="5" t="s">
        <v>1233</v>
      </c>
      <c r="F129" s="5"/>
      <c r="G129" s="5" t="s">
        <v>290</v>
      </c>
      <c r="H129" s="5"/>
      <c r="I129" s="92">
        <f>COS(RADIANS(D129))</f>
        <v>0.6306758074312863</v>
      </c>
      <c r="J129" s="92">
        <v>0</v>
      </c>
      <c r="K129" s="92">
        <f>-SIN(RADIANS(D129))</f>
        <v>-0.7760464070665459</v>
      </c>
      <c r="L129" s="6"/>
    </row>
    <row r="130" spans="1:12" ht="12.75">
      <c r="A130" s="4"/>
      <c r="B130" s="5"/>
      <c r="C130" s="5"/>
      <c r="D130" s="5"/>
      <c r="E130" s="5"/>
      <c r="F130" s="5"/>
      <c r="G130" s="5"/>
      <c r="H130" s="5"/>
      <c r="I130" s="92">
        <v>0</v>
      </c>
      <c r="J130" s="92">
        <v>1</v>
      </c>
      <c r="K130" s="92">
        <v>0</v>
      </c>
      <c r="L130" s="6"/>
    </row>
    <row r="131" spans="1:12" ht="12.75">
      <c r="A131" s="4"/>
      <c r="B131" s="5"/>
      <c r="C131" s="5"/>
      <c r="D131" s="5"/>
      <c r="E131" s="5"/>
      <c r="F131" s="5"/>
      <c r="G131" s="5"/>
      <c r="H131" s="5"/>
      <c r="I131" s="92">
        <f>SIN(RADIANS(D129))</f>
        <v>0.7760464070665459</v>
      </c>
      <c r="J131" s="92">
        <v>0</v>
      </c>
      <c r="K131" s="92">
        <f>COS(RADIANS(D129))</f>
        <v>0.6306758074312863</v>
      </c>
      <c r="L131" s="6"/>
    </row>
    <row r="132" spans="1:12" ht="12.75">
      <c r="A132" s="4"/>
      <c r="B132" s="5"/>
      <c r="C132" s="5"/>
      <c r="D132" s="5"/>
      <c r="E132" s="5"/>
      <c r="F132" s="5"/>
      <c r="G132" s="5"/>
      <c r="H132" s="5"/>
      <c r="I132" s="5"/>
      <c r="J132" s="5"/>
      <c r="K132" s="5"/>
      <c r="L132" s="6"/>
    </row>
    <row r="133" spans="1:12" ht="13.5" thickBot="1">
      <c r="A133" s="7"/>
      <c r="B133" s="8"/>
      <c r="C133" s="8"/>
      <c r="D133" s="8"/>
      <c r="E133" s="8"/>
      <c r="F133" s="8"/>
      <c r="G133" s="8"/>
      <c r="H133" s="8"/>
      <c r="I133" s="8"/>
      <c r="J133" s="8"/>
      <c r="K133" s="8"/>
      <c r="L133" s="9"/>
    </row>
    <row r="134" spans="1:12" ht="12.75">
      <c r="A134" s="5"/>
      <c r="B134" s="5"/>
      <c r="C134" s="5"/>
      <c r="D134" s="5"/>
      <c r="E134" s="5"/>
      <c r="F134" s="5"/>
      <c r="G134" s="5"/>
      <c r="H134" s="5"/>
      <c r="I134" s="5"/>
      <c r="J134" s="5"/>
      <c r="K134" s="5"/>
      <c r="L134" s="5"/>
    </row>
    <row r="135" ht="13.5" thickBot="1"/>
    <row r="136" spans="1:12" ht="12.75">
      <c r="A136" s="1"/>
      <c r="B136" s="2"/>
      <c r="C136" s="2"/>
      <c r="D136" s="2"/>
      <c r="E136" s="2"/>
      <c r="F136" s="2"/>
      <c r="G136" s="2"/>
      <c r="H136" s="2"/>
      <c r="I136" s="2"/>
      <c r="J136" s="2"/>
      <c r="K136" s="2"/>
      <c r="L136" s="3"/>
    </row>
    <row r="137" spans="1:12" ht="12.75">
      <c r="A137" s="4"/>
      <c r="B137" s="22" t="s">
        <v>1795</v>
      </c>
      <c r="C137" s="5" t="s">
        <v>1273</v>
      </c>
      <c r="D137" s="5"/>
      <c r="E137" s="5"/>
      <c r="F137" s="5"/>
      <c r="G137" s="5"/>
      <c r="H137" s="5"/>
      <c r="I137" s="5"/>
      <c r="J137" s="5"/>
      <c r="K137" s="5"/>
      <c r="L137" s="6"/>
    </row>
    <row r="138" spans="1:12" ht="12.75">
      <c r="A138" s="4"/>
      <c r="B138" s="22"/>
      <c r="C138" s="5" t="s">
        <v>1189</v>
      </c>
      <c r="D138" s="5"/>
      <c r="E138" s="5"/>
      <c r="F138" s="5"/>
      <c r="G138" s="5"/>
      <c r="H138" s="5"/>
      <c r="I138" s="5"/>
      <c r="J138" s="5"/>
      <c r="K138" s="5"/>
      <c r="L138" s="6"/>
    </row>
    <row r="139" spans="1:12" ht="13.5" thickBot="1">
      <c r="A139" s="4"/>
      <c r="B139" s="22"/>
      <c r="C139" s="5"/>
      <c r="D139" s="5"/>
      <c r="E139" s="5"/>
      <c r="F139" s="5"/>
      <c r="G139" s="5"/>
      <c r="H139" s="5"/>
      <c r="I139" s="5"/>
      <c r="J139" s="5"/>
      <c r="K139" s="5"/>
      <c r="L139" s="6"/>
    </row>
    <row r="140" spans="1:12" ht="12.75">
      <c r="A140" s="4"/>
      <c r="B140" s="51" t="s">
        <v>1796</v>
      </c>
      <c r="C140" s="2"/>
      <c r="D140" s="2"/>
      <c r="E140" s="2"/>
      <c r="F140" s="2"/>
      <c r="G140" s="2"/>
      <c r="H140" s="2"/>
      <c r="I140" s="2"/>
      <c r="J140" s="2"/>
      <c r="K140" s="3"/>
      <c r="L140" s="6"/>
    </row>
    <row r="141" spans="1:12" ht="12.75">
      <c r="A141" s="4"/>
      <c r="B141" s="10"/>
      <c r="C141" s="5"/>
      <c r="D141" s="5"/>
      <c r="E141" s="5"/>
      <c r="F141" s="5"/>
      <c r="G141" s="5"/>
      <c r="H141" s="5"/>
      <c r="I141" s="5"/>
      <c r="J141" s="5"/>
      <c r="K141" s="6"/>
      <c r="L141" s="6"/>
    </row>
    <row r="142" spans="1:12" ht="12.75">
      <c r="A142" s="4"/>
      <c r="B142" s="10"/>
      <c r="C142" s="5"/>
      <c r="D142" s="5"/>
      <c r="E142" s="5"/>
      <c r="F142" s="5"/>
      <c r="G142" s="5"/>
      <c r="H142" s="5"/>
      <c r="I142" s="5"/>
      <c r="J142" s="5"/>
      <c r="K142" s="6"/>
      <c r="L142" s="6"/>
    </row>
    <row r="143" spans="1:12" ht="12.75">
      <c r="A143" s="4"/>
      <c r="B143" s="64" t="s">
        <v>1746</v>
      </c>
      <c r="C143" s="5" t="s">
        <v>213</v>
      </c>
      <c r="D143" s="5"/>
      <c r="E143" s="5"/>
      <c r="F143" s="5"/>
      <c r="G143" s="5"/>
      <c r="H143" s="5"/>
      <c r="I143" s="5"/>
      <c r="J143" s="5"/>
      <c r="K143" s="6"/>
      <c r="L143" s="6"/>
    </row>
    <row r="144" spans="1:12" ht="12.75">
      <c r="A144" s="4"/>
      <c r="B144" s="64"/>
      <c r="C144" s="5"/>
      <c r="D144" s="5"/>
      <c r="E144" s="5"/>
      <c r="F144" s="5"/>
      <c r="G144" s="5"/>
      <c r="H144" s="5"/>
      <c r="I144" s="5"/>
      <c r="J144" s="5"/>
      <c r="K144" s="6"/>
      <c r="L144" s="6"/>
    </row>
    <row r="145" spans="1:12" ht="12.75">
      <c r="A145" s="4"/>
      <c r="B145" s="64"/>
      <c r="C145" s="5"/>
      <c r="D145" s="5" t="s">
        <v>601</v>
      </c>
      <c r="E145" s="5"/>
      <c r="F145" s="5"/>
      <c r="G145" s="5"/>
      <c r="H145" s="5"/>
      <c r="I145" s="5"/>
      <c r="J145" s="5"/>
      <c r="K145" s="6"/>
      <c r="L145" s="6"/>
    </row>
    <row r="146" spans="1:12" ht="12.75">
      <c r="A146" s="4"/>
      <c r="B146" s="64"/>
      <c r="C146" s="5"/>
      <c r="D146" s="5" t="s">
        <v>602</v>
      </c>
      <c r="E146" s="5"/>
      <c r="F146" s="5"/>
      <c r="G146" s="5"/>
      <c r="H146" s="5"/>
      <c r="I146" s="5"/>
      <c r="J146" s="5"/>
      <c r="K146" s="6"/>
      <c r="L146" s="6"/>
    </row>
    <row r="147" spans="1:12" ht="12.75">
      <c r="A147" s="4"/>
      <c r="B147" s="64"/>
      <c r="C147" s="5"/>
      <c r="D147" s="5"/>
      <c r="E147" s="5"/>
      <c r="F147" s="5"/>
      <c r="G147" s="5"/>
      <c r="H147" s="5"/>
      <c r="I147" s="5"/>
      <c r="J147" s="5"/>
      <c r="K147" s="6"/>
      <c r="L147" s="6"/>
    </row>
    <row r="148" spans="1:12" ht="12.75">
      <c r="A148" s="4"/>
      <c r="B148" s="10"/>
      <c r="C148" s="5"/>
      <c r="D148" s="5" t="s">
        <v>738</v>
      </c>
      <c r="E148" s="5"/>
      <c r="F148" s="5"/>
      <c r="G148" s="5"/>
      <c r="H148" s="5"/>
      <c r="I148" s="5"/>
      <c r="J148" s="5"/>
      <c r="K148" s="6"/>
      <c r="L148" s="6"/>
    </row>
    <row r="149" spans="1:12" ht="12.75">
      <c r="A149" s="4"/>
      <c r="B149" s="10"/>
      <c r="C149" s="5"/>
      <c r="D149" s="5"/>
      <c r="E149" s="5"/>
      <c r="F149" s="5"/>
      <c r="G149" s="5"/>
      <c r="H149" s="5"/>
      <c r="I149" s="5"/>
      <c r="J149" s="5"/>
      <c r="K149" s="6"/>
      <c r="L149" s="6"/>
    </row>
    <row r="150" spans="1:12" ht="12.75">
      <c r="A150" s="4"/>
      <c r="B150" s="10"/>
      <c r="C150" s="5"/>
      <c r="D150" s="5" t="s">
        <v>739</v>
      </c>
      <c r="E150" s="5"/>
      <c r="F150" s="5"/>
      <c r="G150" s="26" t="s">
        <v>311</v>
      </c>
      <c r="H150" s="152">
        <f>SPH_REC!E281</f>
        <v>6.123233995736766E-17</v>
      </c>
      <c r="I150" s="5"/>
      <c r="J150" s="5"/>
      <c r="K150" s="6"/>
      <c r="L150" s="6"/>
    </row>
    <row r="151" spans="1:12" ht="12.75">
      <c r="A151" s="4"/>
      <c r="B151" s="10"/>
      <c r="C151" s="5"/>
      <c r="D151" s="5"/>
      <c r="E151" s="5"/>
      <c r="F151" s="5"/>
      <c r="G151" s="26" t="s">
        <v>313</v>
      </c>
      <c r="H151" s="152">
        <f>SPH_REC!E282</f>
        <v>0</v>
      </c>
      <c r="I151" s="5"/>
      <c r="J151" s="5"/>
      <c r="K151" s="6"/>
      <c r="L151" s="6"/>
    </row>
    <row r="152" spans="1:12" ht="12.75">
      <c r="A152" s="4"/>
      <c r="B152" s="10"/>
      <c r="C152" s="5"/>
      <c r="D152" s="5"/>
      <c r="E152" s="5"/>
      <c r="F152" s="5"/>
      <c r="G152" s="26" t="s">
        <v>1482</v>
      </c>
      <c r="H152" s="152">
        <f>SPH_REC!E283</f>
        <v>1</v>
      </c>
      <c r="I152" s="5"/>
      <c r="J152" s="46"/>
      <c r="K152" s="6"/>
      <c r="L152" s="6"/>
    </row>
    <row r="153" spans="1:12" ht="12.75">
      <c r="A153" s="4"/>
      <c r="B153" s="10"/>
      <c r="C153" s="5"/>
      <c r="D153" s="5"/>
      <c r="E153" s="5"/>
      <c r="F153" s="5"/>
      <c r="G153" s="5"/>
      <c r="H153" s="5"/>
      <c r="I153" s="5"/>
      <c r="J153" s="5"/>
      <c r="K153" s="6"/>
      <c r="L153" s="6"/>
    </row>
    <row r="154" spans="1:12" ht="12.75">
      <c r="A154" s="4"/>
      <c r="B154" s="10"/>
      <c r="C154" s="5"/>
      <c r="D154" s="5" t="s">
        <v>740</v>
      </c>
      <c r="E154" s="5"/>
      <c r="F154" s="5"/>
      <c r="G154" s="26" t="s">
        <v>766</v>
      </c>
      <c r="H154" s="152">
        <f>SPH_REC!E289</f>
        <v>-0.5328762760707298</v>
      </c>
      <c r="I154" s="5"/>
      <c r="J154" s="5"/>
      <c r="K154" s="6"/>
      <c r="L154" s="6"/>
    </row>
    <row r="155" spans="1:12" s="44" customFormat="1" ht="12.75">
      <c r="A155" s="45"/>
      <c r="B155" s="4"/>
      <c r="C155" s="46"/>
      <c r="D155" s="46"/>
      <c r="E155" s="46"/>
      <c r="F155" s="46"/>
      <c r="G155" s="26" t="s">
        <v>768</v>
      </c>
      <c r="H155" s="152">
        <f>SPH_REC!E290</f>
        <v>-0.8461931661275641</v>
      </c>
      <c r="I155" s="46"/>
      <c r="J155" s="46"/>
      <c r="K155" s="47"/>
      <c r="L155" s="47"/>
    </row>
    <row r="156" spans="1:12" s="44" customFormat="1" ht="12.75">
      <c r="A156" s="45"/>
      <c r="B156" s="45"/>
      <c r="C156" s="46"/>
      <c r="D156" s="46"/>
      <c r="E156" s="46"/>
      <c r="F156" s="46"/>
      <c r="G156" s="26" t="s">
        <v>765</v>
      </c>
      <c r="H156" s="152">
        <f>SPH_REC!E291</f>
        <v>0</v>
      </c>
      <c r="I156" s="46"/>
      <c r="J156" s="46"/>
      <c r="K156" s="47"/>
      <c r="L156" s="47"/>
    </row>
    <row r="157" spans="1:12" s="44" customFormat="1" ht="12.75">
      <c r="A157" s="45"/>
      <c r="B157" s="45"/>
      <c r="C157" s="46"/>
      <c r="D157" s="46"/>
      <c r="E157" s="46"/>
      <c r="F157" s="46"/>
      <c r="G157" s="26"/>
      <c r="H157" s="52"/>
      <c r="I157" s="46"/>
      <c r="J157" s="46"/>
      <c r="K157" s="47"/>
      <c r="L157" s="47"/>
    </row>
    <row r="158" spans="1:12" s="44" customFormat="1" ht="12.75">
      <c r="A158" s="45"/>
      <c r="B158" s="45"/>
      <c r="C158" s="46"/>
      <c r="D158" s="46" t="s">
        <v>608</v>
      </c>
      <c r="E158" s="46"/>
      <c r="F158" s="46"/>
      <c r="G158" s="65" t="s">
        <v>609</v>
      </c>
      <c r="H158" s="66" t="s">
        <v>610</v>
      </c>
      <c r="I158" s="67" t="s">
        <v>611</v>
      </c>
      <c r="J158" s="46"/>
      <c r="K158" s="47"/>
      <c r="L158" s="47"/>
    </row>
    <row r="159" spans="1:12" s="44" customFormat="1" ht="12.75">
      <c r="A159" s="45"/>
      <c r="B159" s="45"/>
      <c r="C159" s="46"/>
      <c r="D159" s="46"/>
      <c r="E159" s="46"/>
      <c r="F159" s="46" t="s">
        <v>612</v>
      </c>
      <c r="G159" s="152">
        <f>H150</f>
        <v>6.123233995736766E-17</v>
      </c>
      <c r="H159" s="152">
        <f>H151</f>
        <v>0</v>
      </c>
      <c r="I159" s="178">
        <f>H152</f>
        <v>1</v>
      </c>
      <c r="J159" s="46"/>
      <c r="K159" s="47"/>
      <c r="L159" s="47"/>
    </row>
    <row r="160" spans="1:12" s="44" customFormat="1" ht="12.75">
      <c r="A160" s="45"/>
      <c r="B160" s="45"/>
      <c r="C160" s="46"/>
      <c r="D160" s="46"/>
      <c r="E160" s="46"/>
      <c r="F160" s="46" t="s">
        <v>613</v>
      </c>
      <c r="G160" s="152">
        <f>H154</f>
        <v>-0.5328762760707298</v>
      </c>
      <c r="H160" s="152">
        <f>H155</f>
        <v>-0.8461931661275641</v>
      </c>
      <c r="I160" s="178">
        <f>H156</f>
        <v>0</v>
      </c>
      <c r="J160" s="46"/>
      <c r="K160" s="47"/>
      <c r="L160" s="47"/>
    </row>
    <row r="161" spans="1:12" s="44" customFormat="1" ht="12.75">
      <c r="A161" s="45"/>
      <c r="B161" s="45"/>
      <c r="C161" s="46"/>
      <c r="D161" s="46"/>
      <c r="E161" s="46"/>
      <c r="F161" s="46"/>
      <c r="G161" s="26"/>
      <c r="H161" s="52"/>
      <c r="I161" s="46"/>
      <c r="J161" s="46"/>
      <c r="K161" s="47"/>
      <c r="L161" s="47"/>
    </row>
    <row r="162" spans="1:12" s="44" customFormat="1" ht="12.75">
      <c r="A162" s="45"/>
      <c r="B162" s="45"/>
      <c r="C162" s="46"/>
      <c r="D162" s="46"/>
      <c r="E162" s="46"/>
      <c r="F162" s="46"/>
      <c r="G162" s="26" t="s">
        <v>614</v>
      </c>
      <c r="H162" s="68">
        <f>(H159*I160)-(H160*I159)</f>
        <v>0.8461931661275641</v>
      </c>
      <c r="I162" s="46"/>
      <c r="J162" s="46"/>
      <c r="K162" s="47"/>
      <c r="L162" s="47"/>
    </row>
    <row r="163" spans="1:12" s="44" customFormat="1" ht="12.75">
      <c r="A163" s="45"/>
      <c r="B163" s="45"/>
      <c r="C163" s="46"/>
      <c r="D163" s="46"/>
      <c r="E163" s="46"/>
      <c r="F163" s="46"/>
      <c r="G163" s="26" t="s">
        <v>615</v>
      </c>
      <c r="H163" s="68">
        <f>-((G159*I160)-(G160*I159))</f>
        <v>-0.5328762760707298</v>
      </c>
      <c r="I163" s="46"/>
      <c r="J163" s="46"/>
      <c r="K163" s="47"/>
      <c r="L163" s="47"/>
    </row>
    <row r="164" spans="1:12" s="44" customFormat="1" ht="12.75">
      <c r="A164" s="45"/>
      <c r="B164" s="45"/>
      <c r="C164" s="46"/>
      <c r="D164" s="46"/>
      <c r="E164" s="46"/>
      <c r="F164" s="46"/>
      <c r="G164" s="26" t="s">
        <v>617</v>
      </c>
      <c r="H164" s="68">
        <f>(G159*H160)-(G160*H159)</f>
        <v>-5.181438761792429E-17</v>
      </c>
      <c r="I164" s="46"/>
      <c r="J164" s="46"/>
      <c r="K164" s="47"/>
      <c r="L164" s="47"/>
    </row>
    <row r="165" spans="1:12" s="44" customFormat="1" ht="12.75">
      <c r="A165" s="45"/>
      <c r="B165" s="45"/>
      <c r="C165" s="46"/>
      <c r="D165" s="46"/>
      <c r="E165" s="46"/>
      <c r="F165" s="46"/>
      <c r="G165" s="26"/>
      <c r="H165" s="52"/>
      <c r="I165" s="46"/>
      <c r="J165" s="46"/>
      <c r="K165" s="47"/>
      <c r="L165" s="47"/>
    </row>
    <row r="166" spans="1:12" s="44" customFormat="1" ht="12.75">
      <c r="A166" s="45"/>
      <c r="B166" s="45"/>
      <c r="C166" s="46"/>
      <c r="D166" s="46"/>
      <c r="E166" s="46"/>
      <c r="F166" s="46"/>
      <c r="G166" s="5"/>
      <c r="H166" s="52"/>
      <c r="I166" s="46"/>
      <c r="J166" s="46"/>
      <c r="K166" s="47"/>
      <c r="L166" s="47"/>
    </row>
    <row r="167" spans="1:12" s="44" customFormat="1" ht="12.75">
      <c r="A167" s="45"/>
      <c r="B167" s="64" t="s">
        <v>618</v>
      </c>
      <c r="C167" s="5" t="s">
        <v>1085</v>
      </c>
      <c r="D167" s="5"/>
      <c r="E167" s="5"/>
      <c r="F167" s="5"/>
      <c r="G167" s="5"/>
      <c r="H167" s="5"/>
      <c r="I167" s="5"/>
      <c r="J167" s="5"/>
      <c r="K167" s="47"/>
      <c r="L167" s="47"/>
    </row>
    <row r="168" spans="1:12" s="44" customFormat="1" ht="12.75">
      <c r="A168" s="45"/>
      <c r="B168" s="10"/>
      <c r="C168" s="5"/>
      <c r="D168" s="5"/>
      <c r="E168" s="5"/>
      <c r="F168" s="5"/>
      <c r="G168" s="5"/>
      <c r="H168" s="5"/>
      <c r="I168" s="5"/>
      <c r="J168" s="5"/>
      <c r="K168" s="47"/>
      <c r="L168" s="47"/>
    </row>
    <row r="169" spans="1:12" s="44" customFormat="1" ht="12.75">
      <c r="A169" s="45"/>
      <c r="B169" s="10"/>
      <c r="C169" s="5"/>
      <c r="D169" s="5" t="s">
        <v>738</v>
      </c>
      <c r="E169" s="5"/>
      <c r="F169" s="5"/>
      <c r="G169" s="5"/>
      <c r="H169" s="5"/>
      <c r="I169" s="5"/>
      <c r="J169" s="5"/>
      <c r="K169" s="47"/>
      <c r="L169" s="47"/>
    </row>
    <row r="170" spans="1:12" s="44" customFormat="1" ht="12.75">
      <c r="A170" s="45"/>
      <c r="B170" s="10"/>
      <c r="C170" s="5"/>
      <c r="D170" s="5"/>
      <c r="E170" s="5"/>
      <c r="F170" s="5"/>
      <c r="G170" s="5"/>
      <c r="H170" s="5"/>
      <c r="I170" s="5"/>
      <c r="J170" s="5"/>
      <c r="K170" s="47"/>
      <c r="L170" s="47"/>
    </row>
    <row r="171" spans="1:12" s="44" customFormat="1" ht="12.75">
      <c r="A171" s="45"/>
      <c r="B171" s="10"/>
      <c r="C171" s="5"/>
      <c r="D171" s="5" t="s">
        <v>1086</v>
      </c>
      <c r="E171" s="5"/>
      <c r="F171" s="5"/>
      <c r="G171" s="26" t="s">
        <v>755</v>
      </c>
      <c r="H171" s="152">
        <f>SPH_REC!E260</f>
        <v>-0.41353671945569076</v>
      </c>
      <c r="I171" s="5"/>
      <c r="J171" s="5"/>
      <c r="K171" s="47"/>
      <c r="L171" s="47"/>
    </row>
    <row r="172" spans="1:12" s="44" customFormat="1" ht="12.75">
      <c r="A172" s="45"/>
      <c r="B172" s="10"/>
      <c r="C172" s="5"/>
      <c r="D172" s="5"/>
      <c r="E172" s="5"/>
      <c r="F172" s="5"/>
      <c r="G172" s="26" t="s">
        <v>865</v>
      </c>
      <c r="H172" s="152">
        <f>SPH_REC!E261</f>
        <v>-0.6566851662575609</v>
      </c>
      <c r="I172" s="5"/>
      <c r="J172" s="5"/>
      <c r="K172" s="47"/>
      <c r="L172" s="47"/>
    </row>
    <row r="173" spans="1:12" s="44" customFormat="1" ht="12.75">
      <c r="A173" s="45"/>
      <c r="B173" s="10"/>
      <c r="C173" s="5"/>
      <c r="D173" s="5"/>
      <c r="E173" s="5"/>
      <c r="F173" s="5"/>
      <c r="G173" s="26" t="s">
        <v>439</v>
      </c>
      <c r="H173" s="152">
        <f>SPH_REC!E262</f>
        <v>0.6306758074312863</v>
      </c>
      <c r="I173" s="5"/>
      <c r="J173" s="46"/>
      <c r="K173" s="47"/>
      <c r="L173" s="47"/>
    </row>
    <row r="174" spans="1:12" s="44" customFormat="1" ht="12.75">
      <c r="A174" s="45"/>
      <c r="B174" s="10"/>
      <c r="C174" s="5"/>
      <c r="D174" s="5"/>
      <c r="E174" s="5"/>
      <c r="F174" s="5"/>
      <c r="G174" s="5"/>
      <c r="H174" s="5"/>
      <c r="I174" s="5"/>
      <c r="J174" s="5"/>
      <c r="K174" s="47"/>
      <c r="L174" s="47"/>
    </row>
    <row r="175" spans="1:12" s="44" customFormat="1" ht="12.75">
      <c r="A175" s="45"/>
      <c r="B175" s="10"/>
      <c r="C175" s="5"/>
      <c r="D175" s="5" t="s">
        <v>540</v>
      </c>
      <c r="E175" s="5"/>
      <c r="F175" s="5"/>
      <c r="G175" s="26" t="s">
        <v>57</v>
      </c>
      <c r="H175" s="152">
        <f>SPH_REC!E267</f>
        <v>-0.4216600365272677</v>
      </c>
      <c r="I175" s="5"/>
      <c r="J175" s="5"/>
      <c r="K175" s="47"/>
      <c r="L175" s="47"/>
    </row>
    <row r="176" spans="1:12" s="44" customFormat="1" ht="12.75">
      <c r="A176" s="45"/>
      <c r="B176" s="4"/>
      <c r="C176" s="46"/>
      <c r="D176" s="46"/>
      <c r="E176" s="46"/>
      <c r="F176" s="46"/>
      <c r="G176" s="26" t="s">
        <v>59</v>
      </c>
      <c r="H176" s="152">
        <f>SPH_REC!E268</f>
        <v>-0.6618736777836856</v>
      </c>
      <c r="I176" s="46"/>
      <c r="J176" s="46"/>
      <c r="K176" s="47"/>
      <c r="L176" s="47"/>
    </row>
    <row r="177" spans="1:12" s="44" customFormat="1" ht="12.75">
      <c r="A177" s="45"/>
      <c r="B177" s="45"/>
      <c r="C177" s="46"/>
      <c r="D177" s="46"/>
      <c r="E177" s="46"/>
      <c r="F177" s="46"/>
      <c r="G177" s="26" t="s">
        <v>1088</v>
      </c>
      <c r="H177" s="152">
        <f>SPH_REC!E269</f>
        <v>0.61977903179514</v>
      </c>
      <c r="I177" s="46"/>
      <c r="J177" s="46"/>
      <c r="K177" s="47"/>
      <c r="L177" s="47"/>
    </row>
    <row r="178" spans="1:12" s="44" customFormat="1" ht="12.75">
      <c r="A178" s="45"/>
      <c r="B178" s="45"/>
      <c r="C178" s="46"/>
      <c r="D178" s="46"/>
      <c r="E178" s="46"/>
      <c r="F178" s="46"/>
      <c r="G178" s="26"/>
      <c r="H178" s="52"/>
      <c r="I178" s="46"/>
      <c r="J178" s="46"/>
      <c r="K178" s="47"/>
      <c r="L178" s="47"/>
    </row>
    <row r="179" spans="1:12" s="44" customFormat="1" ht="12.75">
      <c r="A179" s="45"/>
      <c r="B179" s="45"/>
      <c r="C179" s="46"/>
      <c r="D179" s="46" t="s">
        <v>527</v>
      </c>
      <c r="E179" s="46"/>
      <c r="F179" s="46"/>
      <c r="G179" s="65" t="s">
        <v>609</v>
      </c>
      <c r="H179" s="66" t="s">
        <v>610</v>
      </c>
      <c r="I179" s="67" t="s">
        <v>611</v>
      </c>
      <c r="J179" s="46"/>
      <c r="K179" s="47"/>
      <c r="L179" s="47"/>
    </row>
    <row r="180" spans="1:12" s="44" customFormat="1" ht="12.75">
      <c r="A180" s="45"/>
      <c r="B180" s="45"/>
      <c r="C180" s="46"/>
      <c r="D180" s="46"/>
      <c r="E180" s="46"/>
      <c r="F180" s="46" t="s">
        <v>528</v>
      </c>
      <c r="G180" s="152">
        <f>H171</f>
        <v>-0.41353671945569076</v>
      </c>
      <c r="H180" s="152">
        <f>H172</f>
        <v>-0.6566851662575609</v>
      </c>
      <c r="I180" s="178">
        <f>H173</f>
        <v>0.6306758074312863</v>
      </c>
      <c r="J180" s="46"/>
      <c r="K180" s="47"/>
      <c r="L180" s="47"/>
    </row>
    <row r="181" spans="1:12" s="44" customFormat="1" ht="12.75">
      <c r="A181" s="45"/>
      <c r="B181" s="45"/>
      <c r="C181" s="46"/>
      <c r="D181" s="46"/>
      <c r="E181" s="46"/>
      <c r="F181" s="46" t="s">
        <v>529</v>
      </c>
      <c r="G181" s="152">
        <f>H175</f>
        <v>-0.4216600365272677</v>
      </c>
      <c r="H181" s="152">
        <f>H176</f>
        <v>-0.6618736777836856</v>
      </c>
      <c r="I181" s="178">
        <f>H177</f>
        <v>0.61977903179514</v>
      </c>
      <c r="J181" s="46"/>
      <c r="K181" s="47"/>
      <c r="L181" s="47"/>
    </row>
    <row r="182" spans="1:12" s="44" customFormat="1" ht="12.75">
      <c r="A182" s="45"/>
      <c r="B182" s="45"/>
      <c r="C182" s="46"/>
      <c r="D182" s="46"/>
      <c r="E182" s="46"/>
      <c r="F182" s="46"/>
      <c r="G182" s="26"/>
      <c r="H182" s="52"/>
      <c r="I182" s="46"/>
      <c r="J182" s="46"/>
      <c r="K182" s="47"/>
      <c r="L182" s="47"/>
    </row>
    <row r="183" spans="1:12" s="44" customFormat="1" ht="12.75">
      <c r="A183" s="45"/>
      <c r="B183" s="45"/>
      <c r="C183" s="46"/>
      <c r="D183" s="46"/>
      <c r="E183" s="46"/>
      <c r="F183" s="46"/>
      <c r="G183" s="26" t="s">
        <v>530</v>
      </c>
      <c r="H183" s="68">
        <f>(H180*I181)-(H181*I180)</f>
        <v>0.010428019616399165</v>
      </c>
      <c r="I183" s="46"/>
      <c r="J183" s="46"/>
      <c r="K183" s="47"/>
      <c r="L183" s="47"/>
    </row>
    <row r="184" spans="1:12" s="44" customFormat="1" ht="12.75">
      <c r="A184" s="45"/>
      <c r="B184" s="45"/>
      <c r="C184" s="46"/>
      <c r="D184" s="46"/>
      <c r="E184" s="46"/>
      <c r="F184" s="46"/>
      <c r="G184" s="26" t="s">
        <v>228</v>
      </c>
      <c r="H184" s="68">
        <f>-((G180*I181)-(G181*I180))</f>
        <v>-0.009629396402353718</v>
      </c>
      <c r="I184" s="46"/>
      <c r="J184" s="46"/>
      <c r="K184" s="47"/>
      <c r="L184" s="47"/>
    </row>
    <row r="185" spans="1:12" s="44" customFormat="1" ht="12.75">
      <c r="A185" s="45"/>
      <c r="B185" s="45"/>
      <c r="C185" s="46"/>
      <c r="D185" s="46"/>
      <c r="E185" s="46"/>
      <c r="F185" s="46"/>
      <c r="G185" s="26" t="s">
        <v>229</v>
      </c>
      <c r="H185" s="68">
        <f>(G180*H181)-(G181*H180)</f>
        <v>-0.0031888217863397794</v>
      </c>
      <c r="I185" s="46"/>
      <c r="J185" s="146"/>
      <c r="K185" s="47"/>
      <c r="L185" s="47"/>
    </row>
    <row r="186" spans="1:12" s="44" customFormat="1" ht="12.75">
      <c r="A186" s="45"/>
      <c r="B186" s="45"/>
      <c r="C186" s="46"/>
      <c r="D186" s="46"/>
      <c r="E186" s="46"/>
      <c r="F186" s="46"/>
      <c r="G186" s="26"/>
      <c r="H186" s="52"/>
      <c r="I186" s="46"/>
      <c r="J186" s="46"/>
      <c r="K186" s="47"/>
      <c r="L186" s="47"/>
    </row>
    <row r="187" spans="1:12" s="44" customFormat="1" ht="12.75">
      <c r="A187" s="45"/>
      <c r="B187" s="64" t="s">
        <v>230</v>
      </c>
      <c r="C187" s="46" t="s">
        <v>125</v>
      </c>
      <c r="D187" s="46"/>
      <c r="E187" s="46"/>
      <c r="F187" s="46"/>
      <c r="G187" s="26"/>
      <c r="H187" s="52"/>
      <c r="I187" s="46"/>
      <c r="J187" s="46"/>
      <c r="K187" s="47"/>
      <c r="L187" s="47"/>
    </row>
    <row r="188" spans="1:12" s="44" customFormat="1" ht="12.75">
      <c r="A188" s="45"/>
      <c r="B188" s="69"/>
      <c r="C188" s="46"/>
      <c r="D188" s="46"/>
      <c r="E188" s="46"/>
      <c r="F188" s="46"/>
      <c r="G188" s="26"/>
      <c r="H188" s="52"/>
      <c r="I188" s="46"/>
      <c r="J188" s="46"/>
      <c r="K188" s="47"/>
      <c r="L188" s="47"/>
    </row>
    <row r="189" spans="1:12" s="44" customFormat="1" ht="12.75">
      <c r="A189" s="45"/>
      <c r="B189" s="45"/>
      <c r="C189" s="46"/>
      <c r="D189" s="46" t="s">
        <v>126</v>
      </c>
      <c r="E189" s="46"/>
      <c r="F189" s="46"/>
      <c r="G189" s="26"/>
      <c r="H189" s="52"/>
      <c r="I189" s="46"/>
      <c r="J189" s="46"/>
      <c r="K189" s="47"/>
      <c r="L189" s="47"/>
    </row>
    <row r="190" spans="1:12" s="44" customFormat="1" ht="12.75">
      <c r="A190" s="45"/>
      <c r="B190" s="45"/>
      <c r="C190" s="46"/>
      <c r="D190" s="46"/>
      <c r="E190" s="46"/>
      <c r="F190" s="46"/>
      <c r="G190" s="26"/>
      <c r="H190" s="52"/>
      <c r="I190" s="46"/>
      <c r="J190" s="46"/>
      <c r="K190" s="47"/>
      <c r="L190" s="47"/>
    </row>
    <row r="191" spans="1:12" s="44" customFormat="1" ht="12.75">
      <c r="A191" s="45"/>
      <c r="B191" s="45"/>
      <c r="C191" s="46"/>
      <c r="D191" s="70"/>
      <c r="E191" s="46"/>
      <c r="F191" s="70" t="s">
        <v>127</v>
      </c>
      <c r="G191" s="72">
        <f>((H162*H183)+(H163*H184)+(H164*H185))</f>
        <v>0.013955395831336287</v>
      </c>
      <c r="H191" s="52"/>
      <c r="I191" s="46"/>
      <c r="J191" s="46"/>
      <c r="K191" s="47"/>
      <c r="L191" s="47"/>
    </row>
    <row r="192" spans="1:12" s="44" customFormat="1" ht="12.75">
      <c r="A192" s="45"/>
      <c r="B192" s="45"/>
      <c r="C192" s="46"/>
      <c r="D192" s="46"/>
      <c r="E192" s="46"/>
      <c r="F192" s="70" t="s">
        <v>128</v>
      </c>
      <c r="G192" s="72">
        <f>SQRT(H162^2+H163^2+H164^2)</f>
        <v>1</v>
      </c>
      <c r="H192" s="52"/>
      <c r="I192" s="5"/>
      <c r="J192" s="5"/>
      <c r="K192" s="6"/>
      <c r="L192" s="47"/>
    </row>
    <row r="193" spans="1:12" s="44" customFormat="1" ht="12.75">
      <c r="A193" s="45"/>
      <c r="B193" s="45"/>
      <c r="C193" s="46"/>
      <c r="D193" s="46"/>
      <c r="E193" s="46"/>
      <c r="F193" s="70" t="s">
        <v>129</v>
      </c>
      <c r="G193" s="72">
        <f>SQRT(H183^2+H184^2+H185^2)</f>
        <v>0.014547764521695549</v>
      </c>
      <c r="H193" s="52"/>
      <c r="I193" s="5"/>
      <c r="J193" s="5"/>
      <c r="K193" s="6"/>
      <c r="L193" s="47"/>
    </row>
    <row r="194" spans="1:12" s="44" customFormat="1" ht="12.75">
      <c r="A194" s="45"/>
      <c r="B194" s="45"/>
      <c r="C194" s="46"/>
      <c r="D194" s="85" t="s">
        <v>866</v>
      </c>
      <c r="E194" s="5"/>
      <c r="F194" s="70"/>
      <c r="G194" s="72">
        <f>IF((G192*G193)=0,0,(G191/(G192*G193)))</f>
        <v>0.9592811191385561</v>
      </c>
      <c r="H194" s="5"/>
      <c r="I194" s="5"/>
      <c r="J194" s="5"/>
      <c r="K194" s="47"/>
      <c r="L194" s="47"/>
    </row>
    <row r="195" spans="1:12" s="44" customFormat="1" ht="12.75">
      <c r="A195" s="45"/>
      <c r="B195" s="45"/>
      <c r="C195" s="46"/>
      <c r="D195" s="46"/>
      <c r="E195" s="46"/>
      <c r="F195" s="46"/>
      <c r="G195" s="26"/>
      <c r="H195" s="52"/>
      <c r="I195" s="46"/>
      <c r="J195" s="46"/>
      <c r="K195" s="47"/>
      <c r="L195" s="47"/>
    </row>
    <row r="196" spans="1:12" s="44" customFormat="1" ht="16.5" thickBot="1">
      <c r="A196" s="45"/>
      <c r="B196" s="45"/>
      <c r="C196" s="5"/>
      <c r="D196" s="16" t="s">
        <v>867</v>
      </c>
      <c r="E196" s="72">
        <f>IF((G192*G193)=0,0,ACOS(G194))</f>
        <v>0.2863503419449389</v>
      </c>
      <c r="F196" s="52" t="s">
        <v>1483</v>
      </c>
      <c r="G196" s="73">
        <f>DEGREES(E196)</f>
        <v>16.40666605557295</v>
      </c>
      <c r="H196" s="46" t="s">
        <v>1233</v>
      </c>
      <c r="I196" s="88" t="s">
        <v>438</v>
      </c>
      <c r="J196" s="89"/>
      <c r="K196" s="192"/>
      <c r="L196" s="47"/>
    </row>
    <row r="197" spans="1:12" s="44" customFormat="1" ht="13.5" thickBot="1">
      <c r="A197" s="45"/>
      <c r="B197" s="45"/>
      <c r="C197" s="46"/>
      <c r="D197" s="46"/>
      <c r="E197" s="46"/>
      <c r="F197" s="46"/>
      <c r="G197" s="26"/>
      <c r="H197" s="52"/>
      <c r="I197" s="86" t="str">
        <f>IF(G194&gt;1,"Error - Value Greater then 1.  Cant Compute ACOS","None")</f>
        <v>None</v>
      </c>
      <c r="J197" s="87"/>
      <c r="K197" s="87"/>
      <c r="L197" s="47"/>
    </row>
    <row r="198" spans="1:12" s="44" customFormat="1" ht="12.75">
      <c r="A198" s="45"/>
      <c r="B198" s="45"/>
      <c r="C198" s="46"/>
      <c r="D198" s="46"/>
      <c r="E198" s="46"/>
      <c r="F198" s="46"/>
      <c r="G198" s="26"/>
      <c r="H198" s="52"/>
      <c r="I198" s="46"/>
      <c r="J198" s="46"/>
      <c r="K198" s="47"/>
      <c r="L198" s="47"/>
    </row>
    <row r="199" spans="1:12" s="44" customFormat="1" ht="12.75">
      <c r="A199" s="45"/>
      <c r="B199" s="64" t="s">
        <v>1484</v>
      </c>
      <c r="C199" s="46" t="s">
        <v>327</v>
      </c>
      <c r="D199" s="46"/>
      <c r="E199" s="46"/>
      <c r="F199" s="46"/>
      <c r="G199" s="26"/>
      <c r="H199" s="52"/>
      <c r="I199" s="46"/>
      <c r="J199" s="46"/>
      <c r="K199" s="47"/>
      <c r="L199" s="47"/>
    </row>
    <row r="200" spans="1:12" s="44" customFormat="1" ht="12.75">
      <c r="A200" s="45"/>
      <c r="B200" s="45"/>
      <c r="C200" s="46"/>
      <c r="D200" s="46"/>
      <c r="E200" s="46"/>
      <c r="F200" s="46"/>
      <c r="G200" s="26"/>
      <c r="H200" s="52"/>
      <c r="I200" s="46"/>
      <c r="J200" s="46"/>
      <c r="K200" s="47"/>
      <c r="L200" s="47"/>
    </row>
    <row r="201" spans="1:12" s="44" customFormat="1" ht="12.75">
      <c r="A201" s="45"/>
      <c r="B201" s="45"/>
      <c r="C201" s="46" t="s">
        <v>775</v>
      </c>
      <c r="D201" s="46"/>
      <c r="E201" s="46"/>
      <c r="F201" s="46"/>
      <c r="G201" s="26"/>
      <c r="H201" s="52"/>
      <c r="I201" s="46"/>
      <c r="J201" s="46"/>
      <c r="K201" s="47"/>
      <c r="L201" s="47"/>
    </row>
    <row r="202" spans="1:12" s="44" customFormat="1" ht="12.75">
      <c r="A202" s="45"/>
      <c r="B202" s="45"/>
      <c r="C202" s="46" t="s">
        <v>868</v>
      </c>
      <c r="D202" s="46"/>
      <c r="E202" s="46"/>
      <c r="F202" s="46"/>
      <c r="G202" s="26"/>
      <c r="H202" s="52"/>
      <c r="I202" s="46"/>
      <c r="J202" s="46"/>
      <c r="K202" s="47"/>
      <c r="L202" s="47"/>
    </row>
    <row r="203" spans="1:12" s="44" customFormat="1" ht="12.75">
      <c r="A203" s="45"/>
      <c r="B203" s="45"/>
      <c r="C203" s="46"/>
      <c r="D203" s="46"/>
      <c r="E203" s="46"/>
      <c r="F203" s="46"/>
      <c r="G203" s="26"/>
      <c r="H203" s="52"/>
      <c r="I203" s="46"/>
      <c r="J203" s="46"/>
      <c r="K203" s="47"/>
      <c r="L203" s="47"/>
    </row>
    <row r="204" spans="1:12" s="44" customFormat="1" ht="12.75">
      <c r="A204" s="45"/>
      <c r="B204" s="45"/>
      <c r="C204" s="46"/>
      <c r="D204" s="46"/>
      <c r="E204" s="46"/>
      <c r="F204" s="46"/>
      <c r="G204" s="26"/>
      <c r="H204" s="52"/>
      <c r="I204" s="46"/>
      <c r="J204" s="46"/>
      <c r="K204" s="47"/>
      <c r="L204" s="47"/>
    </row>
    <row r="205" spans="1:12" s="44" customFormat="1" ht="12.75">
      <c r="A205" s="45"/>
      <c r="B205" s="45"/>
      <c r="C205" s="46" t="s">
        <v>1190</v>
      </c>
      <c r="D205" s="46"/>
      <c r="E205" s="46"/>
      <c r="F205" s="46"/>
      <c r="G205" s="26"/>
      <c r="H205" s="52"/>
      <c r="I205" s="46"/>
      <c r="J205" s="46"/>
      <c r="K205" s="47"/>
      <c r="L205" s="47"/>
    </row>
    <row r="206" spans="1:12" s="44" customFormat="1" ht="12.75">
      <c r="A206" s="45"/>
      <c r="B206" s="45"/>
      <c r="C206" s="46"/>
      <c r="D206" s="46"/>
      <c r="E206" s="46"/>
      <c r="F206" s="46"/>
      <c r="G206" s="26"/>
      <c r="H206" s="52"/>
      <c r="I206" s="46"/>
      <c r="J206" s="46"/>
      <c r="K206" s="47"/>
      <c r="L206" s="47"/>
    </row>
    <row r="207" spans="1:12" s="44" customFormat="1" ht="12.75">
      <c r="A207" s="45"/>
      <c r="B207" s="45"/>
      <c r="C207" s="46"/>
      <c r="D207" s="46" t="s">
        <v>776</v>
      </c>
      <c r="E207" s="46"/>
      <c r="F207" s="46"/>
      <c r="G207" s="26"/>
      <c r="H207" s="52"/>
      <c r="I207" s="46"/>
      <c r="J207" s="46"/>
      <c r="K207" s="47"/>
      <c r="L207" s="47"/>
    </row>
    <row r="208" spans="1:12" s="44" customFormat="1" ht="12.75">
      <c r="A208" s="45"/>
      <c r="B208" s="45"/>
      <c r="C208" s="46"/>
      <c r="D208" s="46"/>
      <c r="E208" s="46"/>
      <c r="F208" s="46"/>
      <c r="G208" s="26"/>
      <c r="H208" s="52"/>
      <c r="I208" s="46"/>
      <c r="J208" s="46"/>
      <c r="K208" s="47"/>
      <c r="L208" s="47"/>
    </row>
    <row r="209" spans="1:12" s="44" customFormat="1" ht="12.75">
      <c r="A209" s="45"/>
      <c r="B209" s="45"/>
      <c r="C209" s="46"/>
      <c r="D209" s="46" t="s">
        <v>1798</v>
      </c>
      <c r="E209" s="46"/>
      <c r="F209" s="46"/>
      <c r="G209" s="26"/>
      <c r="H209" s="52"/>
      <c r="I209" s="46"/>
      <c r="J209" s="46"/>
      <c r="K209" s="47"/>
      <c r="L209" s="47"/>
    </row>
    <row r="210" spans="1:12" s="44" customFormat="1" ht="12.75">
      <c r="A210" s="45"/>
      <c r="B210" s="45"/>
      <c r="C210" s="46"/>
      <c r="D210" s="46"/>
      <c r="E210" s="46"/>
      <c r="F210" s="46"/>
      <c r="G210" s="26"/>
      <c r="H210" s="52"/>
      <c r="I210" s="46"/>
      <c r="J210" s="46"/>
      <c r="K210" s="47"/>
      <c r="L210" s="47"/>
    </row>
    <row r="211" spans="1:12" s="44" customFormat="1" ht="12.75">
      <c r="A211" s="45"/>
      <c r="B211" s="45"/>
      <c r="C211" s="46"/>
      <c r="D211" s="46"/>
      <c r="E211" s="22"/>
      <c r="F211" s="22"/>
      <c r="G211" s="147"/>
      <c r="H211" s="46"/>
      <c r="I211" s="46" t="s">
        <v>599</v>
      </c>
      <c r="J211" s="46" t="s">
        <v>1233</v>
      </c>
      <c r="K211" s="47"/>
      <c r="L211" s="47"/>
    </row>
    <row r="212" spans="1:12" s="44" customFormat="1" ht="15.75">
      <c r="A212" s="45"/>
      <c r="B212" s="45"/>
      <c r="C212" s="46"/>
      <c r="D212" s="16" t="s">
        <v>1191</v>
      </c>
      <c r="E212" s="46"/>
      <c r="F212" s="46"/>
      <c r="G212" s="26"/>
      <c r="H212" s="46"/>
      <c r="I212" s="71">
        <f>IF((G192*G193)=0,0,IF(SPH_REC!G67&gt;=SPH_REC!G63,Trans_Origin!E196,(2*PI())-Trans_Origin!E196))</f>
        <v>5.9968349652346475</v>
      </c>
      <c r="J212" s="73">
        <f>DEGREES(I212)</f>
        <v>343.59333394442706</v>
      </c>
      <c r="K212" s="47"/>
      <c r="L212" s="47"/>
    </row>
    <row r="213" spans="1:12" s="44" customFormat="1" ht="15.75">
      <c r="A213" s="45"/>
      <c r="B213" s="45"/>
      <c r="C213" s="46"/>
      <c r="D213" s="331"/>
      <c r="E213" s="46"/>
      <c r="F213" s="46"/>
      <c r="G213" s="26"/>
      <c r="H213" s="52"/>
      <c r="I213" s="46"/>
      <c r="J213" s="46"/>
      <c r="K213" s="47"/>
      <c r="L213" s="47"/>
    </row>
    <row r="214" spans="1:12" s="44" customFormat="1" ht="12.75">
      <c r="A214" s="45"/>
      <c r="B214" s="45"/>
      <c r="C214" s="126" t="s">
        <v>268</v>
      </c>
      <c r="D214" s="46"/>
      <c r="E214" s="46"/>
      <c r="F214" s="46"/>
      <c r="G214" s="26"/>
      <c r="H214" s="52"/>
      <c r="I214" s="46"/>
      <c r="J214" s="46"/>
      <c r="K214" s="47"/>
      <c r="L214" s="47"/>
    </row>
    <row r="215" spans="1:12" s="44" customFormat="1" ht="12.75">
      <c r="A215" s="45"/>
      <c r="B215" s="45"/>
      <c r="C215" s="46"/>
      <c r="D215" s="46" t="s">
        <v>146</v>
      </c>
      <c r="E215" s="46"/>
      <c r="F215" s="46"/>
      <c r="G215" s="26"/>
      <c r="H215" s="52"/>
      <c r="I215" s="46"/>
      <c r="J215" s="46"/>
      <c r="K215" s="47"/>
      <c r="L215" s="47"/>
    </row>
    <row r="216" spans="1:12" s="44" customFormat="1" ht="15.75">
      <c r="A216" s="45"/>
      <c r="B216" s="45"/>
      <c r="C216" s="16"/>
      <c r="D216" s="5"/>
      <c r="E216" s="16"/>
      <c r="F216" s="46"/>
      <c r="G216" s="52"/>
      <c r="H216" s="46"/>
      <c r="I216" s="46"/>
      <c r="J216" s="46"/>
      <c r="K216" s="47"/>
      <c r="L216" s="47"/>
    </row>
    <row r="217" spans="1:12" s="44" customFormat="1" ht="12.75">
      <c r="A217" s="45"/>
      <c r="B217" s="45"/>
      <c r="C217" s="46"/>
      <c r="D217" s="46" t="s">
        <v>132</v>
      </c>
      <c r="E217" s="46"/>
      <c r="F217" s="46"/>
      <c r="G217" s="26"/>
      <c r="H217" s="52"/>
      <c r="I217" s="46"/>
      <c r="J217" s="46"/>
      <c r="K217" s="47"/>
      <c r="L217" s="47"/>
    </row>
    <row r="218" spans="1:12" s="44" customFormat="1" ht="12.75">
      <c r="A218" s="45"/>
      <c r="B218" s="45"/>
      <c r="C218" s="46"/>
      <c r="D218" s="46" t="s">
        <v>147</v>
      </c>
      <c r="E218" s="46"/>
      <c r="F218" s="46"/>
      <c r="G218" s="26"/>
      <c r="H218" s="52"/>
      <c r="I218" s="46"/>
      <c r="J218" s="277" t="b">
        <f>AND((ABS(SPH_REC!E63))&lt;=10,(ABS(SPH_REC!E67))&lt;=10)</f>
        <v>0</v>
      </c>
      <c r="K218" s="47"/>
      <c r="L218" s="47"/>
    </row>
    <row r="219" spans="1:12" s="44" customFormat="1" ht="12.75">
      <c r="A219" s="45"/>
      <c r="B219" s="45"/>
      <c r="C219" s="46"/>
      <c r="D219" s="46"/>
      <c r="E219" s="46"/>
      <c r="F219" s="46"/>
      <c r="G219" s="26"/>
      <c r="H219" s="52"/>
      <c r="I219" s="46"/>
      <c r="J219" s="46"/>
      <c r="K219" s="47"/>
      <c r="L219" s="47"/>
    </row>
    <row r="220" spans="1:12" s="44" customFormat="1" ht="12.75">
      <c r="A220" s="45"/>
      <c r="B220" s="45"/>
      <c r="C220" s="46"/>
      <c r="D220" s="46" t="s">
        <v>1531</v>
      </c>
      <c r="E220" s="46" t="s">
        <v>148</v>
      </c>
      <c r="F220" s="46"/>
      <c r="G220" s="26"/>
      <c r="H220" s="52"/>
      <c r="I220" s="46"/>
      <c r="J220" s="46"/>
      <c r="K220" s="47"/>
      <c r="L220" s="47"/>
    </row>
    <row r="221" spans="1:12" s="44" customFormat="1" ht="12.75">
      <c r="A221" s="45"/>
      <c r="B221" s="45"/>
      <c r="C221" s="46"/>
      <c r="D221" s="46"/>
      <c r="E221" s="46" t="s">
        <v>70</v>
      </c>
      <c r="F221" s="46"/>
      <c r="G221" s="26"/>
      <c r="H221" s="52"/>
      <c r="I221" s="46"/>
      <c r="J221" s="46"/>
      <c r="K221" s="47"/>
      <c r="L221" s="47"/>
    </row>
    <row r="222" spans="1:12" s="44" customFormat="1" ht="12.75">
      <c r="A222" s="45"/>
      <c r="B222" s="45"/>
      <c r="C222" s="46"/>
      <c r="D222" s="46"/>
      <c r="E222" s="46"/>
      <c r="F222" s="46"/>
      <c r="G222" s="26"/>
      <c r="H222" s="52"/>
      <c r="I222" s="46"/>
      <c r="J222" s="46"/>
      <c r="K222" s="47"/>
      <c r="L222" s="47"/>
    </row>
    <row r="223" spans="1:12" s="44" customFormat="1" ht="12.75">
      <c r="A223" s="45"/>
      <c r="B223" s="45"/>
      <c r="C223" s="46"/>
      <c r="D223" s="46"/>
      <c r="E223" s="46" t="s">
        <v>513</v>
      </c>
      <c r="F223" s="46"/>
      <c r="G223" s="26"/>
      <c r="H223" s="52"/>
      <c r="I223" s="46"/>
      <c r="J223" s="46"/>
      <c r="K223" s="47"/>
      <c r="L223" s="47"/>
    </row>
    <row r="224" spans="1:12" s="44" customFormat="1" ht="12.75">
      <c r="A224" s="45"/>
      <c r="B224" s="45"/>
      <c r="C224" s="46"/>
      <c r="D224" s="46"/>
      <c r="E224" s="46" t="s">
        <v>514</v>
      </c>
      <c r="F224" s="46"/>
      <c r="G224" s="26"/>
      <c r="H224" s="52"/>
      <c r="I224" s="46"/>
      <c r="J224" s="46"/>
      <c r="K224" s="47"/>
      <c r="L224" s="47"/>
    </row>
    <row r="225" spans="1:12" s="44" customFormat="1" ht="12.75">
      <c r="A225" s="45"/>
      <c r="B225" s="45"/>
      <c r="C225" s="46"/>
      <c r="D225" s="46"/>
      <c r="E225" s="46"/>
      <c r="F225" s="46"/>
      <c r="G225" s="26"/>
      <c r="H225" s="52"/>
      <c r="I225" s="46"/>
      <c r="J225" s="46"/>
      <c r="K225" s="47"/>
      <c r="L225" s="47"/>
    </row>
    <row r="226" spans="1:12" s="44" customFormat="1" ht="12.75">
      <c r="A226" s="45"/>
      <c r="B226" s="45"/>
      <c r="C226" s="46"/>
      <c r="D226" s="46"/>
      <c r="E226" s="46" t="s">
        <v>1541</v>
      </c>
      <c r="F226" s="46"/>
      <c r="G226" s="26"/>
      <c r="H226" s="52"/>
      <c r="I226" s="46"/>
      <c r="J226" s="46"/>
      <c r="K226" s="47"/>
      <c r="L226" s="47"/>
    </row>
    <row r="227" spans="1:12" s="44" customFormat="1" ht="12.75">
      <c r="A227" s="45"/>
      <c r="B227" s="45"/>
      <c r="C227" s="46"/>
      <c r="D227" s="46"/>
      <c r="E227" s="46"/>
      <c r="F227" s="46"/>
      <c r="G227" s="46"/>
      <c r="H227" s="46"/>
      <c r="I227" s="46"/>
      <c r="J227" s="46"/>
      <c r="K227" s="47" t="s">
        <v>1233</v>
      </c>
      <c r="L227" s="47"/>
    </row>
    <row r="228" spans="1:12" s="44" customFormat="1" ht="12.75">
      <c r="A228" s="45"/>
      <c r="B228" s="45"/>
      <c r="C228" s="46"/>
      <c r="D228" s="46"/>
      <c r="E228" s="131" t="s">
        <v>319</v>
      </c>
      <c r="F228" s="46"/>
      <c r="G228" s="26"/>
      <c r="H228" s="52"/>
      <c r="I228" s="46"/>
      <c r="J228" s="277">
        <f>IF(J218=TRUE,AND(SPH_REC!E67&lt;=0,SPH_REC!E63&gt;=0),"")</f>
      </c>
      <c r="K228" s="334" t="str">
        <f>IF(J228=TRUE,DEGREES(-1*I212),"NONE")</f>
        <v>NONE</v>
      </c>
      <c r="L228" s="47"/>
    </row>
    <row r="229" spans="1:12" s="44" customFormat="1" ht="12.75">
      <c r="A229" s="45"/>
      <c r="B229" s="45"/>
      <c r="C229" s="46"/>
      <c r="D229" s="46"/>
      <c r="E229" s="46" t="s">
        <v>1321</v>
      </c>
      <c r="F229" s="46"/>
      <c r="G229" s="26"/>
      <c r="H229" s="52"/>
      <c r="I229" s="46"/>
      <c r="J229" s="146"/>
      <c r="K229" s="47"/>
      <c r="L229" s="47"/>
    </row>
    <row r="230" spans="1:12" s="44" customFormat="1" ht="12.75">
      <c r="A230" s="45"/>
      <c r="B230" s="45"/>
      <c r="C230" s="46"/>
      <c r="D230" s="46"/>
      <c r="E230" s="46"/>
      <c r="F230" s="46"/>
      <c r="G230" s="26"/>
      <c r="H230" s="52"/>
      <c r="I230" s="46"/>
      <c r="J230" s="146"/>
      <c r="K230" s="47"/>
      <c r="L230" s="47"/>
    </row>
    <row r="231" spans="1:12" s="44" customFormat="1" ht="12.75">
      <c r="A231" s="45"/>
      <c r="B231" s="45"/>
      <c r="C231" s="46"/>
      <c r="D231" s="46"/>
      <c r="E231" s="46"/>
      <c r="F231" s="46"/>
      <c r="G231" s="26"/>
      <c r="H231" s="52"/>
      <c r="I231" s="46"/>
      <c r="J231" s="146"/>
      <c r="K231" s="47"/>
      <c r="L231" s="47"/>
    </row>
    <row r="232" spans="1:12" s="44" customFormat="1" ht="12.75">
      <c r="A232" s="45"/>
      <c r="B232" s="45"/>
      <c r="C232" s="46"/>
      <c r="D232" s="46" t="s">
        <v>1532</v>
      </c>
      <c r="E232" s="46" t="s">
        <v>1322</v>
      </c>
      <c r="F232" s="46"/>
      <c r="G232" s="26"/>
      <c r="H232" s="52"/>
      <c r="I232" s="46"/>
      <c r="J232" s="146"/>
      <c r="K232" s="47"/>
      <c r="L232" s="47"/>
    </row>
    <row r="233" spans="1:12" s="44" customFormat="1" ht="12.75">
      <c r="A233" s="45"/>
      <c r="B233" s="45"/>
      <c r="C233" s="46"/>
      <c r="D233" s="46"/>
      <c r="E233" s="46" t="s">
        <v>1323</v>
      </c>
      <c r="F233" s="46"/>
      <c r="G233" s="26"/>
      <c r="H233" s="52"/>
      <c r="I233" s="46"/>
      <c r="J233" s="146"/>
      <c r="K233" s="47"/>
      <c r="L233" s="47"/>
    </row>
    <row r="234" spans="1:12" s="44" customFormat="1" ht="12.75">
      <c r="A234" s="45"/>
      <c r="B234" s="45"/>
      <c r="C234" s="46"/>
      <c r="D234" s="46"/>
      <c r="E234" s="46"/>
      <c r="F234" s="46"/>
      <c r="G234" s="26"/>
      <c r="H234" s="52"/>
      <c r="I234" s="46"/>
      <c r="J234" s="146"/>
      <c r="K234" s="47"/>
      <c r="L234" s="47"/>
    </row>
    <row r="235" spans="1:12" s="44" customFormat="1" ht="12.75">
      <c r="A235" s="45"/>
      <c r="B235" s="45"/>
      <c r="C235" s="46"/>
      <c r="D235" s="46"/>
      <c r="E235" s="46" t="s">
        <v>1652</v>
      </c>
      <c r="F235" s="46"/>
      <c r="G235" s="26"/>
      <c r="H235" s="52"/>
      <c r="I235" s="46"/>
      <c r="J235" s="146"/>
      <c r="K235" s="47"/>
      <c r="L235" s="47"/>
    </row>
    <row r="236" spans="1:12" s="44" customFormat="1" ht="12.75">
      <c r="A236" s="45"/>
      <c r="B236" s="45"/>
      <c r="C236" s="46"/>
      <c r="D236" s="46"/>
      <c r="E236" s="46"/>
      <c r="F236" s="46"/>
      <c r="G236" s="26"/>
      <c r="H236" s="52"/>
      <c r="I236" s="46"/>
      <c r="J236" s="46"/>
      <c r="K236" s="47" t="s">
        <v>1233</v>
      </c>
      <c r="L236" s="47"/>
    </row>
    <row r="237" spans="1:12" s="44" customFormat="1" ht="12.75">
      <c r="A237" s="45"/>
      <c r="B237" s="45"/>
      <c r="C237" s="46"/>
      <c r="D237" s="46"/>
      <c r="E237" s="131" t="s">
        <v>1409</v>
      </c>
      <c r="F237" s="46"/>
      <c r="G237" s="26"/>
      <c r="H237" s="52"/>
      <c r="I237" s="46"/>
      <c r="J237" s="277">
        <f>IF(J218=TRUE,AND(SPH_REC!E67&gt;=0,SPH_REC!E63&lt;0),"")</f>
      </c>
      <c r="K237" s="334" t="str">
        <f>IF(J237=TRUE,DEGREES((2*PI())-I212),"NONE")</f>
        <v>NONE</v>
      </c>
      <c r="L237" s="47"/>
    </row>
    <row r="238" spans="1:12" s="44" customFormat="1" ht="12.75">
      <c r="A238" s="45"/>
      <c r="B238" s="45"/>
      <c r="C238" s="46"/>
      <c r="D238" s="46"/>
      <c r="E238" s="46" t="s">
        <v>1324</v>
      </c>
      <c r="F238" s="46"/>
      <c r="G238" s="46"/>
      <c r="H238" s="46"/>
      <c r="I238" s="46"/>
      <c r="J238" s="46"/>
      <c r="K238" s="47"/>
      <c r="L238" s="47"/>
    </row>
    <row r="239" spans="1:12" s="44" customFormat="1" ht="12.75">
      <c r="A239" s="45"/>
      <c r="B239" s="45"/>
      <c r="C239" s="46"/>
      <c r="D239" s="46"/>
      <c r="E239" s="46"/>
      <c r="F239" s="46"/>
      <c r="G239" s="46"/>
      <c r="H239" s="46"/>
      <c r="I239" s="46"/>
      <c r="J239" s="46"/>
      <c r="K239" s="47"/>
      <c r="L239" s="47"/>
    </row>
    <row r="240" spans="1:12" s="44" customFormat="1" ht="12.75">
      <c r="A240" s="45"/>
      <c r="B240" s="45"/>
      <c r="C240" s="46"/>
      <c r="D240" s="46" t="s">
        <v>131</v>
      </c>
      <c r="E240" s="46"/>
      <c r="F240" s="46"/>
      <c r="G240" s="26"/>
      <c r="H240" s="52"/>
      <c r="I240" s="46"/>
      <c r="J240" s="332"/>
      <c r="K240" s="47"/>
      <c r="L240" s="47"/>
    </row>
    <row r="241" spans="1:12" s="44" customFormat="1" ht="12.75">
      <c r="A241" s="45"/>
      <c r="B241" s="45"/>
      <c r="C241" s="46"/>
      <c r="D241" s="46"/>
      <c r="E241" s="46"/>
      <c r="F241" s="46"/>
      <c r="G241" s="26"/>
      <c r="H241" s="52"/>
      <c r="I241" s="46"/>
      <c r="J241" s="332"/>
      <c r="K241" s="47"/>
      <c r="L241" s="47"/>
    </row>
    <row r="242" spans="1:12" s="44" customFormat="1" ht="12.75">
      <c r="A242" s="45"/>
      <c r="B242" s="45"/>
      <c r="C242" s="46"/>
      <c r="D242" s="46" t="s">
        <v>1410</v>
      </c>
      <c r="E242" s="46"/>
      <c r="F242" s="46"/>
      <c r="G242" s="26" t="s">
        <v>1135</v>
      </c>
      <c r="H242" s="71" t="str">
        <f>IF(J218=FALSE,"NONE",IF(J228=TRUE,-1*I212,(IF(J237=TRUE,((2*PI())-I212),"NONE"))))</f>
        <v>NONE</v>
      </c>
      <c r="I242" s="52" t="s">
        <v>1483</v>
      </c>
      <c r="J242" s="73" t="str">
        <f>IF(H242="NONE","NONE",DEGREES(H242))</f>
        <v>NONE</v>
      </c>
      <c r="K242" s="47" t="s">
        <v>1233</v>
      </c>
      <c r="L242" s="47"/>
    </row>
    <row r="243" spans="1:12" s="44" customFormat="1" ht="13.5" customHeight="1">
      <c r="A243" s="45"/>
      <c r="B243" s="45"/>
      <c r="C243" s="46"/>
      <c r="D243" s="46"/>
      <c r="E243" s="46"/>
      <c r="F243" s="46"/>
      <c r="G243" s="26"/>
      <c r="H243" s="146"/>
      <c r="I243" s="52"/>
      <c r="J243" s="142"/>
      <c r="K243" s="47"/>
      <c r="L243" s="47"/>
    </row>
    <row r="244" spans="1:12" s="44" customFormat="1" ht="13.5" thickBot="1">
      <c r="A244" s="45"/>
      <c r="B244" s="45"/>
      <c r="C244" s="46"/>
      <c r="D244" s="46"/>
      <c r="E244" s="46"/>
      <c r="F244" s="46"/>
      <c r="G244" s="26"/>
      <c r="H244" s="52"/>
      <c r="I244" s="46"/>
      <c r="J244" s="46"/>
      <c r="K244" s="47"/>
      <c r="L244" s="47"/>
    </row>
    <row r="245" spans="1:12" s="44" customFormat="1" ht="16.5" thickBot="1">
      <c r="A245" s="45"/>
      <c r="B245" s="45"/>
      <c r="C245" s="278" t="s">
        <v>1039</v>
      </c>
      <c r="D245" s="335"/>
      <c r="E245" s="325"/>
      <c r="F245" s="333">
        <f>IF(H242="NONE",J212,J242)</f>
        <v>343.59333394442706</v>
      </c>
      <c r="G245" s="46" t="s">
        <v>1233</v>
      </c>
      <c r="H245" s="46"/>
      <c r="I245" s="46"/>
      <c r="J245" s="46"/>
      <c r="K245" s="47"/>
      <c r="L245" s="47"/>
    </row>
    <row r="246" spans="1:12" s="44" customFormat="1" ht="12.75">
      <c r="A246" s="45"/>
      <c r="B246" s="45"/>
      <c r="C246" s="46"/>
      <c r="D246" s="46"/>
      <c r="E246" s="46"/>
      <c r="F246" s="46"/>
      <c r="G246" s="26"/>
      <c r="H246" s="52"/>
      <c r="I246" s="46"/>
      <c r="J246" s="46"/>
      <c r="K246" s="47"/>
      <c r="L246" s="47"/>
    </row>
    <row r="247" spans="1:12" s="44" customFormat="1" ht="13.5" thickBot="1">
      <c r="A247" s="45"/>
      <c r="B247" s="48"/>
      <c r="C247" s="49"/>
      <c r="D247" s="49"/>
      <c r="E247" s="49"/>
      <c r="F247" s="49"/>
      <c r="G247" s="49"/>
      <c r="H247" s="49"/>
      <c r="I247" s="49"/>
      <c r="J247" s="49"/>
      <c r="K247" s="50"/>
      <c r="L247" s="47"/>
    </row>
    <row r="248" spans="1:12" s="44" customFormat="1" ht="12.75">
      <c r="A248" s="45"/>
      <c r="B248" s="46"/>
      <c r="C248" s="46"/>
      <c r="D248" s="46"/>
      <c r="E248" s="46"/>
      <c r="F248" s="46"/>
      <c r="G248" s="46"/>
      <c r="H248" s="46"/>
      <c r="I248" s="46"/>
      <c r="J248" s="46"/>
      <c r="K248" s="46"/>
      <c r="L248" s="47"/>
    </row>
    <row r="249" spans="1:12" s="44" customFormat="1" ht="12.75">
      <c r="A249" s="45"/>
      <c r="B249" s="46"/>
      <c r="C249" s="46"/>
      <c r="D249" s="46"/>
      <c r="E249" s="46"/>
      <c r="F249" s="46"/>
      <c r="G249" s="46"/>
      <c r="H249" s="46"/>
      <c r="I249" s="46"/>
      <c r="J249" s="46"/>
      <c r="K249" s="46"/>
      <c r="L249" s="47"/>
    </row>
    <row r="250" spans="1:12" ht="12.75">
      <c r="A250" s="4"/>
      <c r="B250" s="5" t="s">
        <v>562</v>
      </c>
      <c r="C250" s="5"/>
      <c r="D250" s="5"/>
      <c r="E250" s="5" t="s">
        <v>794</v>
      </c>
      <c r="F250" s="5"/>
      <c r="G250" s="5"/>
      <c r="H250" s="5"/>
      <c r="I250" s="5"/>
      <c r="J250" s="5"/>
      <c r="K250" s="5"/>
      <c r="L250" s="6"/>
    </row>
    <row r="251" spans="1:12" ht="12.75">
      <c r="A251" s="4"/>
      <c r="B251" s="5" t="s">
        <v>693</v>
      </c>
      <c r="C251" s="5"/>
      <c r="D251" s="5"/>
      <c r="E251" s="5" t="s">
        <v>1725</v>
      </c>
      <c r="F251" s="5"/>
      <c r="G251" s="5"/>
      <c r="H251" s="5"/>
      <c r="I251" s="5"/>
      <c r="J251" s="5"/>
      <c r="K251" s="5"/>
      <c r="L251" s="6"/>
    </row>
    <row r="252" spans="1:12" ht="12.75">
      <c r="A252" s="4"/>
      <c r="B252" s="5"/>
      <c r="C252" s="5"/>
      <c r="D252" s="5"/>
      <c r="E252" s="5" t="s">
        <v>674</v>
      </c>
      <c r="F252" s="5"/>
      <c r="G252" s="5"/>
      <c r="H252" s="5"/>
      <c r="I252" s="5"/>
      <c r="J252" s="5"/>
      <c r="K252" s="5"/>
      <c r="L252" s="6"/>
    </row>
    <row r="253" spans="1:12" ht="12.75">
      <c r="A253" s="4"/>
      <c r="B253" s="5"/>
      <c r="C253" s="5"/>
      <c r="D253" s="5"/>
      <c r="E253" s="5"/>
      <c r="F253" s="5"/>
      <c r="G253" s="5"/>
      <c r="H253" s="5"/>
      <c r="I253" s="5"/>
      <c r="J253" s="5"/>
      <c r="K253" s="5"/>
      <c r="L253" s="6"/>
    </row>
    <row r="254" spans="1:12" ht="12.75">
      <c r="A254" s="4"/>
      <c r="B254" s="5" t="s">
        <v>675</v>
      </c>
      <c r="C254" s="5"/>
      <c r="D254" s="5"/>
      <c r="E254" s="5"/>
      <c r="F254" s="5"/>
      <c r="G254" s="5"/>
      <c r="H254" s="5"/>
      <c r="I254" s="5"/>
      <c r="J254" s="5"/>
      <c r="K254" s="5"/>
      <c r="L254" s="6"/>
    </row>
    <row r="255" spans="1:12" ht="12.75">
      <c r="A255" s="4"/>
      <c r="B255" s="5" t="s">
        <v>576</v>
      </c>
      <c r="C255" s="5"/>
      <c r="D255" s="5"/>
      <c r="E255" s="5" t="s">
        <v>577</v>
      </c>
      <c r="F255" s="80" t="s">
        <v>578</v>
      </c>
      <c r="G255" s="81" t="s">
        <v>579</v>
      </c>
      <c r="H255" s="82">
        <v>0</v>
      </c>
      <c r="I255" s="5"/>
      <c r="J255" s="5"/>
      <c r="K255" s="5"/>
      <c r="L255" s="6"/>
    </row>
    <row r="256" spans="1:12" ht="12.75">
      <c r="A256" s="4"/>
      <c r="B256" s="5"/>
      <c r="C256" s="5"/>
      <c r="D256" s="5"/>
      <c r="E256" s="5"/>
      <c r="F256" s="173" t="s">
        <v>580</v>
      </c>
      <c r="G256" s="82" t="s">
        <v>578</v>
      </c>
      <c r="H256" s="82">
        <v>0</v>
      </c>
      <c r="I256" s="5"/>
      <c r="J256" s="5"/>
      <c r="K256" s="5"/>
      <c r="L256" s="6"/>
    </row>
    <row r="257" spans="1:12" ht="12.75">
      <c r="A257" s="4"/>
      <c r="B257" s="5"/>
      <c r="C257" s="5"/>
      <c r="D257" s="5"/>
      <c r="E257" s="5"/>
      <c r="F257" s="80">
        <v>0</v>
      </c>
      <c r="G257" s="82">
        <v>0</v>
      </c>
      <c r="H257" s="82">
        <v>1</v>
      </c>
      <c r="I257" s="5"/>
      <c r="J257" s="5"/>
      <c r="K257" s="5"/>
      <c r="L257" s="6"/>
    </row>
    <row r="258" spans="1:12" ht="12.75">
      <c r="A258" s="4"/>
      <c r="B258" s="5"/>
      <c r="C258" s="5"/>
      <c r="D258" s="5"/>
      <c r="E258" s="5"/>
      <c r="F258" s="5"/>
      <c r="G258" s="5"/>
      <c r="H258" s="5"/>
      <c r="I258" s="5"/>
      <c r="J258" s="5"/>
      <c r="K258" s="5"/>
      <c r="L258" s="6"/>
    </row>
    <row r="259" spans="1:12" ht="12.75">
      <c r="A259" s="4"/>
      <c r="B259" s="5"/>
      <c r="C259" s="5"/>
      <c r="D259" s="5"/>
      <c r="E259" s="5"/>
      <c r="F259" s="5"/>
      <c r="G259" s="5"/>
      <c r="H259" s="5"/>
      <c r="I259" s="5"/>
      <c r="J259" s="5"/>
      <c r="K259" s="5"/>
      <c r="L259" s="6"/>
    </row>
    <row r="260" spans="1:12" ht="12.75">
      <c r="A260" s="4"/>
      <c r="B260" s="5"/>
      <c r="C260" s="5"/>
      <c r="D260" s="5"/>
      <c r="E260" s="5"/>
      <c r="F260" s="5"/>
      <c r="G260" s="5"/>
      <c r="H260" s="5"/>
      <c r="I260" s="5"/>
      <c r="J260" s="5"/>
      <c r="K260" s="5"/>
      <c r="L260" s="6"/>
    </row>
    <row r="261" spans="1:12" ht="12.75">
      <c r="A261" s="4"/>
      <c r="B261" s="22" t="s">
        <v>1799</v>
      </c>
      <c r="C261" s="5"/>
      <c r="D261" s="90">
        <f>F245</f>
        <v>343.59333394442706</v>
      </c>
      <c r="E261" s="5" t="s">
        <v>1233</v>
      </c>
      <c r="F261" s="5"/>
      <c r="G261" s="5" t="s">
        <v>290</v>
      </c>
      <c r="H261" s="5"/>
      <c r="I261" s="92">
        <f>COS(RADIANS(D261))</f>
        <v>0.9592811191385561</v>
      </c>
      <c r="J261" s="92">
        <f>SIN(RADIANS(D261))</f>
        <v>-0.2824530659495119</v>
      </c>
      <c r="K261" s="92">
        <v>0</v>
      </c>
      <c r="L261" s="6"/>
    </row>
    <row r="262" spans="1:12" ht="12.75">
      <c r="A262" s="4"/>
      <c r="B262" s="5"/>
      <c r="C262" s="5"/>
      <c r="D262" s="5"/>
      <c r="E262" s="5"/>
      <c r="F262" s="5"/>
      <c r="G262" s="5"/>
      <c r="H262" s="5"/>
      <c r="I262" s="92">
        <f>-SIN(RADIANS(D261))</f>
        <v>0.2824530659495119</v>
      </c>
      <c r="J262" s="92">
        <f>COS(RADIANS(D261))</f>
        <v>0.9592811191385561</v>
      </c>
      <c r="K262" s="92">
        <v>0</v>
      </c>
      <c r="L262" s="6"/>
    </row>
    <row r="263" spans="1:12" ht="12.75">
      <c r="A263" s="4"/>
      <c r="B263" s="5"/>
      <c r="C263" s="5"/>
      <c r="D263" s="79"/>
      <c r="E263" s="175"/>
      <c r="F263" s="5"/>
      <c r="G263" s="5"/>
      <c r="H263" s="5"/>
      <c r="I263" s="92">
        <v>0</v>
      </c>
      <c r="J263" s="92">
        <v>0</v>
      </c>
      <c r="K263" s="92">
        <v>1</v>
      </c>
      <c r="L263" s="6"/>
    </row>
    <row r="264" spans="1:12" ht="12.75">
      <c r="A264" s="4"/>
      <c r="B264" s="5"/>
      <c r="C264" s="5"/>
      <c r="D264" s="5"/>
      <c r="E264" s="5"/>
      <c r="F264" s="5"/>
      <c r="G264" s="5"/>
      <c r="H264" s="5"/>
      <c r="I264" s="5"/>
      <c r="J264" s="5"/>
      <c r="K264" s="5"/>
      <c r="L264" s="6"/>
    </row>
    <row r="265" spans="1:12" ht="13.5" thickBot="1">
      <c r="A265" s="7"/>
      <c r="B265" s="8"/>
      <c r="C265" s="8"/>
      <c r="D265" s="8"/>
      <c r="E265" s="8"/>
      <c r="F265" s="8"/>
      <c r="G265" s="8"/>
      <c r="H265" s="8"/>
      <c r="I265" s="8"/>
      <c r="J265" s="8"/>
      <c r="K265" s="8"/>
      <c r="L265" s="9"/>
    </row>
    <row r="266" ht="13.5" thickBot="1"/>
    <row r="267" spans="1:12" ht="12.75">
      <c r="A267" s="1"/>
      <c r="B267" s="2"/>
      <c r="C267" s="2"/>
      <c r="D267" s="2"/>
      <c r="E267" s="2"/>
      <c r="F267" s="2"/>
      <c r="G267" s="2"/>
      <c r="H267" s="2"/>
      <c r="I267" s="2"/>
      <c r="J267" s="2"/>
      <c r="K267" s="2"/>
      <c r="L267" s="3"/>
    </row>
    <row r="268" spans="1:12" ht="18">
      <c r="A268" s="13" t="s">
        <v>1800</v>
      </c>
      <c r="B268" s="5"/>
      <c r="C268" s="5"/>
      <c r="D268" s="5"/>
      <c r="E268" s="5"/>
      <c r="F268" s="5"/>
      <c r="G268" s="5"/>
      <c r="H268" s="5"/>
      <c r="I268" s="5"/>
      <c r="J268" s="5"/>
      <c r="K268" s="5"/>
      <c r="L268" s="6"/>
    </row>
    <row r="269" spans="1:12" ht="12.75">
      <c r="A269" s="4"/>
      <c r="B269" s="5"/>
      <c r="C269" s="5"/>
      <c r="D269" s="5"/>
      <c r="E269" s="5"/>
      <c r="F269" s="5"/>
      <c r="G269" s="5"/>
      <c r="H269" s="5"/>
      <c r="I269" s="5"/>
      <c r="J269" s="5"/>
      <c r="K269" s="5"/>
      <c r="L269" s="6"/>
    </row>
    <row r="270" spans="1:12" ht="12.75">
      <c r="A270" s="4"/>
      <c r="B270" s="5" t="s">
        <v>1651</v>
      </c>
      <c r="C270" s="5"/>
      <c r="D270" s="5"/>
      <c r="E270" s="5"/>
      <c r="F270" s="5"/>
      <c r="G270" s="5"/>
      <c r="H270" s="5"/>
      <c r="I270" s="5"/>
      <c r="J270" s="5"/>
      <c r="K270" s="5"/>
      <c r="L270" s="6"/>
    </row>
    <row r="271" spans="1:12" ht="12.75">
      <c r="A271" s="4"/>
      <c r="B271" s="5"/>
      <c r="C271" s="5"/>
      <c r="D271" s="5"/>
      <c r="E271" s="5"/>
      <c r="F271" s="5"/>
      <c r="G271" s="5"/>
      <c r="H271" s="5"/>
      <c r="I271" s="5"/>
      <c r="J271" s="5"/>
      <c r="K271" s="5"/>
      <c r="L271" s="6"/>
    </row>
    <row r="272" spans="1:12" ht="12.75">
      <c r="A272" s="4"/>
      <c r="B272" s="5" t="s">
        <v>726</v>
      </c>
      <c r="C272" s="5"/>
      <c r="D272" s="5"/>
      <c r="E272" s="5"/>
      <c r="F272" s="5"/>
      <c r="G272" s="5"/>
      <c r="H272" s="5"/>
      <c r="I272" s="5"/>
      <c r="J272" s="5"/>
      <c r="K272" s="5"/>
      <c r="L272" s="6"/>
    </row>
    <row r="273" spans="1:12" ht="12.75">
      <c r="A273" s="4"/>
      <c r="B273" s="5"/>
      <c r="C273" s="5"/>
      <c r="D273" s="5"/>
      <c r="E273" s="5"/>
      <c r="F273" s="5"/>
      <c r="G273" s="5"/>
      <c r="H273" s="5"/>
      <c r="I273" s="5"/>
      <c r="J273" s="5"/>
      <c r="K273" s="5"/>
      <c r="L273" s="6"/>
    </row>
    <row r="274" spans="1:12" ht="12.75">
      <c r="A274" s="4"/>
      <c r="B274" s="5"/>
      <c r="C274" s="22" t="s">
        <v>727</v>
      </c>
      <c r="D274" s="5"/>
      <c r="E274" s="5"/>
      <c r="F274" s="5"/>
      <c r="G274" s="22" t="s">
        <v>782</v>
      </c>
      <c r="H274" s="5"/>
      <c r="I274" s="5"/>
      <c r="J274" s="5"/>
      <c r="K274" s="5"/>
      <c r="L274" s="6"/>
    </row>
    <row r="275" spans="1:12" ht="12.75">
      <c r="A275" s="4"/>
      <c r="B275" s="5"/>
      <c r="C275" s="5"/>
      <c r="D275" s="5"/>
      <c r="E275" s="5"/>
      <c r="F275" s="5"/>
      <c r="G275" s="5"/>
      <c r="H275" s="5"/>
      <c r="I275" s="5"/>
      <c r="J275" s="5"/>
      <c r="K275" s="5"/>
      <c r="L275" s="6"/>
    </row>
    <row r="276" spans="1:12" ht="12.75">
      <c r="A276" s="4"/>
      <c r="B276" s="5"/>
      <c r="C276" s="5" t="s">
        <v>783</v>
      </c>
      <c r="D276" s="5"/>
      <c r="E276" s="5"/>
      <c r="F276" s="5"/>
      <c r="G276" s="5" t="s">
        <v>784</v>
      </c>
      <c r="H276" s="5"/>
      <c r="I276" s="5"/>
      <c r="J276" s="5"/>
      <c r="K276" s="5"/>
      <c r="L276" s="6"/>
    </row>
    <row r="277" spans="1:12" ht="12.75">
      <c r="A277" s="4"/>
      <c r="B277" s="5"/>
      <c r="C277" s="5"/>
      <c r="D277" s="5"/>
      <c r="E277" s="5"/>
      <c r="F277" s="5"/>
      <c r="G277" s="5"/>
      <c r="H277" s="5"/>
      <c r="I277" s="5"/>
      <c r="J277" s="5"/>
      <c r="K277" s="5"/>
      <c r="L277" s="6"/>
    </row>
    <row r="278" spans="1:12" ht="12.75">
      <c r="A278" s="4"/>
      <c r="B278" s="5"/>
      <c r="C278" s="5" t="s">
        <v>785</v>
      </c>
      <c r="D278" s="5"/>
      <c r="E278" s="5"/>
      <c r="F278" s="5"/>
      <c r="G278" s="5" t="s">
        <v>785</v>
      </c>
      <c r="H278" s="5"/>
      <c r="I278" s="5"/>
      <c r="J278" s="5"/>
      <c r="K278" s="5"/>
      <c r="L278" s="6"/>
    </row>
    <row r="279" spans="1:12" ht="12.75">
      <c r="A279" s="4"/>
      <c r="B279" s="5"/>
      <c r="C279" s="5"/>
      <c r="D279" s="5"/>
      <c r="E279" s="5"/>
      <c r="F279" s="5"/>
      <c r="G279" s="5"/>
      <c r="H279" s="5"/>
      <c r="I279" s="5"/>
      <c r="J279" s="5"/>
      <c r="K279" s="5"/>
      <c r="L279" s="6"/>
    </row>
    <row r="280" spans="1:12" ht="12.75">
      <c r="A280" s="4"/>
      <c r="B280" s="5"/>
      <c r="C280" s="5" t="s">
        <v>786</v>
      </c>
      <c r="D280" s="5"/>
      <c r="E280" s="5"/>
      <c r="F280" s="5"/>
      <c r="G280" s="5" t="s">
        <v>787</v>
      </c>
      <c r="H280" s="5"/>
      <c r="I280" s="5"/>
      <c r="J280" s="5"/>
      <c r="K280" s="5"/>
      <c r="L280" s="6"/>
    </row>
    <row r="281" spans="1:12" ht="12.75">
      <c r="A281" s="4"/>
      <c r="B281" s="5"/>
      <c r="C281" s="5"/>
      <c r="D281" s="5"/>
      <c r="E281" s="5"/>
      <c r="F281" s="5"/>
      <c r="G281" s="5"/>
      <c r="H281" s="5"/>
      <c r="I281" s="5"/>
      <c r="J281" s="5"/>
      <c r="K281" s="5"/>
      <c r="L281" s="6"/>
    </row>
    <row r="282" spans="1:12" ht="12.75">
      <c r="A282" s="4"/>
      <c r="B282" s="5"/>
      <c r="C282" s="5"/>
      <c r="D282" s="5"/>
      <c r="E282" s="5"/>
      <c r="F282" s="5"/>
      <c r="G282" s="5"/>
      <c r="H282" s="5"/>
      <c r="I282" s="5"/>
      <c r="J282" s="5"/>
      <c r="K282" s="5"/>
      <c r="L282" s="6"/>
    </row>
    <row r="283" spans="1:12" ht="12.75">
      <c r="A283" s="4"/>
      <c r="B283" s="5"/>
      <c r="C283" s="5" t="s">
        <v>788</v>
      </c>
      <c r="D283" s="5"/>
      <c r="E283" s="5"/>
      <c r="F283" s="5"/>
      <c r="G283" s="5" t="s">
        <v>785</v>
      </c>
      <c r="H283" s="5"/>
      <c r="I283" s="5"/>
      <c r="J283" s="5"/>
      <c r="K283" s="5"/>
      <c r="L283" s="6"/>
    </row>
    <row r="284" spans="1:12" ht="12.75">
      <c r="A284" s="4"/>
      <c r="B284" s="5"/>
      <c r="C284" s="91">
        <f aca="true" t="shared" si="0" ref="C284:E286">I261</f>
        <v>0.9592811191385561</v>
      </c>
      <c r="D284" s="91">
        <f t="shared" si="0"/>
        <v>-0.2824530659495119</v>
      </c>
      <c r="E284" s="91">
        <f t="shared" si="0"/>
        <v>0</v>
      </c>
      <c r="F284" s="5"/>
      <c r="G284" s="90">
        <f aca="true" t="shared" si="1" ref="G284:I286">I129</f>
        <v>0.6306758074312863</v>
      </c>
      <c r="H284" s="90">
        <f t="shared" si="1"/>
        <v>0</v>
      </c>
      <c r="I284" s="90">
        <f t="shared" si="1"/>
        <v>-0.7760464070665459</v>
      </c>
      <c r="J284" s="5"/>
      <c r="K284" s="5"/>
      <c r="L284" s="6"/>
    </row>
    <row r="285" spans="1:12" ht="12.75">
      <c r="A285" s="4"/>
      <c r="B285" s="5"/>
      <c r="C285" s="91">
        <f t="shared" si="0"/>
        <v>0.2824530659495119</v>
      </c>
      <c r="D285" s="91">
        <f t="shared" si="0"/>
        <v>0.9592811191385561</v>
      </c>
      <c r="E285" s="91">
        <f t="shared" si="0"/>
        <v>0</v>
      </c>
      <c r="F285" s="5" t="s">
        <v>789</v>
      </c>
      <c r="G285" s="90">
        <f t="shared" si="1"/>
        <v>0</v>
      </c>
      <c r="H285" s="90">
        <f t="shared" si="1"/>
        <v>1</v>
      </c>
      <c r="I285" s="90">
        <f t="shared" si="1"/>
        <v>0</v>
      </c>
      <c r="J285" s="5"/>
      <c r="K285" s="5"/>
      <c r="L285" s="6"/>
    </row>
    <row r="286" spans="1:12" ht="12.75">
      <c r="A286" s="4"/>
      <c r="B286" s="5"/>
      <c r="C286" s="91">
        <f t="shared" si="0"/>
        <v>0</v>
      </c>
      <c r="D286" s="91">
        <f t="shared" si="0"/>
        <v>0</v>
      </c>
      <c r="E286" s="91">
        <f t="shared" si="0"/>
        <v>1</v>
      </c>
      <c r="F286" s="5"/>
      <c r="G286" s="90">
        <f t="shared" si="1"/>
        <v>0.7760464070665459</v>
      </c>
      <c r="H286" s="90">
        <f t="shared" si="1"/>
        <v>0</v>
      </c>
      <c r="I286" s="90">
        <f t="shared" si="1"/>
        <v>0.6306758074312863</v>
      </c>
      <c r="J286" s="5"/>
      <c r="K286" s="5"/>
      <c r="L286" s="6"/>
    </row>
    <row r="287" spans="1:12" ht="12.75">
      <c r="A287" s="4"/>
      <c r="B287" s="5"/>
      <c r="C287" s="5"/>
      <c r="D287" s="5"/>
      <c r="E287" s="5"/>
      <c r="F287" s="5"/>
      <c r="G287" s="5"/>
      <c r="H287" s="5"/>
      <c r="I287" s="5"/>
      <c r="J287" s="5"/>
      <c r="K287" s="5"/>
      <c r="L287" s="6"/>
    </row>
    <row r="288" spans="1:12" ht="12.75">
      <c r="A288" s="4"/>
      <c r="B288" s="5"/>
      <c r="C288" s="5"/>
      <c r="D288" s="5"/>
      <c r="E288" s="5"/>
      <c r="F288" s="5"/>
      <c r="G288" s="5"/>
      <c r="H288" s="5"/>
      <c r="I288" s="5"/>
      <c r="J288" s="5"/>
      <c r="K288" s="5"/>
      <c r="L288" s="6"/>
    </row>
    <row r="289" spans="1:12" ht="12.75">
      <c r="A289" s="4"/>
      <c r="B289" s="5"/>
      <c r="C289" s="5"/>
      <c r="D289" s="5"/>
      <c r="E289" s="5"/>
      <c r="F289" s="5"/>
      <c r="G289" s="5"/>
      <c r="H289" s="5"/>
      <c r="I289" s="5"/>
      <c r="J289" s="5"/>
      <c r="K289" s="5"/>
      <c r="L289" s="6"/>
    </row>
    <row r="290" spans="1:12" ht="12.75">
      <c r="A290" s="4"/>
      <c r="B290" s="5"/>
      <c r="C290" s="5"/>
      <c r="D290" s="5"/>
      <c r="E290" s="5"/>
      <c r="F290" s="5"/>
      <c r="G290" s="5"/>
      <c r="H290" s="5"/>
      <c r="I290" s="5"/>
      <c r="J290" s="5"/>
      <c r="K290" s="5"/>
      <c r="L290" s="6"/>
    </row>
    <row r="291" spans="1:12" ht="12.75">
      <c r="A291" s="4"/>
      <c r="B291" s="5"/>
      <c r="C291" s="5"/>
      <c r="D291" s="5"/>
      <c r="E291" s="15" t="s">
        <v>1755</v>
      </c>
      <c r="F291" s="15"/>
      <c r="G291" s="15"/>
      <c r="H291" s="5"/>
      <c r="I291" s="5" t="s">
        <v>787</v>
      </c>
      <c r="J291" s="5"/>
      <c r="K291" s="5"/>
      <c r="L291" s="6"/>
    </row>
    <row r="292" spans="1:12" ht="12.75">
      <c r="A292" s="4"/>
      <c r="B292" s="5"/>
      <c r="C292" s="5"/>
      <c r="D292" s="5"/>
      <c r="E292" s="78">
        <f aca="true" t="shared" si="2" ref="E292:G294">$C284*G$284+$D284*G$285+$E284*G$286</f>
        <v>0.6049953943662968</v>
      </c>
      <c r="F292" s="78">
        <f t="shared" si="2"/>
        <v>-0.2824530659495119</v>
      </c>
      <c r="G292" s="78">
        <f t="shared" si="2"/>
        <v>-0.7444466658742517</v>
      </c>
      <c r="H292" s="5"/>
      <c r="I292" s="90">
        <f aca="true" t="shared" si="3" ref="I292:K294">I103</f>
        <v>-0.5328762760707298</v>
      </c>
      <c r="J292" s="90">
        <f t="shared" si="3"/>
        <v>-0.8461931661275641</v>
      </c>
      <c r="K292" s="90">
        <f t="shared" si="3"/>
        <v>0</v>
      </c>
      <c r="L292" s="6"/>
    </row>
    <row r="293" spans="1:12" ht="12.75">
      <c r="A293" s="4"/>
      <c r="B293" s="5"/>
      <c r="C293" s="5"/>
      <c r="D293" s="5"/>
      <c r="E293" s="78">
        <f t="shared" si="2"/>
        <v>0.1781363154291508</v>
      </c>
      <c r="F293" s="78">
        <f t="shared" si="2"/>
        <v>0.9592811191385561</v>
      </c>
      <c r="G293" s="78">
        <f t="shared" si="2"/>
        <v>-0.21919668699504888</v>
      </c>
      <c r="H293" s="5" t="s">
        <v>789</v>
      </c>
      <c r="I293" s="90">
        <f t="shared" si="3"/>
        <v>0.8461931661275641</v>
      </c>
      <c r="J293" s="90">
        <f t="shared" si="3"/>
        <v>-0.5328762760707298</v>
      </c>
      <c r="K293" s="90">
        <f t="shared" si="3"/>
        <v>0</v>
      </c>
      <c r="L293" s="6"/>
    </row>
    <row r="294" spans="1:12" ht="12.75">
      <c r="A294" s="4"/>
      <c r="B294" s="5"/>
      <c r="C294" s="5"/>
      <c r="D294" s="5"/>
      <c r="E294" s="78">
        <f t="shared" si="2"/>
        <v>0.7760464070665459</v>
      </c>
      <c r="F294" s="78">
        <f t="shared" si="2"/>
        <v>0</v>
      </c>
      <c r="G294" s="78">
        <f t="shared" si="2"/>
        <v>0.6306758074312863</v>
      </c>
      <c r="H294" s="5"/>
      <c r="I294" s="90">
        <f t="shared" si="3"/>
        <v>0</v>
      </c>
      <c r="J294" s="90">
        <f t="shared" si="3"/>
        <v>0</v>
      </c>
      <c r="K294" s="90">
        <f t="shared" si="3"/>
        <v>1</v>
      </c>
      <c r="L294" s="6"/>
    </row>
    <row r="295" spans="1:12" ht="12.75">
      <c r="A295" s="4"/>
      <c r="B295" s="5"/>
      <c r="C295" s="5"/>
      <c r="D295" s="5"/>
      <c r="E295" s="5"/>
      <c r="F295" s="5"/>
      <c r="G295" s="5"/>
      <c r="H295" s="5"/>
      <c r="I295" s="5"/>
      <c r="J295" s="5"/>
      <c r="K295" s="5"/>
      <c r="L295" s="6"/>
    </row>
    <row r="296" spans="1:12" ht="12.75">
      <c r="A296" s="4"/>
      <c r="B296" s="5"/>
      <c r="C296" s="5"/>
      <c r="D296" s="5"/>
      <c r="E296" s="5"/>
      <c r="F296" s="5"/>
      <c r="G296" s="5"/>
      <c r="H296" s="5"/>
      <c r="I296" s="5"/>
      <c r="J296" s="5"/>
      <c r="K296" s="5"/>
      <c r="L296" s="6"/>
    </row>
    <row r="297" spans="1:12" ht="12.75">
      <c r="A297" s="4"/>
      <c r="B297" s="5"/>
      <c r="C297" s="5"/>
      <c r="D297" s="5"/>
      <c r="E297" s="5"/>
      <c r="F297" s="5"/>
      <c r="G297" s="5"/>
      <c r="H297" s="5"/>
      <c r="I297" s="5"/>
      <c r="J297" s="5"/>
      <c r="K297" s="5"/>
      <c r="L297" s="6"/>
    </row>
    <row r="298" spans="1:12" ht="12.75">
      <c r="A298" s="4"/>
      <c r="B298" s="5"/>
      <c r="C298" s="5"/>
      <c r="D298" s="5"/>
      <c r="E298" s="5"/>
      <c r="F298" s="5"/>
      <c r="G298" s="5"/>
      <c r="H298" s="5"/>
      <c r="I298" s="5"/>
      <c r="J298" s="5"/>
      <c r="K298" s="5"/>
      <c r="L298" s="6"/>
    </row>
    <row r="299" spans="1:12" ht="12.75">
      <c r="A299" s="4"/>
      <c r="B299" s="5"/>
      <c r="C299" s="5"/>
      <c r="D299" s="5"/>
      <c r="E299" s="5"/>
      <c r="F299" s="5"/>
      <c r="G299" s="15" t="s">
        <v>1756</v>
      </c>
      <c r="H299" s="15"/>
      <c r="I299" s="15"/>
      <c r="J299" s="5"/>
      <c r="K299" s="5"/>
      <c r="L299" s="6"/>
    </row>
    <row r="300" spans="1:12" ht="13.5" thickBot="1">
      <c r="A300" s="4"/>
      <c r="B300" s="5"/>
      <c r="C300" s="227" t="s">
        <v>1087</v>
      </c>
      <c r="D300" s="227"/>
      <c r="E300" s="227"/>
      <c r="F300" s="5"/>
      <c r="G300" s="78">
        <f>$E292*I$292+$F292*I$293+$G292*I$294</f>
        <v>-0.5613975469481101</v>
      </c>
      <c r="H300" s="78">
        <f aca="true" t="shared" si="4" ref="H300:I302">$E292*J$292+$F292*J$293+$G292*J$294</f>
        <v>-0.36143043030347477</v>
      </c>
      <c r="I300" s="78">
        <f t="shared" si="4"/>
        <v>-0.7444466658742517</v>
      </c>
      <c r="J300" s="5"/>
      <c r="K300" s="5"/>
      <c r="L300" s="6"/>
    </row>
    <row r="301" spans="1:12" ht="13.5" thickBot="1">
      <c r="A301" s="4"/>
      <c r="B301" s="5"/>
      <c r="C301" s="86" t="str">
        <f>IF(MDETERM(G300:I302)=1,"None","Composite Matrix Determinate not Equal to 1")</f>
        <v>None</v>
      </c>
      <c r="D301" s="116"/>
      <c r="E301" s="87"/>
      <c r="F301" s="5"/>
      <c r="G301" s="107">
        <f>$E293*I$292+$F293*I$293+$G293*I$294</f>
        <v>0.7168125110114011</v>
      </c>
      <c r="H301" s="78">
        <f t="shared" si="4"/>
        <v>-0.6619158832268075</v>
      </c>
      <c r="I301" s="78">
        <f t="shared" si="4"/>
        <v>-0.21919668699504888</v>
      </c>
      <c r="J301" s="5"/>
      <c r="K301" s="5"/>
      <c r="L301" s="6"/>
    </row>
    <row r="302" spans="1:12" ht="12.75">
      <c r="A302" s="4"/>
      <c r="B302" s="5"/>
      <c r="C302" s="5"/>
      <c r="D302" s="5"/>
      <c r="E302" s="5"/>
      <c r="F302" s="5"/>
      <c r="G302" s="78">
        <f>$E294*I$292+$F294*I$293+$G294*I$294</f>
        <v>-0.4135367194556907</v>
      </c>
      <c r="H302" s="78">
        <f t="shared" si="4"/>
        <v>-0.6566851662575609</v>
      </c>
      <c r="I302" s="78">
        <f t="shared" si="4"/>
        <v>0.6306758074312863</v>
      </c>
      <c r="J302" s="5"/>
      <c r="K302" s="5"/>
      <c r="L302" s="6"/>
    </row>
    <row r="303" spans="1:12" ht="12.75">
      <c r="A303" s="4"/>
      <c r="B303" s="5"/>
      <c r="C303" s="5"/>
      <c r="D303" s="5"/>
      <c r="E303" s="5"/>
      <c r="F303" s="5"/>
      <c r="G303" s="5"/>
      <c r="H303" s="5"/>
      <c r="I303" s="5"/>
      <c r="J303" s="5"/>
      <c r="K303" s="5"/>
      <c r="L303" s="6"/>
    </row>
    <row r="304" spans="1:12" ht="13.5" thickBot="1">
      <c r="A304" s="7"/>
      <c r="B304" s="8"/>
      <c r="C304" s="8"/>
      <c r="D304" s="8"/>
      <c r="E304" s="8"/>
      <c r="F304" s="8"/>
      <c r="G304" s="8"/>
      <c r="H304" s="8"/>
      <c r="I304" s="8"/>
      <c r="J304" s="8"/>
      <c r="K304" s="8"/>
      <c r="L304" s="9"/>
    </row>
    <row r="305" ht="13.5" thickBot="1"/>
    <row r="306" spans="1:12" ht="12.75">
      <c r="A306" s="1"/>
      <c r="B306" s="2"/>
      <c r="C306" s="2"/>
      <c r="D306" s="2"/>
      <c r="E306" s="2"/>
      <c r="F306" s="2"/>
      <c r="G306" s="2"/>
      <c r="H306" s="2"/>
      <c r="I306" s="2"/>
      <c r="J306" s="2"/>
      <c r="K306" s="2"/>
      <c r="L306" s="3"/>
    </row>
    <row r="307" spans="1:12" ht="15.75">
      <c r="A307" s="14" t="s">
        <v>672</v>
      </c>
      <c r="B307" s="5"/>
      <c r="C307" s="5"/>
      <c r="D307" s="5"/>
      <c r="E307" s="5"/>
      <c r="F307" s="5"/>
      <c r="G307" s="5"/>
      <c r="H307" s="5"/>
      <c r="I307" s="5"/>
      <c r="J307" s="5"/>
      <c r="K307" s="5"/>
      <c r="L307" s="6"/>
    </row>
    <row r="308" spans="1:12" ht="12.75">
      <c r="A308" s="4"/>
      <c r="B308" s="5"/>
      <c r="C308" s="5"/>
      <c r="D308" s="5"/>
      <c r="E308" s="5"/>
      <c r="F308" s="5"/>
      <c r="G308" s="5"/>
      <c r="H308" s="5"/>
      <c r="I308" s="5"/>
      <c r="J308" s="5"/>
      <c r="K308" s="5"/>
      <c r="L308" s="6"/>
    </row>
    <row r="309" spans="1:12" ht="12.75">
      <c r="A309" s="4"/>
      <c r="B309" s="5" t="s">
        <v>635</v>
      </c>
      <c r="C309" s="5"/>
      <c r="D309" s="5"/>
      <c r="E309" s="5"/>
      <c r="F309" s="5"/>
      <c r="G309" s="5"/>
      <c r="H309" s="5"/>
      <c r="I309" s="5"/>
      <c r="J309" s="5"/>
      <c r="K309" s="5"/>
      <c r="L309" s="6"/>
    </row>
    <row r="310" spans="1:12" ht="12.75">
      <c r="A310" s="4"/>
      <c r="B310" s="5"/>
      <c r="C310" s="5"/>
      <c r="D310" s="5"/>
      <c r="E310" s="5"/>
      <c r="F310" s="5"/>
      <c r="G310" s="5"/>
      <c r="H310" s="5"/>
      <c r="I310" s="5"/>
      <c r="J310" s="5"/>
      <c r="K310" s="5"/>
      <c r="L310" s="6"/>
    </row>
    <row r="311" spans="1:12" ht="12.75">
      <c r="A311" s="4"/>
      <c r="B311" s="5"/>
      <c r="C311" s="5"/>
      <c r="D311" s="5"/>
      <c r="E311" s="5"/>
      <c r="F311" s="5"/>
      <c r="G311" s="5"/>
      <c r="H311" s="5"/>
      <c r="I311" s="5"/>
      <c r="J311" s="5"/>
      <c r="K311" s="5"/>
      <c r="L311" s="6"/>
    </row>
    <row r="312" spans="1:12" ht="12.75">
      <c r="A312" s="4"/>
      <c r="B312" s="5"/>
      <c r="C312" s="104" t="s">
        <v>636</v>
      </c>
      <c r="D312" s="5"/>
      <c r="E312" s="105"/>
      <c r="F312" s="105"/>
      <c r="G312" s="105"/>
      <c r="H312" s="5"/>
      <c r="I312" s="104" t="s">
        <v>637</v>
      </c>
      <c r="J312" s="5"/>
      <c r="K312" s="5"/>
      <c r="L312" s="6"/>
    </row>
    <row r="313" spans="1:12" ht="12.75">
      <c r="A313" s="4"/>
      <c r="B313" s="5"/>
      <c r="C313" s="104" t="s">
        <v>638</v>
      </c>
      <c r="D313" s="5" t="s">
        <v>639</v>
      </c>
      <c r="E313" s="105"/>
      <c r="F313" s="106" t="s">
        <v>640</v>
      </c>
      <c r="G313" s="106"/>
      <c r="H313" s="5" t="s">
        <v>641</v>
      </c>
      <c r="I313" s="104" t="s">
        <v>642</v>
      </c>
      <c r="J313" s="5"/>
      <c r="K313" s="5"/>
      <c r="L313" s="6"/>
    </row>
    <row r="314" spans="1:12" ht="12.75">
      <c r="A314" s="4"/>
      <c r="B314" s="5"/>
      <c r="C314" s="104" t="s">
        <v>643</v>
      </c>
      <c r="D314" s="5"/>
      <c r="E314" s="105"/>
      <c r="F314" s="105"/>
      <c r="G314" s="105"/>
      <c r="H314" s="5"/>
      <c r="I314" s="104" t="s">
        <v>644</v>
      </c>
      <c r="J314" s="5"/>
      <c r="K314" s="5"/>
      <c r="L314" s="6"/>
    </row>
    <row r="315" spans="1:12" ht="12.75">
      <c r="A315" s="4"/>
      <c r="B315" s="5"/>
      <c r="C315" s="5"/>
      <c r="D315" s="5"/>
      <c r="E315" s="5"/>
      <c r="F315" s="5"/>
      <c r="G315" s="5"/>
      <c r="H315" s="5"/>
      <c r="I315" s="5"/>
      <c r="J315" s="5"/>
      <c r="K315" s="5"/>
      <c r="L315" s="6"/>
    </row>
    <row r="316" spans="1:12" ht="12.75">
      <c r="A316" s="4"/>
      <c r="B316" s="5"/>
      <c r="C316" s="5"/>
      <c r="D316" s="5"/>
      <c r="E316" s="5"/>
      <c r="F316" s="5"/>
      <c r="G316" s="5"/>
      <c r="H316" s="5"/>
      <c r="I316" s="5"/>
      <c r="J316" s="5"/>
      <c r="K316" s="5"/>
      <c r="L316" s="6"/>
    </row>
    <row r="317" spans="1:12" ht="12.75">
      <c r="A317" s="4"/>
      <c r="B317" s="5" t="s">
        <v>1601</v>
      </c>
      <c r="C317" s="5"/>
      <c r="D317" s="5"/>
      <c r="E317" s="5"/>
      <c r="F317" s="5"/>
      <c r="G317" s="5"/>
      <c r="H317" s="5"/>
      <c r="I317" s="5"/>
      <c r="J317" s="5"/>
      <c r="K317" s="5"/>
      <c r="L317" s="6"/>
    </row>
    <row r="318" spans="1:12" ht="12.75">
      <c r="A318" s="4"/>
      <c r="B318" s="5"/>
      <c r="C318" s="5"/>
      <c r="D318" s="5"/>
      <c r="E318" s="5"/>
      <c r="F318" s="5"/>
      <c r="G318" s="5"/>
      <c r="H318" s="5"/>
      <c r="I318" s="5"/>
      <c r="J318" s="5"/>
      <c r="K318" s="5"/>
      <c r="L318" s="6"/>
    </row>
    <row r="319" spans="1:12" ht="12.75">
      <c r="A319" s="4"/>
      <c r="B319" s="5"/>
      <c r="C319" s="5"/>
      <c r="D319" s="5"/>
      <c r="E319" s="5"/>
      <c r="F319" s="5"/>
      <c r="G319" s="5"/>
      <c r="H319" s="5"/>
      <c r="I319" s="5"/>
      <c r="J319" s="5"/>
      <c r="K319" s="5"/>
      <c r="L319" s="6"/>
    </row>
    <row r="320" spans="1:12" ht="12.75">
      <c r="A320" s="4"/>
      <c r="B320" s="5"/>
      <c r="C320" s="104" t="s">
        <v>636</v>
      </c>
      <c r="D320" s="5"/>
      <c r="E320" s="105"/>
      <c r="F320" s="105"/>
      <c r="G320" s="105"/>
      <c r="H320" s="5"/>
      <c r="I320" s="104" t="s">
        <v>637</v>
      </c>
      <c r="J320" s="5"/>
      <c r="K320" s="104" t="s">
        <v>1602</v>
      </c>
      <c r="L320" s="6"/>
    </row>
    <row r="321" spans="1:12" ht="12.75">
      <c r="A321" s="4"/>
      <c r="B321" s="5"/>
      <c r="C321" s="104" t="s">
        <v>638</v>
      </c>
      <c r="D321" s="5" t="s">
        <v>639</v>
      </c>
      <c r="E321" s="105"/>
      <c r="F321" s="106" t="s">
        <v>640</v>
      </c>
      <c r="G321" s="106"/>
      <c r="H321" s="5" t="s">
        <v>641</v>
      </c>
      <c r="I321" s="104" t="s">
        <v>642</v>
      </c>
      <c r="J321" s="5" t="s">
        <v>1612</v>
      </c>
      <c r="K321" s="104" t="s">
        <v>1613</v>
      </c>
      <c r="L321" s="6"/>
    </row>
    <row r="322" spans="1:12" ht="12.75">
      <c r="A322" s="4"/>
      <c r="B322" s="5"/>
      <c r="C322" s="104" t="s">
        <v>643</v>
      </c>
      <c r="D322" s="5"/>
      <c r="E322" s="105"/>
      <c r="F322" s="105"/>
      <c r="G322" s="105"/>
      <c r="H322" s="5"/>
      <c r="I322" s="104" t="s">
        <v>644</v>
      </c>
      <c r="J322" s="5"/>
      <c r="K322" s="104" t="s">
        <v>746</v>
      </c>
      <c r="L322" s="6"/>
    </row>
    <row r="323" spans="1:12" ht="12.75">
      <c r="A323" s="4"/>
      <c r="B323" s="5"/>
      <c r="C323" s="5"/>
      <c r="D323" s="5"/>
      <c r="E323" s="5"/>
      <c r="F323" s="5"/>
      <c r="G323" s="5"/>
      <c r="H323" s="5"/>
      <c r="I323" s="5"/>
      <c r="J323" s="5"/>
      <c r="K323" s="5"/>
      <c r="L323" s="6"/>
    </row>
    <row r="324" spans="1:12" ht="12.75">
      <c r="A324" s="4"/>
      <c r="B324" s="5"/>
      <c r="C324" s="5"/>
      <c r="D324" s="5"/>
      <c r="E324" s="5"/>
      <c r="F324" s="5"/>
      <c r="G324" s="5"/>
      <c r="H324" s="5"/>
      <c r="I324" s="5"/>
      <c r="J324" s="5"/>
      <c r="K324" s="5"/>
      <c r="L324" s="6"/>
    </row>
    <row r="325" spans="1:12" ht="12.75">
      <c r="A325" s="4"/>
      <c r="B325" s="5"/>
      <c r="C325" s="5"/>
      <c r="D325" s="5"/>
      <c r="E325" s="5"/>
      <c r="F325" s="5"/>
      <c r="G325" s="5"/>
      <c r="H325" s="5"/>
      <c r="I325" s="5"/>
      <c r="J325" s="5"/>
      <c r="K325" s="5"/>
      <c r="L325" s="6"/>
    </row>
    <row r="326" spans="1:12" ht="12.75">
      <c r="A326" s="4"/>
      <c r="B326" s="5" t="s">
        <v>1495</v>
      </c>
      <c r="C326" s="5"/>
      <c r="D326" s="5"/>
      <c r="E326" s="5"/>
      <c r="F326" s="5"/>
      <c r="G326" s="5"/>
      <c r="H326" s="5"/>
      <c r="I326" s="5"/>
      <c r="J326" s="5"/>
      <c r="K326" s="5"/>
      <c r="L326" s="6"/>
    </row>
    <row r="327" spans="1:12" ht="12.75">
      <c r="A327" s="4"/>
      <c r="B327" s="5" t="s">
        <v>1496</v>
      </c>
      <c r="C327" s="5"/>
      <c r="D327" s="5"/>
      <c r="E327" s="5"/>
      <c r="F327" s="5"/>
      <c r="G327" s="5"/>
      <c r="H327" s="5"/>
      <c r="I327" s="5"/>
      <c r="J327" s="5"/>
      <c r="K327" s="5"/>
      <c r="L327" s="6"/>
    </row>
    <row r="328" spans="1:12" ht="12.75">
      <c r="A328" s="4"/>
      <c r="B328" s="5"/>
      <c r="C328" s="5"/>
      <c r="D328" s="5"/>
      <c r="E328" s="5"/>
      <c r="F328" s="5"/>
      <c r="G328" s="5"/>
      <c r="H328" s="5"/>
      <c r="I328" s="5"/>
      <c r="J328" s="5"/>
      <c r="K328" s="5"/>
      <c r="L328" s="6"/>
    </row>
    <row r="329" spans="1:12" ht="12.75">
      <c r="A329" s="4"/>
      <c r="B329" s="5"/>
      <c r="C329" s="5"/>
      <c r="D329" s="5"/>
      <c r="E329" s="5"/>
      <c r="F329" s="5"/>
      <c r="G329" s="5"/>
      <c r="H329" s="5"/>
      <c r="I329" s="5"/>
      <c r="J329" s="5"/>
      <c r="K329" s="5"/>
      <c r="L329" s="6"/>
    </row>
    <row r="330" spans="1:12" ht="12.75">
      <c r="A330" s="4"/>
      <c r="B330" s="5"/>
      <c r="C330" s="82" t="s">
        <v>636</v>
      </c>
      <c r="D330" s="5"/>
      <c r="E330" s="54">
        <f>$G$300</f>
        <v>-0.5613975469481101</v>
      </c>
      <c r="F330" s="54">
        <f>$H$300</f>
        <v>-0.36143043030347477</v>
      </c>
      <c r="G330" s="54">
        <f>$I$300</f>
        <v>-0.7444466658742517</v>
      </c>
      <c r="H330" s="5"/>
      <c r="I330" s="82" t="s">
        <v>637</v>
      </c>
      <c r="J330" s="5"/>
      <c r="K330" s="82">
        <v>0</v>
      </c>
      <c r="L330" s="6" t="s">
        <v>167</v>
      </c>
    </row>
    <row r="331" spans="1:12" ht="12.75">
      <c r="A331" s="4"/>
      <c r="B331" s="5"/>
      <c r="C331" s="82" t="s">
        <v>638</v>
      </c>
      <c r="D331" s="5" t="s">
        <v>639</v>
      </c>
      <c r="E331" s="54">
        <f>$G$301</f>
        <v>0.7168125110114011</v>
      </c>
      <c r="F331" s="54">
        <f>$H$301</f>
        <v>-0.6619158832268075</v>
      </c>
      <c r="G331" s="54">
        <f>$I$301</f>
        <v>-0.21919668699504888</v>
      </c>
      <c r="H331" s="5" t="s">
        <v>641</v>
      </c>
      <c r="I331" s="82" t="s">
        <v>642</v>
      </c>
      <c r="J331" s="5" t="s">
        <v>1612</v>
      </c>
      <c r="K331" s="82">
        <v>0</v>
      </c>
      <c r="L331" s="6" t="s">
        <v>167</v>
      </c>
    </row>
    <row r="332" spans="1:12" ht="12.75">
      <c r="A332" s="4"/>
      <c r="B332" s="5"/>
      <c r="C332" s="82" t="s">
        <v>643</v>
      </c>
      <c r="D332" s="5"/>
      <c r="E332" s="54">
        <f>$G$302</f>
        <v>-0.4135367194556907</v>
      </c>
      <c r="F332" s="54">
        <f>$H$302</f>
        <v>-0.6566851662575609</v>
      </c>
      <c r="G332" s="54">
        <f>$I$302</f>
        <v>0.6306758074312863</v>
      </c>
      <c r="H332" s="5"/>
      <c r="I332" s="82" t="s">
        <v>644</v>
      </c>
      <c r="J332" s="5"/>
      <c r="K332" s="96">
        <f>-$J$80</f>
        <v>-6666652.740665482</v>
      </c>
      <c r="L332" s="6" t="s">
        <v>167</v>
      </c>
    </row>
    <row r="333" spans="1:12" ht="12.75">
      <c r="A333" s="4"/>
      <c r="B333" s="5"/>
      <c r="C333" s="5"/>
      <c r="D333" s="5"/>
      <c r="E333" s="5"/>
      <c r="F333" s="5"/>
      <c r="G333" s="5"/>
      <c r="H333" s="5"/>
      <c r="I333" s="5"/>
      <c r="J333" s="5"/>
      <c r="K333" s="5"/>
      <c r="L333" s="6"/>
    </row>
    <row r="334" spans="1:12" ht="12.75">
      <c r="A334" s="4"/>
      <c r="B334" s="5"/>
      <c r="C334" s="5"/>
      <c r="D334" s="5"/>
      <c r="E334" s="5"/>
      <c r="F334" s="5"/>
      <c r="G334" s="5"/>
      <c r="H334" s="5"/>
      <c r="I334" s="5"/>
      <c r="J334" s="5"/>
      <c r="K334" s="5"/>
      <c r="L334" s="6"/>
    </row>
    <row r="335" spans="1:12" ht="12.75">
      <c r="A335" s="4"/>
      <c r="B335" s="5"/>
      <c r="C335" s="5"/>
      <c r="D335" s="5"/>
      <c r="E335" s="5"/>
      <c r="F335" s="5"/>
      <c r="G335" s="5"/>
      <c r="H335" s="5"/>
      <c r="I335" s="5"/>
      <c r="J335" s="5"/>
      <c r="K335" s="5"/>
      <c r="L335" s="6"/>
    </row>
    <row r="336" spans="1:12" ht="12.75">
      <c r="A336" s="4"/>
      <c r="B336" s="22" t="s">
        <v>1497</v>
      </c>
      <c r="C336" s="5"/>
      <c r="D336" s="5"/>
      <c r="E336" s="5"/>
      <c r="F336" s="5"/>
      <c r="G336" s="5"/>
      <c r="H336" s="5"/>
      <c r="I336" s="5"/>
      <c r="J336" s="5"/>
      <c r="K336" s="5"/>
      <c r="L336" s="6"/>
    </row>
    <row r="337" spans="1:12" ht="12.75">
      <c r="A337" s="4"/>
      <c r="B337" s="5"/>
      <c r="C337" s="5"/>
      <c r="D337" s="5"/>
      <c r="E337" s="5"/>
      <c r="F337" s="5"/>
      <c r="G337" s="5"/>
      <c r="H337" s="5"/>
      <c r="I337" s="5"/>
      <c r="J337" s="5"/>
      <c r="K337" s="5"/>
      <c r="L337" s="6"/>
    </row>
    <row r="338" spans="1:12" ht="12.75">
      <c r="A338" s="4"/>
      <c r="B338" s="5"/>
      <c r="C338" s="5" t="s">
        <v>1498</v>
      </c>
      <c r="D338" s="5"/>
      <c r="E338" s="5"/>
      <c r="F338" s="5"/>
      <c r="G338" s="5"/>
      <c r="H338" s="5"/>
      <c r="I338" s="5" t="s">
        <v>1499</v>
      </c>
      <c r="J338" s="5"/>
      <c r="K338" s="5"/>
      <c r="L338" s="6"/>
    </row>
    <row r="339" spans="1:12" ht="12.75">
      <c r="A339" s="4"/>
      <c r="B339" s="5"/>
      <c r="C339" s="5"/>
      <c r="D339" s="5"/>
      <c r="E339" s="5"/>
      <c r="F339" s="5"/>
      <c r="G339" s="5"/>
      <c r="H339" s="5"/>
      <c r="I339" s="5"/>
      <c r="J339" s="5"/>
      <c r="K339" s="5"/>
      <c r="L339" s="6"/>
    </row>
    <row r="340" spans="1:12" ht="12.75">
      <c r="A340" s="4"/>
      <c r="B340" s="26"/>
      <c r="C340" s="97" t="s">
        <v>1500</v>
      </c>
      <c r="D340" s="5" t="s">
        <v>1501</v>
      </c>
      <c r="E340" s="54">
        <f>$G$300</f>
        <v>-0.5613975469481101</v>
      </c>
      <c r="F340" s="54">
        <f>$H$300</f>
        <v>-0.36143043030347477</v>
      </c>
      <c r="G340" s="54">
        <f>$I$300</f>
        <v>-0.7444466658742517</v>
      </c>
      <c r="H340" s="5"/>
      <c r="I340" s="96">
        <f>SPH_REC!C182</f>
        <v>0</v>
      </c>
      <c r="J340" s="5" t="s">
        <v>1502</v>
      </c>
      <c r="K340" s="94">
        <v>0</v>
      </c>
      <c r="L340" s="6" t="s">
        <v>167</v>
      </c>
    </row>
    <row r="341" spans="1:12" ht="12.75">
      <c r="A341" s="4"/>
      <c r="B341" s="26"/>
      <c r="C341" s="97" t="s">
        <v>1503</v>
      </c>
      <c r="D341" s="5" t="s">
        <v>1610</v>
      </c>
      <c r="E341" s="54">
        <f>$G$301</f>
        <v>0.7168125110114011</v>
      </c>
      <c r="F341" s="54">
        <f>$H$301</f>
        <v>-0.6619158832268075</v>
      </c>
      <c r="G341" s="54">
        <f>$I$301</f>
        <v>-0.21919668699504888</v>
      </c>
      <c r="H341" s="5" t="s">
        <v>1691</v>
      </c>
      <c r="I341" s="96">
        <f>SPH_REC!C183</f>
        <v>0</v>
      </c>
      <c r="J341" s="5" t="s">
        <v>1692</v>
      </c>
      <c r="K341" s="94">
        <v>0</v>
      </c>
      <c r="L341" s="6" t="s">
        <v>167</v>
      </c>
    </row>
    <row r="342" spans="1:12" ht="12.75">
      <c r="A342" s="4"/>
      <c r="B342" s="26"/>
      <c r="C342" s="97" t="s">
        <v>1693</v>
      </c>
      <c r="D342" s="5" t="s">
        <v>1501</v>
      </c>
      <c r="E342" s="54">
        <f>$G$302</f>
        <v>-0.4135367194556907</v>
      </c>
      <c r="F342" s="54">
        <f>$H$302</f>
        <v>-0.6566851662575609</v>
      </c>
      <c r="G342" s="54">
        <f>$I$302</f>
        <v>0.6306758074312863</v>
      </c>
      <c r="H342" s="5"/>
      <c r="I342" s="96">
        <f>SPH_REC!C184</f>
        <v>0</v>
      </c>
      <c r="J342" s="5" t="s">
        <v>1778</v>
      </c>
      <c r="K342" s="96">
        <f>K332</f>
        <v>-6666652.740665482</v>
      </c>
      <c r="L342" s="6" t="s">
        <v>167</v>
      </c>
    </row>
    <row r="343" spans="1:12" ht="12.75">
      <c r="A343" s="4"/>
      <c r="B343" s="5"/>
      <c r="C343" s="5"/>
      <c r="D343" s="5"/>
      <c r="E343" s="5"/>
      <c r="F343" s="5"/>
      <c r="G343" s="5"/>
      <c r="H343" s="5"/>
      <c r="I343" s="5"/>
      <c r="J343" s="5"/>
      <c r="K343" s="5"/>
      <c r="L343" s="6"/>
    </row>
    <row r="344" spans="1:12" ht="12.75">
      <c r="A344" s="4"/>
      <c r="B344" s="5"/>
      <c r="C344" s="5"/>
      <c r="D344" s="5"/>
      <c r="E344" s="5"/>
      <c r="F344" s="5"/>
      <c r="G344" s="5"/>
      <c r="H344" s="5"/>
      <c r="I344" s="5"/>
      <c r="J344" s="5"/>
      <c r="K344" s="5"/>
      <c r="L344" s="6"/>
    </row>
    <row r="345" spans="1:12" ht="12.75">
      <c r="A345" s="4"/>
      <c r="B345" s="5"/>
      <c r="C345" s="5"/>
      <c r="D345" s="98" t="s">
        <v>1773</v>
      </c>
      <c r="E345" s="24">
        <f>(E340*I340+F340*I341+G340*I342)+K340</f>
        <v>0</v>
      </c>
      <c r="F345" s="5" t="s">
        <v>167</v>
      </c>
      <c r="G345" s="5"/>
      <c r="H345" s="5"/>
      <c r="I345" s="5"/>
      <c r="J345" s="5"/>
      <c r="K345" s="5"/>
      <c r="L345" s="6"/>
    </row>
    <row r="346" spans="1:12" ht="13.5" thickBot="1">
      <c r="A346" s="4"/>
      <c r="B346" s="5"/>
      <c r="C346" s="5"/>
      <c r="D346" s="98" t="s">
        <v>1774</v>
      </c>
      <c r="E346" s="24">
        <f>(E341*I340+F341*I341+G341*I342)+K341</f>
        <v>0</v>
      </c>
      <c r="F346" s="5" t="s">
        <v>167</v>
      </c>
      <c r="G346" s="88" t="s">
        <v>205</v>
      </c>
      <c r="H346" s="115"/>
      <c r="I346" s="115"/>
      <c r="J346" s="115"/>
      <c r="K346" s="89"/>
      <c r="L346" s="6"/>
    </row>
    <row r="347" spans="1:12" ht="13.5" thickBot="1">
      <c r="A347" s="4"/>
      <c r="B347" s="5"/>
      <c r="C347" s="5"/>
      <c r="D347" s="98" t="s">
        <v>1777</v>
      </c>
      <c r="E347" s="24">
        <f>(E342*I340+F342*I341+G342*I342)+K342</f>
        <v>-6666652.740665482</v>
      </c>
      <c r="F347" s="5" t="s">
        <v>167</v>
      </c>
      <c r="G347" s="86" t="str">
        <f>IF(((TRUNC((E345+E346+E347+J80)*1000))/1000)=0,"None","Error: C of Earth Not at Correct Local Position X=0, Y=0, Z=-Earth Radius+Altitude")</f>
        <v>None</v>
      </c>
      <c r="H347" s="116"/>
      <c r="I347" s="116"/>
      <c r="J347" s="116"/>
      <c r="K347" s="87"/>
      <c r="L347" s="6"/>
    </row>
    <row r="348" spans="1:12" ht="12.75">
      <c r="A348" s="4"/>
      <c r="B348" s="5"/>
      <c r="C348" s="5"/>
      <c r="D348" s="5"/>
      <c r="E348" s="5"/>
      <c r="F348" s="155"/>
      <c r="G348" s="5"/>
      <c r="H348" s="5"/>
      <c r="I348" s="5"/>
      <c r="J348" s="5"/>
      <c r="K348" s="5"/>
      <c r="L348" s="6"/>
    </row>
    <row r="349" spans="1:12" ht="12.75">
      <c r="A349" s="4"/>
      <c r="B349" s="5"/>
      <c r="C349" s="5"/>
      <c r="D349" s="5"/>
      <c r="E349" s="5"/>
      <c r="F349" s="5"/>
      <c r="G349" s="5"/>
      <c r="H349" s="5"/>
      <c r="I349" s="5"/>
      <c r="J349" s="5"/>
      <c r="K349" s="5"/>
      <c r="L349" s="6"/>
    </row>
    <row r="350" spans="1:12" ht="12.75">
      <c r="A350" s="4"/>
      <c r="B350" s="22" t="s">
        <v>702</v>
      </c>
      <c r="C350" s="5"/>
      <c r="D350" s="5"/>
      <c r="E350" s="5"/>
      <c r="F350" s="5"/>
      <c r="G350" s="5"/>
      <c r="H350" s="5"/>
      <c r="I350" s="5"/>
      <c r="J350" s="5"/>
      <c r="K350" s="5"/>
      <c r="L350" s="6"/>
    </row>
    <row r="351" spans="1:12" ht="12.75">
      <c r="A351" s="4"/>
      <c r="B351" s="5"/>
      <c r="C351" s="5"/>
      <c r="D351" s="5"/>
      <c r="E351" s="5"/>
      <c r="F351" s="5"/>
      <c r="G351" s="5"/>
      <c r="H351" s="5"/>
      <c r="I351" s="5"/>
      <c r="J351" s="5"/>
      <c r="K351" s="5"/>
      <c r="L351" s="6"/>
    </row>
    <row r="352" spans="1:12" ht="12.75">
      <c r="A352" s="4"/>
      <c r="B352" s="5"/>
      <c r="C352" s="5" t="s">
        <v>1498</v>
      </c>
      <c r="D352" s="5"/>
      <c r="E352" s="5"/>
      <c r="F352" s="5"/>
      <c r="G352" s="5"/>
      <c r="H352" s="5"/>
      <c r="I352" s="5" t="s">
        <v>1499</v>
      </c>
      <c r="J352" s="5"/>
      <c r="K352" s="5"/>
      <c r="L352" s="6"/>
    </row>
    <row r="353" spans="1:12" ht="12.75">
      <c r="A353" s="4"/>
      <c r="B353" s="5"/>
      <c r="C353" s="5"/>
      <c r="D353" s="5"/>
      <c r="E353" s="5"/>
      <c r="F353" s="5"/>
      <c r="G353" s="5"/>
      <c r="H353" s="5"/>
      <c r="I353" s="5"/>
      <c r="J353" s="5"/>
      <c r="K353" s="5"/>
      <c r="L353" s="6"/>
    </row>
    <row r="354" spans="1:12" ht="12.75">
      <c r="A354" s="4"/>
      <c r="B354" s="26"/>
      <c r="C354" s="97" t="s">
        <v>703</v>
      </c>
      <c r="D354" s="5" t="s">
        <v>1501</v>
      </c>
      <c r="E354" s="54">
        <f>$G$300</f>
        <v>-0.5613975469481101</v>
      </c>
      <c r="F354" s="54">
        <f>$H$300</f>
        <v>-0.36143043030347477</v>
      </c>
      <c r="G354" s="54">
        <f>$I$300</f>
        <v>-0.7444466658742517</v>
      </c>
      <c r="H354" s="5"/>
      <c r="I354" s="96">
        <f>SPH_REC!E318</f>
        <v>-2756905.7041250933</v>
      </c>
      <c r="J354" s="5" t="s">
        <v>704</v>
      </c>
      <c r="K354" s="94">
        <v>0</v>
      </c>
      <c r="L354" s="6" t="s">
        <v>167</v>
      </c>
    </row>
    <row r="355" spans="1:12" ht="12.75">
      <c r="A355" s="4"/>
      <c r="B355" s="26"/>
      <c r="C355" s="97" t="s">
        <v>904</v>
      </c>
      <c r="D355" s="5" t="s">
        <v>1610</v>
      </c>
      <c r="E355" s="54">
        <f>$G$301</f>
        <v>0.7168125110114011</v>
      </c>
      <c r="F355" s="54">
        <f>$H$301</f>
        <v>-0.6619158832268075</v>
      </c>
      <c r="G355" s="54">
        <f>$I$301</f>
        <v>-0.21919668699504888</v>
      </c>
      <c r="H355" s="5" t="s">
        <v>1691</v>
      </c>
      <c r="I355" s="96">
        <f>SPH_REC!E319</f>
        <v>-4377891.963385336</v>
      </c>
      <c r="J355" s="5" t="s">
        <v>905</v>
      </c>
      <c r="K355" s="94">
        <v>0</v>
      </c>
      <c r="L355" s="6" t="s">
        <v>167</v>
      </c>
    </row>
    <row r="356" spans="1:12" ht="12.75">
      <c r="A356" s="4"/>
      <c r="B356" s="26"/>
      <c r="C356" s="97" t="s">
        <v>906</v>
      </c>
      <c r="D356" s="5" t="s">
        <v>1501</v>
      </c>
      <c r="E356" s="54">
        <f>$G$302</f>
        <v>-0.4135367194556907</v>
      </c>
      <c r="F356" s="54">
        <f>$H$302</f>
        <v>-0.6566851662575609</v>
      </c>
      <c r="G356" s="54">
        <f>$I$302</f>
        <v>0.6306758074312863</v>
      </c>
      <c r="H356" s="5"/>
      <c r="I356" s="96">
        <f>SPH_REC!E320</f>
        <v>4204496.6000832</v>
      </c>
      <c r="J356" s="5" t="s">
        <v>907</v>
      </c>
      <c r="K356" s="96">
        <f>K332</f>
        <v>-6666652.740665482</v>
      </c>
      <c r="L356" s="6" t="s">
        <v>167</v>
      </c>
    </row>
    <row r="357" spans="1:12" ht="12.75">
      <c r="A357" s="4"/>
      <c r="B357" s="5"/>
      <c r="C357" s="5"/>
      <c r="D357" s="5"/>
      <c r="E357" s="5"/>
      <c r="F357" s="5"/>
      <c r="G357" s="5"/>
      <c r="H357" s="5"/>
      <c r="I357" s="5"/>
      <c r="J357" s="5"/>
      <c r="K357" s="5"/>
      <c r="L357" s="6"/>
    </row>
    <row r="358" spans="1:12" ht="12.75">
      <c r="A358" s="4"/>
      <c r="B358" s="5"/>
      <c r="C358" s="5"/>
      <c r="D358" s="5"/>
      <c r="E358" s="5"/>
      <c r="F358" s="5"/>
      <c r="G358" s="5"/>
      <c r="H358" s="5"/>
      <c r="I358" s="5"/>
      <c r="J358" s="5"/>
      <c r="K358" s="5"/>
      <c r="L358" s="6"/>
    </row>
    <row r="359" spans="1:12" ht="12.75">
      <c r="A359" s="4"/>
      <c r="B359" s="5"/>
      <c r="C359" s="5"/>
      <c r="D359" s="98" t="s">
        <v>908</v>
      </c>
      <c r="E359" s="24">
        <f>(E354*I354+F354*I355+G354*I356)+K354</f>
        <v>4.656612873077393E-10</v>
      </c>
      <c r="F359" s="5" t="s">
        <v>167</v>
      </c>
      <c r="G359" s="5"/>
      <c r="H359" s="5"/>
      <c r="I359" s="5"/>
      <c r="J359" s="5"/>
      <c r="K359" s="5"/>
      <c r="L359" s="6"/>
    </row>
    <row r="360" spans="1:12" ht="13.5" thickBot="1">
      <c r="A360" s="4"/>
      <c r="B360" s="5"/>
      <c r="C360" s="5"/>
      <c r="D360" s="98" t="s">
        <v>722</v>
      </c>
      <c r="E360" s="24">
        <f>(E355*I354+F355*I355+G355*I356)+K355</f>
        <v>-1.1641532182693481E-10</v>
      </c>
      <c r="F360" s="5" t="s">
        <v>167</v>
      </c>
      <c r="G360" s="117" t="s">
        <v>1481</v>
      </c>
      <c r="H360" s="117"/>
      <c r="I360" s="117"/>
      <c r="J360" s="117"/>
      <c r="K360" s="117"/>
      <c r="L360" s="6"/>
    </row>
    <row r="361" spans="1:12" ht="13.5" thickBot="1">
      <c r="A361" s="4"/>
      <c r="B361" s="5"/>
      <c r="C361" s="5"/>
      <c r="D361" s="98" t="s">
        <v>723</v>
      </c>
      <c r="E361" s="24">
        <f>(E356*I354+F356*I355+G356*I356)+K356</f>
        <v>0</v>
      </c>
      <c r="F361" s="5" t="s">
        <v>167</v>
      </c>
      <c r="G361" s="86" t="str">
        <f>IF(((TRUNC((E359+E360+E361)*1000))/1000)=0,"None","Error: Shuttle Not at Correct Local Position X=0, Y=0, Z=0")</f>
        <v>None</v>
      </c>
      <c r="H361" s="116"/>
      <c r="I361" s="116"/>
      <c r="J361" s="116"/>
      <c r="K361" s="87"/>
      <c r="L361" s="6"/>
    </row>
    <row r="362" spans="1:12" ht="12.75">
      <c r="A362" s="4"/>
      <c r="B362" s="5"/>
      <c r="C362" s="5"/>
      <c r="D362" s="5"/>
      <c r="E362" s="5"/>
      <c r="F362" s="5"/>
      <c r="G362" s="5"/>
      <c r="H362" s="5"/>
      <c r="I362" s="5"/>
      <c r="J362" s="5"/>
      <c r="K362" s="5"/>
      <c r="L362" s="6"/>
    </row>
    <row r="363" spans="1:12" ht="12.75">
      <c r="A363" s="4"/>
      <c r="B363" s="5"/>
      <c r="C363" s="5"/>
      <c r="D363" s="5"/>
      <c r="E363" s="5"/>
      <c r="F363" s="5"/>
      <c r="G363" s="5"/>
      <c r="H363" s="5"/>
      <c r="I363" s="5"/>
      <c r="J363" s="5"/>
      <c r="K363" s="5"/>
      <c r="L363" s="6"/>
    </row>
    <row r="364" spans="1:12" ht="12.75">
      <c r="A364" s="4"/>
      <c r="B364" s="22" t="s">
        <v>822</v>
      </c>
      <c r="C364" s="5"/>
      <c r="D364" s="5"/>
      <c r="E364" s="5"/>
      <c r="F364" s="5"/>
      <c r="G364" s="5"/>
      <c r="H364" s="5"/>
      <c r="I364" s="5"/>
      <c r="J364" s="5"/>
      <c r="K364" s="5"/>
      <c r="L364" s="6"/>
    </row>
    <row r="365" spans="1:12" ht="12.75">
      <c r="A365" s="4"/>
      <c r="B365" s="5"/>
      <c r="C365" s="5"/>
      <c r="D365" s="5"/>
      <c r="E365" s="5"/>
      <c r="F365" s="5"/>
      <c r="G365" s="5"/>
      <c r="H365" s="5"/>
      <c r="I365" s="5"/>
      <c r="J365" s="5"/>
      <c r="K365" s="5"/>
      <c r="L365" s="6"/>
    </row>
    <row r="366" spans="1:12" ht="12.75">
      <c r="A366" s="4"/>
      <c r="B366" s="5"/>
      <c r="C366" s="5" t="s">
        <v>1498</v>
      </c>
      <c r="D366" s="5"/>
      <c r="E366" s="5"/>
      <c r="F366" s="5"/>
      <c r="G366" s="5"/>
      <c r="H366" s="5"/>
      <c r="I366" s="5" t="s">
        <v>1499</v>
      </c>
      <c r="J366" s="5"/>
      <c r="K366" s="5"/>
      <c r="L366" s="6"/>
    </row>
    <row r="367" spans="1:12" ht="12.75">
      <c r="A367" s="4"/>
      <c r="B367" s="5"/>
      <c r="C367" s="5"/>
      <c r="D367" s="5"/>
      <c r="E367" s="5"/>
      <c r="F367" s="5"/>
      <c r="G367" s="5"/>
      <c r="H367" s="5"/>
      <c r="I367" s="5"/>
      <c r="J367" s="5"/>
      <c r="K367" s="5"/>
      <c r="L367" s="6"/>
    </row>
    <row r="368" spans="1:12" ht="12.75">
      <c r="A368" s="4"/>
      <c r="B368" s="26"/>
      <c r="C368" s="97" t="s">
        <v>823</v>
      </c>
      <c r="D368" s="5" t="s">
        <v>1501</v>
      </c>
      <c r="E368" s="54">
        <f>$G$300</f>
        <v>-0.5613975469481101</v>
      </c>
      <c r="F368" s="54">
        <f>$H$300</f>
        <v>-0.36143043030347477</v>
      </c>
      <c r="G368" s="54">
        <f>$I$300</f>
        <v>-0.7444466658742517</v>
      </c>
      <c r="H368" s="5"/>
      <c r="I368" s="96">
        <f>SPH_REC!C206</f>
        <v>-2634366.503415983</v>
      </c>
      <c r="J368" s="5" t="s">
        <v>824</v>
      </c>
      <c r="K368" s="94">
        <v>0</v>
      </c>
      <c r="L368" s="6" t="s">
        <v>167</v>
      </c>
    </row>
    <row r="369" spans="1:12" ht="12.75">
      <c r="A369" s="4"/>
      <c r="B369" s="26"/>
      <c r="C369" s="97" t="s">
        <v>825</v>
      </c>
      <c r="D369" s="5" t="s">
        <v>1610</v>
      </c>
      <c r="E369" s="54">
        <f>$G$301</f>
        <v>0.7168125110114011</v>
      </c>
      <c r="F369" s="54">
        <f>$H$301</f>
        <v>-0.6619158832268075</v>
      </c>
      <c r="G369" s="54">
        <f>$I$301</f>
        <v>-0.21919668699504888</v>
      </c>
      <c r="H369" s="5" t="s">
        <v>1691</v>
      </c>
      <c r="I369" s="96">
        <f>SPH_REC!C207</f>
        <v>-4183303.014919896</v>
      </c>
      <c r="J369" s="5" t="s">
        <v>826</v>
      </c>
      <c r="K369" s="94">
        <v>0</v>
      </c>
      <c r="L369" s="6" t="s">
        <v>167</v>
      </c>
    </row>
    <row r="370" spans="1:12" ht="12.75">
      <c r="A370" s="4"/>
      <c r="B370" s="26"/>
      <c r="C370" s="97" t="s">
        <v>827</v>
      </c>
      <c r="D370" s="5" t="s">
        <v>1501</v>
      </c>
      <c r="E370" s="54">
        <f>$G$302</f>
        <v>-0.4135367194556907</v>
      </c>
      <c r="F370" s="54">
        <f>$H$302</f>
        <v>-0.6566851662575609</v>
      </c>
      <c r="G370" s="54">
        <f>$I$302</f>
        <v>0.6306758074312863</v>
      </c>
      <c r="H370" s="5"/>
      <c r="I370" s="96">
        <f>SPH_REC!C208</f>
        <v>4017614.744825162</v>
      </c>
      <c r="J370" s="5" t="s">
        <v>828</v>
      </c>
      <c r="K370" s="96">
        <f>K332</f>
        <v>-6666652.740665482</v>
      </c>
      <c r="L370" s="6" t="s">
        <v>167</v>
      </c>
    </row>
    <row r="371" spans="1:12" ht="12.75">
      <c r="A371" s="4"/>
      <c r="B371" s="5"/>
      <c r="C371" s="5"/>
      <c r="D371" s="5"/>
      <c r="E371" s="5"/>
      <c r="F371" s="5"/>
      <c r="G371" s="5"/>
      <c r="H371" s="5"/>
      <c r="I371" s="5"/>
      <c r="J371" s="5"/>
      <c r="K371" s="5"/>
      <c r="L371" s="6"/>
    </row>
    <row r="372" spans="1:12" ht="12.75">
      <c r="A372" s="4"/>
      <c r="B372" s="5"/>
      <c r="C372" s="5"/>
      <c r="D372" s="5"/>
      <c r="E372" s="5"/>
      <c r="F372" s="5"/>
      <c r="G372" s="5"/>
      <c r="H372" s="5"/>
      <c r="I372" s="5"/>
      <c r="J372" s="5"/>
      <c r="K372" s="5"/>
      <c r="L372" s="6"/>
    </row>
    <row r="373" spans="1:12" ht="12.75">
      <c r="A373" s="4"/>
      <c r="B373" s="5"/>
      <c r="C373" s="5"/>
      <c r="D373" s="98" t="s">
        <v>829</v>
      </c>
      <c r="E373" s="24">
        <f>(E368*I368+F368*I369+G368*I370)+K368</f>
        <v>0</v>
      </c>
      <c r="F373" s="5" t="s">
        <v>167</v>
      </c>
      <c r="G373" s="5"/>
      <c r="H373" s="5"/>
      <c r="I373" s="5"/>
      <c r="J373" s="5"/>
      <c r="K373" s="5"/>
      <c r="L373" s="6"/>
    </row>
    <row r="374" spans="1:12" ht="13.5" thickBot="1">
      <c r="A374" s="4"/>
      <c r="B374" s="5"/>
      <c r="C374" s="5"/>
      <c r="D374" s="98" t="s">
        <v>830</v>
      </c>
      <c r="E374" s="24">
        <f>(E369*I368+F369*I369+G369*I370)+K369</f>
        <v>-2.3283064365386963E-10</v>
      </c>
      <c r="F374" s="5" t="s">
        <v>167</v>
      </c>
      <c r="G374" s="117" t="s">
        <v>764</v>
      </c>
      <c r="H374" s="120"/>
      <c r="I374" s="120"/>
      <c r="J374" s="120"/>
      <c r="K374" s="121"/>
      <c r="L374" s="6"/>
    </row>
    <row r="375" spans="1:12" ht="13.5" thickBot="1">
      <c r="A375" s="4"/>
      <c r="B375" s="5"/>
      <c r="C375" s="5"/>
      <c r="D375" s="98" t="s">
        <v>910</v>
      </c>
      <c r="E375" s="24">
        <f>(E370*I368+F370*I369+G370*I370)+K370</f>
        <v>-296320</v>
      </c>
      <c r="F375" s="5" t="s">
        <v>167</v>
      </c>
      <c r="G375" s="86" t="str">
        <f>IF(((TRUNC((E373+E374+E375+SPH_REC!E313)*1000))/1000)=0,"None","Error: Point 'sn' Not at Correct Local Position X=0, Y=0, Z=-Shuttle Altitude")</f>
        <v>None</v>
      </c>
      <c r="H375" s="116"/>
      <c r="I375" s="116"/>
      <c r="J375" s="116"/>
      <c r="K375" s="87"/>
      <c r="L375" s="6"/>
    </row>
    <row r="376" spans="1:12" ht="12.75">
      <c r="A376" s="4"/>
      <c r="B376" s="5"/>
      <c r="C376" s="5"/>
      <c r="D376" s="5"/>
      <c r="E376" s="153"/>
      <c r="F376" s="156"/>
      <c r="G376" s="154"/>
      <c r="H376" s="5"/>
      <c r="I376" s="5"/>
      <c r="J376" s="5"/>
      <c r="K376" s="5"/>
      <c r="L376" s="6"/>
    </row>
    <row r="377" spans="1:12" ht="12.75">
      <c r="A377" s="4"/>
      <c r="B377" s="5"/>
      <c r="C377" s="5"/>
      <c r="D377" s="5"/>
      <c r="E377" s="5"/>
      <c r="F377" s="155"/>
      <c r="G377" s="154"/>
      <c r="H377" s="5"/>
      <c r="I377" s="5"/>
      <c r="J377" s="5"/>
      <c r="K377" s="5"/>
      <c r="L377" s="6"/>
    </row>
    <row r="378" spans="1:12" ht="12.75">
      <c r="A378" s="4"/>
      <c r="B378" s="22" t="s">
        <v>814</v>
      </c>
      <c r="C378" s="5"/>
      <c r="D378" s="5"/>
      <c r="E378" s="5"/>
      <c r="F378" s="5"/>
      <c r="G378" s="5"/>
      <c r="H378" s="5"/>
      <c r="I378" s="5"/>
      <c r="J378" s="5"/>
      <c r="K378" s="5"/>
      <c r="L378" s="6"/>
    </row>
    <row r="379" spans="1:12" ht="12.75">
      <c r="A379" s="4"/>
      <c r="B379" s="5"/>
      <c r="C379" s="5"/>
      <c r="D379" s="5"/>
      <c r="E379" s="5"/>
      <c r="F379" s="5"/>
      <c r="G379" s="5"/>
      <c r="H379" s="5"/>
      <c r="I379" s="5"/>
      <c r="J379" s="5"/>
      <c r="K379" s="5"/>
      <c r="L379" s="6"/>
    </row>
    <row r="380" spans="1:12" ht="12.75">
      <c r="A380" s="4"/>
      <c r="B380" s="5"/>
      <c r="C380" s="5" t="s">
        <v>1498</v>
      </c>
      <c r="D380" s="5"/>
      <c r="E380" s="5"/>
      <c r="F380" s="5"/>
      <c r="G380" s="5"/>
      <c r="H380" s="5"/>
      <c r="I380" s="5" t="s">
        <v>1499</v>
      </c>
      <c r="J380" s="5"/>
      <c r="K380" s="5"/>
      <c r="L380" s="6"/>
    </row>
    <row r="381" spans="1:12" ht="12.75">
      <c r="A381" s="4"/>
      <c r="B381" s="5"/>
      <c r="C381" s="5"/>
      <c r="D381" s="5"/>
      <c r="E381" s="5"/>
      <c r="F381" s="5"/>
      <c r="G381" s="5"/>
      <c r="H381" s="5"/>
      <c r="I381" s="5"/>
      <c r="J381" s="5"/>
      <c r="K381" s="5"/>
      <c r="L381" s="6"/>
    </row>
    <row r="382" spans="1:12" ht="12.75">
      <c r="A382" s="4"/>
      <c r="B382" s="26"/>
      <c r="C382" s="97" t="s">
        <v>815</v>
      </c>
      <c r="D382" s="5" t="s">
        <v>1501</v>
      </c>
      <c r="E382" s="54">
        <f>$G$300</f>
        <v>-0.5613975469481101</v>
      </c>
      <c r="F382" s="54">
        <f>$H$300</f>
        <v>-0.36143043030347477</v>
      </c>
      <c r="G382" s="54">
        <f>$I$300</f>
        <v>-0.7444466658742517</v>
      </c>
      <c r="H382" s="5"/>
      <c r="I382" s="96">
        <f>SPH_REC!C213</f>
        <v>-2686114.7361198566</v>
      </c>
      <c r="J382" s="5" t="s">
        <v>816</v>
      </c>
      <c r="K382" s="94">
        <v>0</v>
      </c>
      <c r="L382" s="6" t="s">
        <v>167</v>
      </c>
    </row>
    <row r="383" spans="1:12" ht="12.75">
      <c r="A383" s="4"/>
      <c r="B383" s="26"/>
      <c r="C383" s="97" t="s">
        <v>817</v>
      </c>
      <c r="D383" s="5" t="s">
        <v>1610</v>
      </c>
      <c r="E383" s="54">
        <f>$G$301</f>
        <v>0.7168125110114011</v>
      </c>
      <c r="F383" s="54">
        <f>$H$301</f>
        <v>-0.6619158832268075</v>
      </c>
      <c r="G383" s="54">
        <f>$I$301</f>
        <v>-0.21919668699504888</v>
      </c>
      <c r="H383" s="5" t="s">
        <v>1691</v>
      </c>
      <c r="I383" s="96">
        <f>SPH_REC!C214</f>
        <v>-4216355.559770088</v>
      </c>
      <c r="J383" s="5" t="s">
        <v>818</v>
      </c>
      <c r="K383" s="94">
        <v>0</v>
      </c>
      <c r="L383" s="6" t="s">
        <v>167</v>
      </c>
    </row>
    <row r="384" spans="1:12" ht="12.75">
      <c r="A384" s="4"/>
      <c r="B384" s="26"/>
      <c r="C384" s="97" t="s">
        <v>819</v>
      </c>
      <c r="D384" s="5" t="s">
        <v>1501</v>
      </c>
      <c r="E384" s="54">
        <f>$G$302</f>
        <v>-0.4135367194556907</v>
      </c>
      <c r="F384" s="54">
        <f>$H$302</f>
        <v>-0.6566851662575609</v>
      </c>
      <c r="G384" s="54">
        <f>$I$302</f>
        <v>0.6306758074312863</v>
      </c>
      <c r="H384" s="5"/>
      <c r="I384" s="96">
        <f>SPH_REC!C215</f>
        <v>3948198.6582225338</v>
      </c>
      <c r="J384" s="5" t="s">
        <v>820</v>
      </c>
      <c r="K384" s="96">
        <f>K332</f>
        <v>-6666652.740665482</v>
      </c>
      <c r="L384" s="6" t="s">
        <v>167</v>
      </c>
    </row>
    <row r="385" spans="1:12" ht="12.75">
      <c r="A385" s="4"/>
      <c r="B385" s="5"/>
      <c r="C385" s="5"/>
      <c r="D385" s="5"/>
      <c r="E385" s="5"/>
      <c r="F385" s="5"/>
      <c r="G385" s="5"/>
      <c r="H385" s="5"/>
      <c r="I385" s="5"/>
      <c r="J385" s="5"/>
      <c r="K385" s="5"/>
      <c r="L385" s="6"/>
    </row>
    <row r="386" spans="1:12" ht="12.75">
      <c r="A386" s="4"/>
      <c r="B386" s="5"/>
      <c r="C386" s="5"/>
      <c r="D386" s="5"/>
      <c r="E386" s="5"/>
      <c r="F386" s="5"/>
      <c r="G386" s="5"/>
      <c r="H386" s="5"/>
      <c r="I386" s="5"/>
      <c r="J386" s="5"/>
      <c r="K386" s="5"/>
      <c r="L386" s="6"/>
    </row>
    <row r="387" spans="1:12" ht="12.75">
      <c r="A387" s="4"/>
      <c r="B387" s="5"/>
      <c r="C387" s="5"/>
      <c r="D387" s="98" t="s">
        <v>803</v>
      </c>
      <c r="E387" s="24">
        <f>(E382*I382+F382*I383+G382*I384)+K382</f>
        <v>92674.10063604917</v>
      </c>
      <c r="F387" s="5" t="s">
        <v>167</v>
      </c>
      <c r="G387" s="5"/>
      <c r="H387" s="5"/>
      <c r="I387" s="5"/>
      <c r="J387" s="5"/>
      <c r="K387" s="5"/>
      <c r="L387" s="6"/>
    </row>
    <row r="388" spans="1:12" ht="13.5" thickBot="1">
      <c r="A388" s="4"/>
      <c r="B388" s="5"/>
      <c r="C388" s="5"/>
      <c r="D388" s="98" t="s">
        <v>804</v>
      </c>
      <c r="E388" s="276">
        <f>(E383*I382+F383*I383+G383*I384)+K383</f>
        <v>-2.3283064365386963E-10</v>
      </c>
      <c r="F388" s="5" t="s">
        <v>167</v>
      </c>
      <c r="G388" s="117" t="s">
        <v>805</v>
      </c>
      <c r="H388" s="115"/>
      <c r="I388" s="115"/>
      <c r="J388" s="115"/>
      <c r="K388" s="89"/>
      <c r="L388" s="6"/>
    </row>
    <row r="389" spans="1:12" ht="13.5" thickBot="1">
      <c r="A389" s="4"/>
      <c r="B389" s="5"/>
      <c r="C389" s="5"/>
      <c r="D389" s="98" t="s">
        <v>806</v>
      </c>
      <c r="E389" s="24">
        <f>(E384*I382+F384*I383+G384*I384)+K384</f>
        <v>-296994.1361666601</v>
      </c>
      <c r="F389" s="5" t="s">
        <v>167</v>
      </c>
      <c r="G389" s="86" t="str">
        <f>IF(((TRUNC((E388)*10))/10)=0,"None","Error: Point 'pc' Not at Correct Local Position  Y=0")</f>
        <v>None</v>
      </c>
      <c r="H389" s="118"/>
      <c r="I389" s="118"/>
      <c r="J389" s="118"/>
      <c r="K389" s="119"/>
      <c r="L389" s="6"/>
    </row>
    <row r="390" spans="1:12" ht="12.75">
      <c r="A390" s="4"/>
      <c r="B390" s="5"/>
      <c r="C390" s="5"/>
      <c r="D390" s="5"/>
      <c r="E390" s="5"/>
      <c r="F390" s="5"/>
      <c r="G390" s="5"/>
      <c r="H390" s="5"/>
      <c r="I390" s="5"/>
      <c r="J390" s="5"/>
      <c r="K390" s="5"/>
      <c r="L390" s="6"/>
    </row>
    <row r="391" spans="1:12" ht="12.75">
      <c r="A391" s="4"/>
      <c r="B391" s="5"/>
      <c r="C391" s="5"/>
      <c r="D391" s="5"/>
      <c r="E391" s="5"/>
      <c r="F391" s="5"/>
      <c r="G391" s="5"/>
      <c r="H391" s="5"/>
      <c r="I391" s="5"/>
      <c r="J391" s="5"/>
      <c r="K391" s="5"/>
      <c r="L391" s="6"/>
    </row>
    <row r="392" spans="1:12" ht="12.75">
      <c r="A392" s="4"/>
      <c r="B392" s="22" t="s">
        <v>118</v>
      </c>
      <c r="C392" s="5"/>
      <c r="D392" s="5"/>
      <c r="E392" s="5"/>
      <c r="F392" s="5"/>
      <c r="G392" s="5"/>
      <c r="H392" s="5"/>
      <c r="I392" s="5"/>
      <c r="J392" s="5"/>
      <c r="K392" s="5"/>
      <c r="L392" s="6"/>
    </row>
    <row r="393" spans="1:12" ht="12.75">
      <c r="A393" s="4"/>
      <c r="B393" s="5"/>
      <c r="C393" s="5"/>
      <c r="D393" s="5"/>
      <c r="E393" s="5"/>
      <c r="F393" s="5"/>
      <c r="G393" s="5"/>
      <c r="H393" s="5"/>
      <c r="I393" s="5"/>
      <c r="J393" s="5"/>
      <c r="K393" s="5"/>
      <c r="L393" s="6"/>
    </row>
    <row r="394" spans="1:12" ht="12.75">
      <c r="A394" s="4"/>
      <c r="B394" s="5"/>
      <c r="C394" s="5" t="s">
        <v>1498</v>
      </c>
      <c r="D394" s="5"/>
      <c r="E394" s="5"/>
      <c r="F394" s="5"/>
      <c r="G394" s="5"/>
      <c r="H394" s="5"/>
      <c r="I394" s="5" t="s">
        <v>1499</v>
      </c>
      <c r="J394" s="5"/>
      <c r="K394" s="5"/>
      <c r="L394" s="6"/>
    </row>
    <row r="395" spans="1:12" ht="12.75">
      <c r="A395" s="4"/>
      <c r="B395" s="5"/>
      <c r="C395" s="5"/>
      <c r="D395" s="5"/>
      <c r="E395" s="5"/>
      <c r="F395" s="5"/>
      <c r="G395" s="5"/>
      <c r="H395" s="5"/>
      <c r="I395" s="5"/>
      <c r="J395" s="5"/>
      <c r="K395" s="5"/>
      <c r="L395" s="6"/>
    </row>
    <row r="396" spans="1:12" ht="12.75">
      <c r="A396" s="4"/>
      <c r="B396" s="26"/>
      <c r="C396" s="97" t="s">
        <v>119</v>
      </c>
      <c r="D396" s="5" t="s">
        <v>1501</v>
      </c>
      <c r="E396" s="54">
        <f>$G$300</f>
        <v>-0.5613975469481101</v>
      </c>
      <c r="F396" s="54">
        <f>$H$300</f>
        <v>-0.36143043030347477</v>
      </c>
      <c r="G396" s="54">
        <f>$I$300</f>
        <v>-0.7444466658742517</v>
      </c>
      <c r="H396" s="5"/>
      <c r="I396" s="96">
        <f>SPH_REC!C220</f>
        <v>-2671272.744019775</v>
      </c>
      <c r="J396" s="5" t="s">
        <v>120</v>
      </c>
      <c r="K396" s="94">
        <v>0</v>
      </c>
      <c r="L396" s="6" t="s">
        <v>167</v>
      </c>
    </row>
    <row r="397" spans="1:12" ht="12.75">
      <c r="A397" s="4"/>
      <c r="B397" s="26"/>
      <c r="C397" s="97" t="s">
        <v>121</v>
      </c>
      <c r="D397" s="5" t="s">
        <v>1610</v>
      </c>
      <c r="E397" s="54">
        <f>$G$301</f>
        <v>0.7168125110114011</v>
      </c>
      <c r="F397" s="54">
        <f>$H$301</f>
        <v>-0.6619158832268075</v>
      </c>
      <c r="G397" s="54">
        <f>$I$301</f>
        <v>-0.21919668699504888</v>
      </c>
      <c r="H397" s="5" t="s">
        <v>1691</v>
      </c>
      <c r="I397" s="96">
        <f>SPH_REC!C221</f>
        <v>-4250129.951439654</v>
      </c>
      <c r="J397" s="5" t="s">
        <v>122</v>
      </c>
      <c r="K397" s="94">
        <v>0</v>
      </c>
      <c r="L397" s="6" t="s">
        <v>167</v>
      </c>
    </row>
    <row r="398" spans="1:12" ht="12.75">
      <c r="A398" s="4"/>
      <c r="B398" s="26"/>
      <c r="C398" s="97" t="s">
        <v>807</v>
      </c>
      <c r="D398" s="5" t="s">
        <v>1501</v>
      </c>
      <c r="E398" s="54">
        <f>$G$302</f>
        <v>-0.4135367194556907</v>
      </c>
      <c r="F398" s="54">
        <f>$H$302</f>
        <v>-0.6566851662575609</v>
      </c>
      <c r="G398" s="54">
        <f>$I$302</f>
        <v>0.6306758074312863</v>
      </c>
      <c r="H398" s="5"/>
      <c r="I398" s="96">
        <f>SPH_REC!C222</f>
        <v>3921968.453433455</v>
      </c>
      <c r="J398" s="5" t="s">
        <v>808</v>
      </c>
      <c r="K398" s="96">
        <f>K332</f>
        <v>-6666652.740665482</v>
      </c>
      <c r="L398" s="6" t="s">
        <v>167</v>
      </c>
    </row>
    <row r="399" spans="1:12" ht="12.75">
      <c r="A399" s="4"/>
      <c r="B399" s="5"/>
      <c r="C399" s="5"/>
      <c r="D399" s="5"/>
      <c r="E399" s="5"/>
      <c r="F399" s="5"/>
      <c r="G399" s="5"/>
      <c r="H399" s="5"/>
      <c r="I399" s="5"/>
      <c r="J399" s="5"/>
      <c r="K399" s="5"/>
      <c r="L399" s="6"/>
    </row>
    <row r="400" spans="1:12" ht="12.75">
      <c r="A400" s="4"/>
      <c r="B400" s="5"/>
      <c r="C400" s="5"/>
      <c r="D400" s="5"/>
      <c r="E400" s="5"/>
      <c r="F400" s="5"/>
      <c r="G400" s="5"/>
      <c r="H400" s="5"/>
      <c r="I400" s="5"/>
      <c r="J400" s="5"/>
      <c r="K400" s="5"/>
      <c r="L400" s="6"/>
    </row>
    <row r="401" spans="1:12" ht="12.75">
      <c r="A401" s="4"/>
      <c r="B401" s="5"/>
      <c r="C401" s="5"/>
      <c r="D401" s="98" t="s">
        <v>809</v>
      </c>
      <c r="E401" s="24">
        <f>IF(I396="","",(E396*I396+F396*I397+G396*I398)+K396)</f>
        <v>116075.92409403808</v>
      </c>
      <c r="F401" s="5" t="s">
        <v>167</v>
      </c>
      <c r="G401" s="5"/>
      <c r="H401" s="5"/>
      <c r="I401" s="5"/>
      <c r="J401" s="5"/>
      <c r="K401" s="5"/>
      <c r="L401" s="6"/>
    </row>
    <row r="402" spans="1:12" ht="12.75">
      <c r="A402" s="4"/>
      <c r="B402" s="5"/>
      <c r="C402" s="5"/>
      <c r="D402" s="98" t="s">
        <v>810</v>
      </c>
      <c r="E402" s="24">
        <f>IF(I396="","",(E397*I396+F397*I397+G397*I398)+K397)</f>
        <v>38744.30590704782</v>
      </c>
      <c r="F402" s="5" t="s">
        <v>167</v>
      </c>
      <c r="G402" s="5"/>
      <c r="H402" s="5"/>
      <c r="I402" s="5"/>
      <c r="J402" s="5"/>
      <c r="K402" s="5"/>
      <c r="L402" s="6"/>
    </row>
    <row r="403" spans="1:12" ht="12.75">
      <c r="A403" s="4"/>
      <c r="B403" s="5"/>
      <c r="C403" s="5"/>
      <c r="D403" s="98" t="s">
        <v>811</v>
      </c>
      <c r="E403" s="24">
        <f>IF(I396="","",(E398*I396+F398*I397+G398*I398)+K398)</f>
        <v>-297495.45846557803</v>
      </c>
      <c r="F403" s="5" t="s">
        <v>167</v>
      </c>
      <c r="G403" s="5"/>
      <c r="H403" s="5"/>
      <c r="I403" s="5"/>
      <c r="J403" s="5"/>
      <c r="K403" s="5"/>
      <c r="L403" s="6"/>
    </row>
    <row r="404" spans="1:12" ht="12.75">
      <c r="A404" s="4"/>
      <c r="B404" s="5"/>
      <c r="C404" s="5"/>
      <c r="D404" s="5"/>
      <c r="E404" s="5"/>
      <c r="F404" s="5"/>
      <c r="G404" s="5"/>
      <c r="H404" s="5"/>
      <c r="I404" s="5"/>
      <c r="J404" s="5"/>
      <c r="K404" s="5"/>
      <c r="L404" s="6"/>
    </row>
    <row r="405" spans="1:12" ht="13.5" thickBot="1">
      <c r="A405" s="7"/>
      <c r="B405" s="8"/>
      <c r="C405" s="8"/>
      <c r="D405" s="8"/>
      <c r="E405" s="8"/>
      <c r="F405" s="8"/>
      <c r="G405" s="8"/>
      <c r="H405" s="8"/>
      <c r="I405" s="8"/>
      <c r="J405" s="8"/>
      <c r="K405" s="8"/>
      <c r="L405" s="9"/>
    </row>
    <row r="408" spans="2:5" ht="15.75">
      <c r="B408" s="225" t="s">
        <v>655</v>
      </c>
      <c r="C408" s="226"/>
      <c r="D408" s="226"/>
      <c r="E408" s="226"/>
    </row>
    <row r="409" ht="13.5" thickBot="1"/>
    <row r="410" spans="3:5" ht="15.75">
      <c r="C410" s="219" t="s">
        <v>656</v>
      </c>
      <c r="D410" s="219" t="s">
        <v>657</v>
      </c>
      <c r="E410" s="223" t="s">
        <v>656</v>
      </c>
    </row>
    <row r="411" spans="3:5" ht="16.5" thickBot="1">
      <c r="C411" s="220" t="s">
        <v>658</v>
      </c>
      <c r="D411" s="228"/>
      <c r="E411" s="224" t="s">
        <v>659</v>
      </c>
    </row>
    <row r="412" spans="3:5" ht="15.75">
      <c r="C412" s="229">
        <v>1</v>
      </c>
      <c r="D412" s="231" t="str">
        <f>IF(I197="None","None","Error")</f>
        <v>None</v>
      </c>
      <c r="E412" s="237">
        <f aca="true" t="shared" si="5" ref="E412:E417">IF(D412="None",0,1)</f>
        <v>0</v>
      </c>
    </row>
    <row r="413" spans="3:5" ht="15.75">
      <c r="C413" s="221">
        <v>2</v>
      </c>
      <c r="D413" s="232" t="str">
        <f>IF(C301="None","None","Error")</f>
        <v>None</v>
      </c>
      <c r="E413" s="238">
        <f t="shared" si="5"/>
        <v>0</v>
      </c>
    </row>
    <row r="414" spans="3:5" ht="15.75">
      <c r="C414" s="221">
        <v>3</v>
      </c>
      <c r="D414" s="232" t="str">
        <f>IF(G347="None","None","Error")</f>
        <v>None</v>
      </c>
      <c r="E414" s="238">
        <f t="shared" si="5"/>
        <v>0</v>
      </c>
    </row>
    <row r="415" spans="3:5" ht="15.75">
      <c r="C415" s="221">
        <v>4</v>
      </c>
      <c r="D415" s="232" t="str">
        <f>IF(G361="None","None","Error")</f>
        <v>None</v>
      </c>
      <c r="E415" s="238">
        <f t="shared" si="5"/>
        <v>0</v>
      </c>
    </row>
    <row r="416" spans="3:5" ht="15.75">
      <c r="C416" s="240">
        <v>5</v>
      </c>
      <c r="D416" s="232" t="str">
        <f>IF(G375="None","None","Error")</f>
        <v>None</v>
      </c>
      <c r="E416" s="238">
        <f t="shared" si="5"/>
        <v>0</v>
      </c>
    </row>
    <row r="417" spans="3:5" ht="16.5" thickBot="1">
      <c r="C417" s="230">
        <v>6</v>
      </c>
      <c r="D417" s="233" t="str">
        <f>IF(G389="None","None","Error")</f>
        <v>None</v>
      </c>
      <c r="E417" s="239">
        <f t="shared" si="5"/>
        <v>0</v>
      </c>
    </row>
    <row r="418" ht="13.5" thickBot="1"/>
    <row r="419" spans="3:5" ht="16.5" thickBot="1">
      <c r="C419" s="234" t="s">
        <v>660</v>
      </c>
      <c r="D419" s="235"/>
      <c r="E419" s="236">
        <f>SUM(E412:E417)</f>
        <v>0</v>
      </c>
    </row>
  </sheetData>
  <sheetProtection password="CFF3" sheet="1" objects="1" scenarios="1"/>
  <printOptions/>
  <pageMargins left="0.75" right="0.42" top="0.52" bottom="1" header="0.5" footer="0.5"/>
  <pageSetup orientation="portrait" paperSize="9" scale="58"/>
  <headerFooter alignWithMargins="0">
    <oddFooter>&amp;C&amp;A&amp;RPage &amp;P</oddFooter>
  </headerFooter>
  <drawing r:id="rId1"/>
</worksheet>
</file>

<file path=xl/worksheets/sheet6.xml><?xml version="1.0" encoding="utf-8"?>
<worksheet xmlns="http://schemas.openxmlformats.org/spreadsheetml/2006/main" xmlns:r="http://schemas.openxmlformats.org/officeDocument/2006/relationships">
  <dimension ref="A1:M258"/>
  <sheetViews>
    <sheetView workbookViewId="0" topLeftCell="A1">
      <selection activeCell="A1" sqref="A1"/>
    </sheetView>
  </sheetViews>
  <sheetFormatPr defaultColWidth="9.00390625" defaultRowHeight="12.75"/>
  <cols>
    <col min="1" max="2" width="11.375" style="0" customWidth="1"/>
    <col min="3" max="3" width="11.375" style="0" bestFit="1" customWidth="1"/>
    <col min="4" max="4" width="11.375" style="0" customWidth="1"/>
    <col min="5" max="6" width="13.375" style="0" customWidth="1"/>
    <col min="7" max="7" width="11.875" style="0" customWidth="1"/>
    <col min="8" max="8" width="14.875" style="0" customWidth="1"/>
    <col min="9" max="11" width="11.375" style="0" customWidth="1"/>
    <col min="12" max="12" width="19.00390625" style="0" customWidth="1"/>
    <col min="13" max="16384" width="11.375" style="0" customWidth="1"/>
  </cols>
  <sheetData>
    <row r="1" spans="1:12" ht="23.25">
      <c r="A1" s="458" t="s">
        <v>343</v>
      </c>
      <c r="B1" s="298"/>
      <c r="C1" s="298"/>
      <c r="D1" s="298"/>
      <c r="E1" s="298"/>
      <c r="F1" s="298"/>
      <c r="G1" s="298"/>
      <c r="H1" s="298"/>
      <c r="I1" s="298"/>
      <c r="J1" s="298"/>
      <c r="K1" s="298"/>
      <c r="L1" s="298"/>
    </row>
    <row r="2" spans="1:10" ht="15" customHeight="1">
      <c r="A2" s="472"/>
      <c r="B2" s="202"/>
      <c r="C2" s="202"/>
      <c r="D2" s="202"/>
      <c r="E2" s="202"/>
      <c r="F2" s="202"/>
      <c r="G2" s="202"/>
      <c r="H2" s="202"/>
      <c r="I2" s="202"/>
      <c r="J2" s="202"/>
    </row>
    <row r="3" spans="1:13" ht="18.75" customHeight="1">
      <c r="A3" s="491" t="s">
        <v>950</v>
      </c>
      <c r="B3" s="298"/>
      <c r="C3" s="298"/>
      <c r="D3" s="298"/>
      <c r="E3" s="298"/>
      <c r="F3" s="298"/>
      <c r="G3" s="298"/>
      <c r="H3" s="298"/>
      <c r="I3" s="298"/>
      <c r="J3" s="298"/>
      <c r="K3" s="298"/>
      <c r="L3" s="298"/>
      <c r="M3" s="298"/>
    </row>
    <row r="4" spans="1:13" ht="18" customHeight="1">
      <c r="A4" s="492" t="s">
        <v>947</v>
      </c>
      <c r="B4" s="298"/>
      <c r="C4" s="298"/>
      <c r="D4" s="298"/>
      <c r="E4" s="298"/>
      <c r="F4" s="298"/>
      <c r="G4" s="298"/>
      <c r="H4" s="298"/>
      <c r="I4" s="298"/>
      <c r="J4" s="298"/>
      <c r="K4" s="298"/>
      <c r="L4" s="298"/>
      <c r="M4" s="298"/>
    </row>
    <row r="5" spans="1:13" ht="15" customHeight="1">
      <c r="A5" s="458"/>
      <c r="B5" s="298"/>
      <c r="C5" s="298"/>
      <c r="D5" s="298"/>
      <c r="E5" s="298"/>
      <c r="F5" s="298"/>
      <c r="G5" s="298"/>
      <c r="H5" s="298"/>
      <c r="I5" s="298"/>
      <c r="J5" s="298"/>
      <c r="K5" s="298"/>
      <c r="L5" s="298"/>
      <c r="M5" s="298"/>
    </row>
    <row r="6" s="202" customFormat="1" ht="15" customHeight="1">
      <c r="A6" s="472"/>
    </row>
    <row r="7" ht="18">
      <c r="A7" s="12" t="s">
        <v>719</v>
      </c>
    </row>
    <row r="8" ht="18">
      <c r="A8" s="12" t="s">
        <v>208</v>
      </c>
    </row>
    <row r="9" ht="18">
      <c r="A9" s="12" t="s">
        <v>1040</v>
      </c>
    </row>
    <row r="10" ht="18">
      <c r="A10" s="12"/>
    </row>
    <row r="11" ht="13.5" thickBot="1"/>
    <row r="12" spans="1:12" ht="13.5" customHeight="1">
      <c r="A12" s="21"/>
      <c r="B12" s="2"/>
      <c r="C12" s="2"/>
      <c r="D12" s="2"/>
      <c r="E12" s="2"/>
      <c r="F12" s="2"/>
      <c r="G12" s="2"/>
      <c r="H12" s="2"/>
      <c r="I12" s="2"/>
      <c r="J12" s="2"/>
      <c r="K12" s="2"/>
      <c r="L12" s="3"/>
    </row>
    <row r="13" spans="1:12" ht="13.5" customHeight="1">
      <c r="A13" s="45" t="s">
        <v>242</v>
      </c>
      <c r="B13" s="5"/>
      <c r="C13" s="5"/>
      <c r="D13" s="5"/>
      <c r="E13" s="5"/>
      <c r="F13" s="5"/>
      <c r="G13" s="5"/>
      <c r="H13" s="5"/>
      <c r="I13" s="5"/>
      <c r="J13" s="5"/>
      <c r="K13" s="5"/>
      <c r="L13" s="6"/>
    </row>
    <row r="14" spans="1:12" ht="13.5" customHeight="1">
      <c r="A14" s="45" t="s">
        <v>243</v>
      </c>
      <c r="B14" s="5"/>
      <c r="C14" s="5"/>
      <c r="D14" s="5"/>
      <c r="E14" s="5"/>
      <c r="F14" s="5"/>
      <c r="G14" s="5"/>
      <c r="H14" s="5"/>
      <c r="I14" s="5"/>
      <c r="J14" s="5"/>
      <c r="K14" s="5"/>
      <c r="L14" s="6"/>
    </row>
    <row r="15" spans="1:12" ht="13.5" customHeight="1">
      <c r="A15" s="45"/>
      <c r="B15" s="5"/>
      <c r="C15" s="5"/>
      <c r="D15" s="5"/>
      <c r="E15" s="5"/>
      <c r="F15" s="5"/>
      <c r="G15" s="5"/>
      <c r="H15" s="5"/>
      <c r="I15" s="5"/>
      <c r="J15" s="5"/>
      <c r="K15" s="5"/>
      <c r="L15" s="6"/>
    </row>
    <row r="16" spans="1:12" ht="13.5" customHeight="1">
      <c r="A16" s="4"/>
      <c r="B16" s="5"/>
      <c r="C16" s="5"/>
      <c r="D16" s="5"/>
      <c r="E16" s="5"/>
      <c r="F16" s="5"/>
      <c r="G16" s="5"/>
      <c r="H16" s="5"/>
      <c r="I16" s="5"/>
      <c r="J16" s="5"/>
      <c r="K16" s="5"/>
      <c r="L16" s="6"/>
    </row>
    <row r="17" spans="1:12" ht="13.5" customHeight="1">
      <c r="A17" s="13"/>
      <c r="B17" s="5"/>
      <c r="C17" s="5"/>
      <c r="D17" s="5"/>
      <c r="E17" s="5"/>
      <c r="F17" s="5"/>
      <c r="G17" s="5"/>
      <c r="H17" s="5"/>
      <c r="I17" s="5"/>
      <c r="J17" s="125" t="s">
        <v>244</v>
      </c>
      <c r="K17" s="5"/>
      <c r="L17" s="6"/>
    </row>
    <row r="18" spans="1:12" ht="13.5" customHeight="1">
      <c r="A18" s="13"/>
      <c r="B18" s="5"/>
      <c r="C18" s="5"/>
      <c r="D18" s="5"/>
      <c r="E18" s="126" t="s">
        <v>245</v>
      </c>
      <c r="F18" s="5"/>
      <c r="G18" s="5"/>
      <c r="H18" s="5"/>
      <c r="I18" s="5"/>
      <c r="J18" s="5"/>
      <c r="K18" s="5"/>
      <c r="L18" s="6"/>
    </row>
    <row r="19" spans="1:12" ht="13.5" customHeight="1">
      <c r="A19" s="13"/>
      <c r="B19" s="5"/>
      <c r="C19" s="5"/>
      <c r="D19" s="5"/>
      <c r="E19" s="5"/>
      <c r="F19" s="5"/>
      <c r="G19" s="5"/>
      <c r="H19" s="5"/>
      <c r="I19" s="5"/>
      <c r="J19" s="5"/>
      <c r="K19" s="5"/>
      <c r="L19" s="6"/>
    </row>
    <row r="20" spans="1:12" ht="13.5" customHeight="1">
      <c r="A20" s="13"/>
      <c r="B20" s="5"/>
      <c r="C20" s="5"/>
      <c r="D20" s="5"/>
      <c r="E20" s="5"/>
      <c r="F20" s="110" t="s">
        <v>246</v>
      </c>
      <c r="G20" s="5"/>
      <c r="H20" s="5"/>
      <c r="I20" s="5"/>
      <c r="J20" s="22"/>
      <c r="K20" s="5"/>
      <c r="L20" s="6"/>
    </row>
    <row r="21" spans="1:12" ht="13.5" customHeight="1">
      <c r="A21" s="13"/>
      <c r="B21" s="5"/>
      <c r="C21" s="5"/>
      <c r="D21" s="5"/>
      <c r="E21" s="5"/>
      <c r="F21" s="5"/>
      <c r="G21" s="5"/>
      <c r="H21" s="5"/>
      <c r="I21" s="5"/>
      <c r="J21" s="5"/>
      <c r="K21" s="5"/>
      <c r="L21" s="6"/>
    </row>
    <row r="22" spans="1:12" ht="13.5" customHeight="1">
      <c r="A22" s="13"/>
      <c r="B22" s="5"/>
      <c r="C22" s="5"/>
      <c r="D22" s="5"/>
      <c r="E22" s="5"/>
      <c r="F22" s="5"/>
      <c r="G22" s="5"/>
      <c r="H22" s="5"/>
      <c r="I22" s="5"/>
      <c r="J22" s="5"/>
      <c r="K22" s="5"/>
      <c r="L22" s="6"/>
    </row>
    <row r="23" spans="1:12" ht="13.5" customHeight="1">
      <c r="A23" s="13"/>
      <c r="B23" s="5"/>
      <c r="C23" s="5"/>
      <c r="D23" s="5"/>
      <c r="E23" s="5"/>
      <c r="F23" s="5"/>
      <c r="G23" s="5"/>
      <c r="H23" s="5"/>
      <c r="I23" s="5"/>
      <c r="J23" s="5"/>
      <c r="K23" s="20"/>
      <c r="L23" s="6"/>
    </row>
    <row r="24" spans="1:12" ht="13.5" customHeight="1">
      <c r="A24" s="13"/>
      <c r="B24" s="5"/>
      <c r="C24" s="5"/>
      <c r="D24" s="5"/>
      <c r="E24" s="5"/>
      <c r="F24" s="110" t="s">
        <v>247</v>
      </c>
      <c r="G24" s="5"/>
      <c r="H24" s="5"/>
      <c r="I24" s="5"/>
      <c r="J24" s="5"/>
      <c r="K24" s="5"/>
      <c r="L24" s="6"/>
    </row>
    <row r="25" spans="1:12" ht="13.5" customHeight="1">
      <c r="A25" s="13"/>
      <c r="B25" s="5"/>
      <c r="C25" s="5"/>
      <c r="D25" s="5"/>
      <c r="E25" s="5"/>
      <c r="F25" s="5"/>
      <c r="G25" s="5"/>
      <c r="H25" s="5"/>
      <c r="I25" s="5"/>
      <c r="J25" s="5"/>
      <c r="K25" s="110" t="s">
        <v>248</v>
      </c>
      <c r="L25" s="6"/>
    </row>
    <row r="26" spans="1:12" ht="13.5" customHeight="1">
      <c r="A26" s="13"/>
      <c r="B26" s="5"/>
      <c r="C26" s="5"/>
      <c r="D26" s="5"/>
      <c r="E26" s="5"/>
      <c r="F26" s="5"/>
      <c r="G26" s="5"/>
      <c r="H26" s="5"/>
      <c r="I26" s="5"/>
      <c r="J26" s="5"/>
      <c r="K26" s="5"/>
      <c r="L26" s="6"/>
    </row>
    <row r="27" spans="1:12" ht="13.5" customHeight="1">
      <c r="A27" s="13"/>
      <c r="B27" s="5"/>
      <c r="C27" s="5"/>
      <c r="D27" s="5"/>
      <c r="E27" s="5"/>
      <c r="F27" s="5"/>
      <c r="G27" s="5"/>
      <c r="H27" s="5"/>
      <c r="I27" s="5"/>
      <c r="J27" s="5"/>
      <c r="K27" s="5"/>
      <c r="L27" s="6"/>
    </row>
    <row r="28" spans="1:12" ht="13.5" customHeight="1">
      <c r="A28" s="13"/>
      <c r="B28" s="5"/>
      <c r="C28" s="5"/>
      <c r="D28" s="5"/>
      <c r="E28" s="5"/>
      <c r="F28" s="5"/>
      <c r="G28" s="5"/>
      <c r="H28" s="5"/>
      <c r="I28" s="5"/>
      <c r="J28" s="5"/>
      <c r="K28" s="5"/>
      <c r="L28" s="6"/>
    </row>
    <row r="29" spans="1:12" ht="13.5" customHeight="1">
      <c r="A29" s="13"/>
      <c r="B29" s="5"/>
      <c r="C29" s="5"/>
      <c r="D29" s="5"/>
      <c r="E29" s="5"/>
      <c r="F29" s="5"/>
      <c r="G29" s="5"/>
      <c r="H29" s="5"/>
      <c r="I29" s="5"/>
      <c r="J29" s="5"/>
      <c r="K29" s="5"/>
      <c r="L29" s="6"/>
    </row>
    <row r="30" spans="1:12" ht="13.5" customHeight="1">
      <c r="A30" s="13"/>
      <c r="B30" s="5"/>
      <c r="C30" s="5"/>
      <c r="D30" s="22" t="s">
        <v>51</v>
      </c>
      <c r="E30" s="5"/>
      <c r="F30" s="5"/>
      <c r="G30" s="5"/>
      <c r="H30" s="5"/>
      <c r="I30" s="5"/>
      <c r="J30" s="5"/>
      <c r="K30" s="5"/>
      <c r="L30" s="6"/>
    </row>
    <row r="31" spans="1:12" ht="13.5" customHeight="1">
      <c r="A31" s="13"/>
      <c r="B31" s="5"/>
      <c r="C31" s="5"/>
      <c r="D31" s="5"/>
      <c r="E31" s="5"/>
      <c r="F31" s="5"/>
      <c r="G31" s="5"/>
      <c r="H31" s="5"/>
      <c r="I31" s="5"/>
      <c r="J31" s="5"/>
      <c r="K31" s="5"/>
      <c r="L31" s="6"/>
    </row>
    <row r="32" spans="1:12" ht="13.5" customHeight="1">
      <c r="A32" s="13"/>
      <c r="B32" s="5"/>
      <c r="C32" s="5"/>
      <c r="D32" s="5"/>
      <c r="E32" s="22" t="s">
        <v>1714</v>
      </c>
      <c r="F32" s="5"/>
      <c r="G32" s="5"/>
      <c r="H32" s="5"/>
      <c r="I32" s="5"/>
      <c r="J32" s="5"/>
      <c r="K32" s="5"/>
      <c r="L32" s="6"/>
    </row>
    <row r="33" spans="1:12" ht="13.5" customHeight="1">
      <c r="A33" s="13"/>
      <c r="B33" s="5"/>
      <c r="C33" s="5"/>
      <c r="D33" s="5"/>
      <c r="E33" s="5"/>
      <c r="F33" s="5"/>
      <c r="G33" s="5"/>
      <c r="H33" s="5"/>
      <c r="I33" s="5"/>
      <c r="J33" s="5"/>
      <c r="K33" s="5"/>
      <c r="L33" s="6"/>
    </row>
    <row r="34" spans="1:12" ht="13.5" customHeight="1">
      <c r="A34" s="13"/>
      <c r="B34" s="5"/>
      <c r="C34" s="5"/>
      <c r="D34" s="5"/>
      <c r="E34" s="5"/>
      <c r="F34" s="5"/>
      <c r="G34" s="5"/>
      <c r="H34" s="5"/>
      <c r="I34" s="5"/>
      <c r="J34" s="5"/>
      <c r="K34" s="110" t="s">
        <v>1803</v>
      </c>
      <c r="L34" s="6"/>
    </row>
    <row r="35" spans="1:12" ht="13.5" customHeight="1">
      <c r="A35" s="13"/>
      <c r="B35" s="5" t="s">
        <v>1804</v>
      </c>
      <c r="C35" s="5"/>
      <c r="D35" s="5"/>
      <c r="E35" s="5"/>
      <c r="F35" s="5" t="s">
        <v>1805</v>
      </c>
      <c r="G35" s="5"/>
      <c r="H35" s="5"/>
      <c r="I35" s="5"/>
      <c r="J35" s="5"/>
      <c r="K35" s="5"/>
      <c r="L35" s="6"/>
    </row>
    <row r="36" spans="1:12" ht="13.5" customHeight="1">
      <c r="A36" s="13"/>
      <c r="B36" s="5"/>
      <c r="C36" s="5"/>
      <c r="D36" s="5"/>
      <c r="E36" s="5"/>
      <c r="F36" s="5"/>
      <c r="G36" s="5"/>
      <c r="H36" s="5"/>
      <c r="I36" s="5"/>
      <c r="J36" s="5"/>
      <c r="K36" s="5"/>
      <c r="L36" s="6"/>
    </row>
    <row r="37" spans="1:12" ht="13.5" customHeight="1">
      <c r="A37" s="13"/>
      <c r="B37" s="5"/>
      <c r="C37" s="5"/>
      <c r="D37" s="5"/>
      <c r="E37" s="5"/>
      <c r="F37" s="5"/>
      <c r="G37" s="5"/>
      <c r="H37" s="5"/>
      <c r="I37" s="5"/>
      <c r="J37" s="5"/>
      <c r="K37" s="5"/>
      <c r="L37" s="6"/>
    </row>
    <row r="38" spans="1:12" ht="13.5" customHeight="1">
      <c r="A38" s="13"/>
      <c r="B38" s="5"/>
      <c r="C38" s="5"/>
      <c r="D38" s="5"/>
      <c r="E38" s="5"/>
      <c r="F38" s="5"/>
      <c r="G38" s="5"/>
      <c r="H38" s="5"/>
      <c r="I38" s="5"/>
      <c r="J38" s="5"/>
      <c r="K38" s="5"/>
      <c r="L38" s="6"/>
    </row>
    <row r="39" spans="1:12" ht="13.5" customHeight="1">
      <c r="A39" s="13"/>
      <c r="B39" s="5"/>
      <c r="C39" s="5" t="s">
        <v>1696</v>
      </c>
      <c r="D39" s="5"/>
      <c r="E39" s="5"/>
      <c r="F39" s="5"/>
      <c r="G39" s="5"/>
      <c r="H39" s="22" t="s">
        <v>1709</v>
      </c>
      <c r="I39" s="5"/>
      <c r="J39" s="5"/>
      <c r="K39" s="5"/>
      <c r="L39" s="6"/>
    </row>
    <row r="40" spans="1:12" ht="13.5" customHeight="1">
      <c r="A40" s="13"/>
      <c r="B40" s="5"/>
      <c r="C40" s="5" t="s">
        <v>52</v>
      </c>
      <c r="D40" s="5"/>
      <c r="E40" s="5"/>
      <c r="F40" s="5"/>
      <c r="G40" s="5"/>
      <c r="H40" s="5"/>
      <c r="I40" s="5"/>
      <c r="J40" s="5"/>
      <c r="K40" s="5"/>
      <c r="L40" s="6"/>
    </row>
    <row r="41" spans="1:12" ht="13.5" customHeight="1">
      <c r="A41" s="13"/>
      <c r="B41" s="5"/>
      <c r="C41" s="5"/>
      <c r="D41" s="5"/>
      <c r="E41" s="5"/>
      <c r="F41" s="5"/>
      <c r="G41" s="5"/>
      <c r="I41" s="5"/>
      <c r="J41" s="5"/>
      <c r="K41" s="5"/>
      <c r="L41" s="6"/>
    </row>
    <row r="42" spans="1:12" ht="13.5" customHeight="1">
      <c r="A42" s="13"/>
      <c r="B42" s="5"/>
      <c r="C42" s="5"/>
      <c r="D42" s="5"/>
      <c r="E42" s="5"/>
      <c r="F42" s="5"/>
      <c r="G42" s="5"/>
      <c r="H42" s="5"/>
      <c r="I42" s="22" t="s">
        <v>1710</v>
      </c>
      <c r="J42" s="5"/>
      <c r="K42" s="5"/>
      <c r="L42" s="6"/>
    </row>
    <row r="43" spans="1:12" ht="13.5" customHeight="1">
      <c r="A43" s="13"/>
      <c r="B43" s="5"/>
      <c r="C43" s="5"/>
      <c r="D43" s="5"/>
      <c r="E43" s="5"/>
      <c r="F43" s="5"/>
      <c r="G43" s="5"/>
      <c r="H43" s="5"/>
      <c r="I43" s="5"/>
      <c r="J43" s="5"/>
      <c r="K43" s="5"/>
      <c r="L43" s="6"/>
    </row>
    <row r="44" spans="1:12" ht="13.5" customHeight="1">
      <c r="A44" s="13"/>
      <c r="B44" s="5"/>
      <c r="C44" s="5"/>
      <c r="D44" s="5"/>
      <c r="E44" s="5"/>
      <c r="F44" s="5"/>
      <c r="G44" s="5"/>
      <c r="H44" s="5"/>
      <c r="I44" s="5"/>
      <c r="J44" s="5"/>
      <c r="K44" s="5"/>
      <c r="L44" s="6"/>
    </row>
    <row r="45" spans="1:12" ht="13.5" customHeight="1" thickBot="1">
      <c r="A45" s="127"/>
      <c r="B45" s="8"/>
      <c r="C45" s="8"/>
      <c r="D45" s="8"/>
      <c r="E45" s="8"/>
      <c r="F45" s="8"/>
      <c r="G45" s="8"/>
      <c r="H45" s="8"/>
      <c r="I45" s="8"/>
      <c r="J45" s="8"/>
      <c r="K45" s="8"/>
      <c r="L45" s="9"/>
    </row>
    <row r="46" ht="13.5" customHeight="1">
      <c r="A46" s="12"/>
    </row>
    <row r="47" ht="13.5" customHeight="1" thickBot="1"/>
    <row r="48" spans="1:12" ht="13.5" customHeight="1">
      <c r="A48" s="1"/>
      <c r="B48" s="2"/>
      <c r="C48" s="2"/>
      <c r="D48" s="2"/>
      <c r="E48" s="2"/>
      <c r="F48" s="2"/>
      <c r="G48" s="2"/>
      <c r="H48" s="2"/>
      <c r="I48" s="2"/>
      <c r="J48" s="2"/>
      <c r="K48" s="2"/>
      <c r="L48" s="3"/>
    </row>
    <row r="49" spans="1:12" ht="13.5" customHeight="1">
      <c r="A49" s="14" t="s">
        <v>1711</v>
      </c>
      <c r="B49" s="5"/>
      <c r="C49" s="5"/>
      <c r="D49" s="5"/>
      <c r="E49" s="5"/>
      <c r="F49" s="5"/>
      <c r="G49" s="5"/>
      <c r="H49" s="5"/>
      <c r="I49" s="5"/>
      <c r="J49" s="5"/>
      <c r="K49" s="5"/>
      <c r="L49" s="6"/>
    </row>
    <row r="50" spans="1:12" ht="13.5" customHeight="1">
      <c r="A50" s="14" t="s">
        <v>686</v>
      </c>
      <c r="B50" s="5"/>
      <c r="C50" s="5"/>
      <c r="D50" s="5"/>
      <c r="E50" s="5"/>
      <c r="F50" s="5"/>
      <c r="G50" s="5"/>
      <c r="H50" s="5"/>
      <c r="I50" s="5"/>
      <c r="J50" s="5"/>
      <c r="K50" s="5"/>
      <c r="L50" s="6"/>
    </row>
    <row r="51" spans="1:12" ht="13.5" customHeight="1">
      <c r="A51" s="4"/>
      <c r="B51" s="5"/>
      <c r="C51" s="5"/>
      <c r="D51" s="5"/>
      <c r="E51" s="5"/>
      <c r="F51" s="5"/>
      <c r="G51" s="5"/>
      <c r="H51" s="5"/>
      <c r="I51" s="5"/>
      <c r="J51" s="5"/>
      <c r="K51" s="5"/>
      <c r="L51" s="6"/>
    </row>
    <row r="52" spans="1:12" ht="13.5" customHeight="1">
      <c r="A52" s="4"/>
      <c r="B52" s="5" t="s">
        <v>790</v>
      </c>
      <c r="C52" s="5"/>
      <c r="D52" s="5"/>
      <c r="E52" s="5"/>
      <c r="F52" s="5"/>
      <c r="G52" s="5"/>
      <c r="H52" s="5"/>
      <c r="I52" s="5"/>
      <c r="J52" s="5"/>
      <c r="K52" s="5"/>
      <c r="L52" s="6"/>
    </row>
    <row r="53" spans="1:12" ht="13.5" customHeight="1">
      <c r="A53" s="4"/>
      <c r="B53" s="5"/>
      <c r="C53" s="5"/>
      <c r="D53" s="5"/>
      <c r="E53" s="5"/>
      <c r="F53" s="5"/>
      <c r="G53" s="5"/>
      <c r="H53" s="5"/>
      <c r="I53" s="5"/>
      <c r="J53" s="5"/>
      <c r="K53" s="5"/>
      <c r="L53" s="6"/>
    </row>
    <row r="54" spans="1:12" ht="13.5" customHeight="1">
      <c r="A54" s="4"/>
      <c r="B54" s="5"/>
      <c r="C54" s="22" t="s">
        <v>791</v>
      </c>
      <c r="D54" s="5"/>
      <c r="E54" s="5"/>
      <c r="F54" s="22" t="s">
        <v>792</v>
      </c>
      <c r="G54" s="5"/>
      <c r="H54" s="5"/>
      <c r="I54" s="5"/>
      <c r="J54" s="5"/>
      <c r="K54" s="5"/>
      <c r="L54" s="6"/>
    </row>
    <row r="55" spans="1:12" ht="13.5" customHeight="1">
      <c r="A55" s="4"/>
      <c r="B55" s="5"/>
      <c r="C55" s="113" t="s">
        <v>908</v>
      </c>
      <c r="D55" s="344">
        <f>Trans_Origin!E359</f>
        <v>4.656612873077393E-10</v>
      </c>
      <c r="E55" s="5" t="s">
        <v>167</v>
      </c>
      <c r="F55" s="113" t="s">
        <v>803</v>
      </c>
      <c r="G55" s="343">
        <f>Trans_Origin!E387</f>
        <v>92674.10063604917</v>
      </c>
      <c r="H55" s="5" t="s">
        <v>167</v>
      </c>
      <c r="I55" s="5"/>
      <c r="J55" s="5"/>
      <c r="K55" s="5"/>
      <c r="L55" s="6"/>
    </row>
    <row r="56" spans="1:12" ht="13.5" customHeight="1">
      <c r="A56" s="4"/>
      <c r="B56" s="5"/>
      <c r="C56" s="113" t="s">
        <v>722</v>
      </c>
      <c r="D56" s="344">
        <f>Trans_Origin!E360</f>
        <v>-1.1641532182693481E-10</v>
      </c>
      <c r="E56" s="5" t="s">
        <v>167</v>
      </c>
      <c r="F56" s="113" t="s">
        <v>804</v>
      </c>
      <c r="G56" s="343">
        <f>Trans_Origin!E388</f>
        <v>-2.3283064365386963E-10</v>
      </c>
      <c r="H56" s="5" t="s">
        <v>167</v>
      </c>
      <c r="I56" s="5"/>
      <c r="J56" s="5"/>
      <c r="K56" s="5"/>
      <c r="L56" s="6"/>
    </row>
    <row r="57" spans="1:12" ht="13.5" customHeight="1">
      <c r="A57" s="4"/>
      <c r="B57" s="5"/>
      <c r="C57" s="113" t="s">
        <v>723</v>
      </c>
      <c r="D57" s="344">
        <f>Trans_Origin!E361</f>
        <v>0</v>
      </c>
      <c r="E57" s="5" t="s">
        <v>167</v>
      </c>
      <c r="F57" s="113" t="s">
        <v>806</v>
      </c>
      <c r="G57" s="343">
        <f>Trans_Origin!E389</f>
        <v>-296994.1361666601</v>
      </c>
      <c r="H57" s="5" t="s">
        <v>167</v>
      </c>
      <c r="I57" s="5"/>
      <c r="J57" s="5"/>
      <c r="K57" s="5"/>
      <c r="L57" s="6"/>
    </row>
    <row r="58" spans="1:12" ht="13.5" customHeight="1">
      <c r="A58" s="4"/>
      <c r="B58" s="5"/>
      <c r="C58" s="5"/>
      <c r="D58" s="5"/>
      <c r="E58" s="5"/>
      <c r="F58" s="5"/>
      <c r="G58" s="5"/>
      <c r="H58" s="5"/>
      <c r="I58" s="5"/>
      <c r="J58" s="5"/>
      <c r="K58" s="5"/>
      <c r="L58" s="6"/>
    </row>
    <row r="59" spans="1:12" ht="13.5" customHeight="1">
      <c r="A59" s="4"/>
      <c r="B59" s="5"/>
      <c r="C59" s="5"/>
      <c r="D59" s="5"/>
      <c r="E59" s="5"/>
      <c r="F59" s="5"/>
      <c r="G59" s="5"/>
      <c r="H59" s="5"/>
      <c r="I59" s="5"/>
      <c r="J59" s="5"/>
      <c r="K59" s="5"/>
      <c r="L59" s="6"/>
    </row>
    <row r="60" spans="1:12" ht="13.5" customHeight="1">
      <c r="A60" s="4"/>
      <c r="B60" s="5"/>
      <c r="C60" s="5" t="s">
        <v>793</v>
      </c>
      <c r="D60" s="5"/>
      <c r="E60" s="5"/>
      <c r="F60" s="5"/>
      <c r="G60" s="342">
        <f>SQRT((G55-D55)^2+(G56-D56)^2+(G57-D57)^2)</f>
        <v>311117.35060276074</v>
      </c>
      <c r="H60" s="5" t="s">
        <v>167</v>
      </c>
      <c r="I60" s="5"/>
      <c r="J60" s="5"/>
      <c r="K60" s="5"/>
      <c r="L60" s="6"/>
    </row>
    <row r="61" spans="1:12" ht="13.5" customHeight="1">
      <c r="A61" s="4"/>
      <c r="B61" s="5"/>
      <c r="C61" s="5"/>
      <c r="D61" s="5"/>
      <c r="E61" s="5"/>
      <c r="F61" s="5"/>
      <c r="G61" s="5"/>
      <c r="H61" s="5"/>
      <c r="I61" s="5"/>
      <c r="J61" s="5"/>
      <c r="K61" s="5"/>
      <c r="L61" s="6"/>
    </row>
    <row r="62" spans="1:12" ht="13.5" customHeight="1">
      <c r="A62" s="4"/>
      <c r="B62" s="5"/>
      <c r="C62" s="5" t="s">
        <v>1567</v>
      </c>
      <c r="D62" s="5"/>
      <c r="E62" s="5"/>
      <c r="F62" s="5"/>
      <c r="G62" s="5"/>
      <c r="H62" s="5"/>
      <c r="I62" s="5"/>
      <c r="J62" s="5"/>
      <c r="K62" s="5"/>
      <c r="L62" s="6"/>
    </row>
    <row r="63" spans="1:12" ht="13.5" customHeight="1" thickBot="1">
      <c r="A63" s="4"/>
      <c r="B63" s="5"/>
      <c r="C63" s="5"/>
      <c r="D63" s="26" t="s">
        <v>1568</v>
      </c>
      <c r="E63" s="41" t="s">
        <v>1569</v>
      </c>
      <c r="F63" s="5"/>
      <c r="G63" s="341">
        <f>(G55-D55)/$G$60</f>
        <v>0.2978750637227442</v>
      </c>
      <c r="H63" s="5"/>
      <c r="I63" s="5"/>
      <c r="J63" s="5"/>
      <c r="K63" s="5"/>
      <c r="L63" s="6"/>
    </row>
    <row r="64" spans="1:12" ht="13.5" customHeight="1" thickBot="1">
      <c r="A64" s="4"/>
      <c r="B64" s="5"/>
      <c r="C64" s="5"/>
      <c r="D64" s="26" t="s">
        <v>1570</v>
      </c>
      <c r="E64" s="41" t="s">
        <v>1663</v>
      </c>
      <c r="F64" s="5"/>
      <c r="G64" s="341">
        <f>(G56-D56)/$G$60</f>
        <v>-3.7418460140969647E-16</v>
      </c>
      <c r="H64" s="5"/>
      <c r="I64" s="199" t="s">
        <v>438</v>
      </c>
      <c r="J64" s="38"/>
      <c r="K64" s="39"/>
      <c r="L64" s="6"/>
    </row>
    <row r="65" spans="1:12" ht="13.5" customHeight="1" thickBot="1">
      <c r="A65" s="4"/>
      <c r="B65" s="5"/>
      <c r="C65" s="5"/>
      <c r="D65" s="26" t="s">
        <v>1664</v>
      </c>
      <c r="E65" s="41" t="s">
        <v>1665</v>
      </c>
      <c r="F65" s="5"/>
      <c r="G65" s="341">
        <f>(G57-D57)/$G$60</f>
        <v>-0.9546048640208005</v>
      </c>
      <c r="H65" s="5"/>
      <c r="I65" s="86" t="str">
        <f>IF(SQRT(G63^2+G64^2+G65^2)=1,"None","Not Unit Vector")</f>
        <v>None</v>
      </c>
      <c r="J65" s="116"/>
      <c r="K65" s="87"/>
      <c r="L65" s="6"/>
    </row>
    <row r="66" spans="1:12" ht="13.5" customHeight="1">
      <c r="A66" s="4"/>
      <c r="B66" s="5"/>
      <c r="C66" s="5"/>
      <c r="D66" s="5"/>
      <c r="E66" s="5"/>
      <c r="F66" s="5"/>
      <c r="G66" s="5"/>
      <c r="H66" s="5"/>
      <c r="I66" s="5"/>
      <c r="J66" s="5"/>
      <c r="K66" s="5"/>
      <c r="L66" s="6"/>
    </row>
    <row r="67" spans="1:12" ht="13.5" customHeight="1">
      <c r="A67" s="4"/>
      <c r="B67" s="5"/>
      <c r="C67" s="5"/>
      <c r="D67" s="5"/>
      <c r="E67" s="5"/>
      <c r="F67" s="5"/>
      <c r="G67" s="5"/>
      <c r="H67" s="5"/>
      <c r="I67" s="5"/>
      <c r="J67" s="5"/>
      <c r="K67" s="5"/>
      <c r="L67" s="6"/>
    </row>
    <row r="68" spans="1:12" ht="13.5" customHeight="1">
      <c r="A68" s="4"/>
      <c r="B68" s="5"/>
      <c r="C68" s="5" t="s">
        <v>706</v>
      </c>
      <c r="D68" s="5"/>
      <c r="E68" s="5"/>
      <c r="F68" s="5"/>
      <c r="G68" s="5"/>
      <c r="H68" s="5"/>
      <c r="I68" s="5"/>
      <c r="J68" s="5"/>
      <c r="K68" s="5"/>
      <c r="L68" s="6"/>
    </row>
    <row r="69" spans="1:12" ht="13.5" customHeight="1">
      <c r="A69" s="4"/>
      <c r="B69" s="5"/>
      <c r="C69" s="5" t="s">
        <v>707</v>
      </c>
      <c r="D69" s="5"/>
      <c r="E69" s="5"/>
      <c r="F69" s="5"/>
      <c r="G69" s="5"/>
      <c r="H69" s="5"/>
      <c r="I69" s="5"/>
      <c r="J69" s="5"/>
      <c r="K69" s="5"/>
      <c r="L69" s="6"/>
    </row>
    <row r="70" spans="1:12" ht="13.5" customHeight="1">
      <c r="A70" s="4"/>
      <c r="B70" s="5"/>
      <c r="C70" s="5"/>
      <c r="D70" s="5"/>
      <c r="E70" s="5"/>
      <c r="F70" s="5"/>
      <c r="G70" s="5"/>
      <c r="H70" s="5"/>
      <c r="I70" s="5"/>
      <c r="J70" s="5"/>
      <c r="K70" s="5"/>
      <c r="L70" s="6"/>
    </row>
    <row r="71" spans="1:12" ht="13.5" customHeight="1">
      <c r="A71" s="4"/>
      <c r="B71" s="5"/>
      <c r="C71" s="5"/>
      <c r="D71" s="5" t="s">
        <v>708</v>
      </c>
      <c r="E71" s="5"/>
      <c r="F71" s="5"/>
      <c r="G71" s="5"/>
      <c r="H71" s="5"/>
      <c r="I71" s="5"/>
      <c r="J71" s="5"/>
      <c r="K71" s="5"/>
      <c r="L71" s="6"/>
    </row>
    <row r="72" spans="1:12" ht="13.5" customHeight="1" thickBot="1">
      <c r="A72" s="4"/>
      <c r="B72" s="5"/>
      <c r="C72" s="5"/>
      <c r="D72" s="5"/>
      <c r="E72" s="26" t="s">
        <v>709</v>
      </c>
      <c r="F72" s="5" t="s">
        <v>710</v>
      </c>
      <c r="G72" s="341">
        <f>-1*G63</f>
        <v>-0.2978750637227442</v>
      </c>
      <c r="H72" s="5"/>
      <c r="I72" s="5"/>
      <c r="J72" s="5"/>
      <c r="K72" s="5"/>
      <c r="L72" s="6"/>
    </row>
    <row r="73" spans="1:12" ht="13.5" customHeight="1" thickBot="1">
      <c r="A73" s="4"/>
      <c r="B73" s="5"/>
      <c r="C73" s="5"/>
      <c r="D73" s="5"/>
      <c r="E73" s="26" t="s">
        <v>711</v>
      </c>
      <c r="F73" s="5" t="s">
        <v>712</v>
      </c>
      <c r="G73" s="341">
        <f>-1*G64</f>
        <v>3.7418460140969647E-16</v>
      </c>
      <c r="H73" s="5"/>
      <c r="I73" s="199" t="s">
        <v>1087</v>
      </c>
      <c r="J73" s="38"/>
      <c r="K73" s="39"/>
      <c r="L73" s="6"/>
    </row>
    <row r="74" spans="1:12" ht="13.5" customHeight="1" thickBot="1">
      <c r="A74" s="4"/>
      <c r="B74" s="5"/>
      <c r="C74" s="5"/>
      <c r="D74" s="5"/>
      <c r="E74" s="26" t="s">
        <v>713</v>
      </c>
      <c r="F74" s="5" t="s">
        <v>714</v>
      </c>
      <c r="G74" s="341">
        <f>-1*G65</f>
        <v>0.9546048640208005</v>
      </c>
      <c r="H74" s="5"/>
      <c r="I74" s="86" t="str">
        <f>IF(SQRT(G72^2+G73^2+G74^2)=1,"None","Not Unit Vector")</f>
        <v>None</v>
      </c>
      <c r="J74" s="116"/>
      <c r="K74" s="87"/>
      <c r="L74" s="6"/>
    </row>
    <row r="75" spans="1:12" ht="13.5" customHeight="1">
      <c r="A75" s="4"/>
      <c r="B75" s="5"/>
      <c r="C75" s="5"/>
      <c r="D75" s="5"/>
      <c r="E75" s="26"/>
      <c r="F75" s="5"/>
      <c r="G75" s="123"/>
      <c r="H75" s="5"/>
      <c r="I75" s="5"/>
      <c r="J75" s="5"/>
      <c r="K75" s="5"/>
      <c r="L75" s="6"/>
    </row>
    <row r="76" spans="1:12" ht="13.5" customHeight="1">
      <c r="A76" s="4"/>
      <c r="B76" s="5"/>
      <c r="C76" s="5"/>
      <c r="D76" s="5" t="s">
        <v>715</v>
      </c>
      <c r="E76" s="26"/>
      <c r="F76" s="53">
        <f>SPH_REC!F330</f>
        <v>250</v>
      </c>
      <c r="G76" s="123" t="s">
        <v>716</v>
      </c>
      <c r="H76" s="114">
        <f>F76/1000</f>
        <v>0.25</v>
      </c>
      <c r="I76" s="5" t="s">
        <v>717</v>
      </c>
      <c r="J76" s="52"/>
      <c r="K76" s="5"/>
      <c r="L76" s="6"/>
    </row>
    <row r="77" spans="1:12" ht="13.5" customHeight="1">
      <c r="A77" s="4"/>
      <c r="B77" s="5"/>
      <c r="C77" s="5"/>
      <c r="D77" s="5"/>
      <c r="E77" s="5"/>
      <c r="F77" s="52"/>
      <c r="G77" s="5"/>
      <c r="H77" s="5"/>
      <c r="I77" s="5"/>
      <c r="J77" s="5"/>
      <c r="K77" s="5"/>
      <c r="L77" s="6"/>
    </row>
    <row r="78" spans="1:12" ht="13.5" customHeight="1" thickBot="1">
      <c r="A78" s="4"/>
      <c r="B78" s="5"/>
      <c r="C78" s="22" t="s">
        <v>1739</v>
      </c>
      <c r="D78" s="5"/>
      <c r="E78" s="5"/>
      <c r="F78" s="5"/>
      <c r="G78" s="5"/>
      <c r="H78" s="5"/>
      <c r="L78" s="6"/>
    </row>
    <row r="79" spans="1:12" ht="13.5" customHeight="1" thickBot="1">
      <c r="A79" s="4"/>
      <c r="B79" s="5"/>
      <c r="C79" s="5"/>
      <c r="D79" s="5"/>
      <c r="E79" s="5"/>
      <c r="F79" s="5"/>
      <c r="G79" s="5"/>
      <c r="H79" s="5"/>
      <c r="I79" s="199" t="s">
        <v>724</v>
      </c>
      <c r="J79" s="38"/>
      <c r="K79" s="39"/>
      <c r="L79" s="6"/>
    </row>
    <row r="80" spans="1:12" ht="13.5" customHeight="1" thickBot="1">
      <c r="A80" s="4"/>
      <c r="B80" s="5"/>
      <c r="C80" s="5"/>
      <c r="D80" s="26" t="s">
        <v>725</v>
      </c>
      <c r="E80" s="5" t="s">
        <v>37</v>
      </c>
      <c r="F80" s="5"/>
      <c r="G80" s="341">
        <f>(G72*H76)</f>
        <v>-0.07446876593068605</v>
      </c>
      <c r="H80" s="52" t="s">
        <v>167</v>
      </c>
      <c r="I80" s="86" t="str">
        <f>IF(((TRUNC(G80*1000000000))/1000000000)&lt;=0,"None","X value must be Negative or Zero")</f>
        <v>None</v>
      </c>
      <c r="J80" s="200"/>
      <c r="K80" s="201"/>
      <c r="L80" s="6"/>
    </row>
    <row r="81" spans="1:12" ht="13.5" customHeight="1" thickBot="1">
      <c r="A81" s="4"/>
      <c r="B81" s="5"/>
      <c r="C81" s="5"/>
      <c r="D81" s="26" t="s">
        <v>812</v>
      </c>
      <c r="E81" s="5" t="s">
        <v>36</v>
      </c>
      <c r="F81" s="5"/>
      <c r="G81" s="341">
        <f>G73*H76</f>
        <v>9.354615035242412E-17</v>
      </c>
      <c r="H81" s="5" t="s">
        <v>167</v>
      </c>
      <c r="I81" s="86" t="str">
        <f>IF((TRUNC(G81*1000))/1000=0,"None","Y must equal Zero")</f>
        <v>None</v>
      </c>
      <c r="J81" s="200"/>
      <c r="K81" s="201"/>
      <c r="L81" s="6"/>
    </row>
    <row r="82" spans="1:12" ht="13.5" customHeight="1" thickBot="1">
      <c r="A82" s="4"/>
      <c r="B82" s="5"/>
      <c r="C82" s="5"/>
      <c r="D82" s="26" t="s">
        <v>813</v>
      </c>
      <c r="E82" s="5" t="s">
        <v>35</v>
      </c>
      <c r="F82" s="5"/>
      <c r="G82" s="341">
        <f>G74*H76</f>
        <v>0.23865121600520012</v>
      </c>
      <c r="H82" s="5" t="s">
        <v>167</v>
      </c>
      <c r="I82" s="86" t="str">
        <f>IF(G82&gt;=0,"None","Z mut be Positive")</f>
        <v>None</v>
      </c>
      <c r="J82" s="200"/>
      <c r="K82" s="201"/>
      <c r="L82" s="6"/>
    </row>
    <row r="83" spans="1:12" ht="13.5" customHeight="1">
      <c r="A83" s="4"/>
      <c r="B83" s="5"/>
      <c r="C83" s="5"/>
      <c r="D83" s="5"/>
      <c r="E83" s="5"/>
      <c r="F83" s="5"/>
      <c r="G83" s="5"/>
      <c r="H83" s="5"/>
      <c r="I83" s="5"/>
      <c r="J83" s="5"/>
      <c r="K83" s="5"/>
      <c r="L83" s="6"/>
    </row>
    <row r="84" spans="1:12" ht="13.5" customHeight="1" thickBot="1">
      <c r="A84" s="7"/>
      <c r="B84" s="8"/>
      <c r="C84" s="8"/>
      <c r="D84" s="8"/>
      <c r="E84" s="8"/>
      <c r="F84" s="8"/>
      <c r="G84" s="8"/>
      <c r="H84" s="8"/>
      <c r="I84" s="8"/>
      <c r="J84" s="8"/>
      <c r="K84" s="8"/>
      <c r="L84" s="9"/>
    </row>
    <row r="86" spans="1:12" ht="13.5" thickBot="1">
      <c r="A86" s="5"/>
      <c r="B86" s="5"/>
      <c r="C86" s="5"/>
      <c r="D86" s="5"/>
      <c r="E86" s="5"/>
      <c r="F86" s="5"/>
      <c r="G86" s="5"/>
      <c r="H86" s="5"/>
      <c r="I86" s="5"/>
      <c r="J86" s="5"/>
      <c r="K86" s="5"/>
      <c r="L86" s="5"/>
    </row>
    <row r="87" spans="1:12" ht="13.5" customHeight="1">
      <c r="A87" s="1"/>
      <c r="B87" s="2"/>
      <c r="C87" s="2"/>
      <c r="D87" s="2"/>
      <c r="E87" s="2"/>
      <c r="F87" s="2"/>
      <c r="G87" s="2"/>
      <c r="H87" s="2"/>
      <c r="I87" s="2"/>
      <c r="J87" s="2"/>
      <c r="K87" s="2"/>
      <c r="L87" s="3"/>
    </row>
    <row r="88" spans="1:12" ht="13.5" customHeight="1">
      <c r="A88" s="14" t="s">
        <v>1680</v>
      </c>
      <c r="B88" s="5"/>
      <c r="C88" s="5"/>
      <c r="D88" s="5"/>
      <c r="E88" s="5"/>
      <c r="F88" s="5"/>
      <c r="G88" s="5"/>
      <c r="H88" s="5"/>
      <c r="I88" s="5"/>
      <c r="J88" s="5"/>
      <c r="K88" s="5"/>
      <c r="L88" s="6"/>
    </row>
    <row r="89" spans="1:12" ht="13.5" customHeight="1">
      <c r="A89" s="14"/>
      <c r="B89" s="5"/>
      <c r="C89" s="5"/>
      <c r="D89" s="5"/>
      <c r="E89" s="5"/>
      <c r="F89" s="5"/>
      <c r="G89" s="5"/>
      <c r="H89" s="5"/>
      <c r="I89" s="5"/>
      <c r="J89" s="5"/>
      <c r="K89" s="5"/>
      <c r="L89" s="6"/>
    </row>
    <row r="90" spans="1:12" ht="13.5" customHeight="1">
      <c r="A90" s="14"/>
      <c r="B90" s="5" t="s">
        <v>543</v>
      </c>
      <c r="C90" s="5"/>
      <c r="D90" s="5"/>
      <c r="E90" s="5"/>
      <c r="F90" s="5"/>
      <c r="G90" s="5"/>
      <c r="H90" s="5"/>
      <c r="I90" s="5"/>
      <c r="J90" s="5"/>
      <c r="K90" s="5"/>
      <c r="L90" s="6"/>
    </row>
    <row r="91" spans="1:12" ht="13.5" customHeight="1">
      <c r="A91" s="14"/>
      <c r="B91" s="5"/>
      <c r="C91" s="5" t="s">
        <v>1285</v>
      </c>
      <c r="D91" s="5"/>
      <c r="E91" s="5"/>
      <c r="F91" s="5"/>
      <c r="G91" s="5"/>
      <c r="H91" s="5"/>
      <c r="I91" s="5"/>
      <c r="J91" s="5"/>
      <c r="K91" s="5"/>
      <c r="L91" s="6"/>
    </row>
    <row r="92" spans="1:12" ht="13.5" customHeight="1">
      <c r="A92" s="14"/>
      <c r="B92" s="5"/>
      <c r="C92" s="5" t="s">
        <v>1115</v>
      </c>
      <c r="D92" s="5"/>
      <c r="E92" s="5"/>
      <c r="F92" s="5"/>
      <c r="G92" s="5"/>
      <c r="H92" s="5"/>
      <c r="I92" s="5"/>
      <c r="J92" s="5"/>
      <c r="K92" s="5"/>
      <c r="L92" s="6"/>
    </row>
    <row r="93" spans="1:12" ht="13.5" customHeight="1">
      <c r="A93" s="14"/>
      <c r="B93" s="5"/>
      <c r="C93" s="5" t="s">
        <v>1213</v>
      </c>
      <c r="D93" s="5"/>
      <c r="E93" s="5"/>
      <c r="F93" s="5"/>
      <c r="G93" s="5"/>
      <c r="H93" s="5"/>
      <c r="I93" s="5"/>
      <c r="J93" s="5"/>
      <c r="K93" s="5"/>
      <c r="L93" s="6"/>
    </row>
    <row r="94" spans="1:12" ht="13.5" customHeight="1">
      <c r="A94" s="14"/>
      <c r="B94" s="5"/>
      <c r="C94" s="5" t="s">
        <v>1308</v>
      </c>
      <c r="D94" s="5"/>
      <c r="E94" s="5"/>
      <c r="F94" s="5"/>
      <c r="G94" s="5"/>
      <c r="H94" s="5"/>
      <c r="I94" s="5"/>
      <c r="J94" s="5"/>
      <c r="K94" s="5"/>
      <c r="L94" s="6"/>
    </row>
    <row r="95" spans="1:12" ht="13.5" customHeight="1">
      <c r="A95" s="14"/>
      <c r="B95" s="5"/>
      <c r="C95" s="5"/>
      <c r="D95" s="5"/>
      <c r="E95" s="5"/>
      <c r="F95" s="5"/>
      <c r="G95" s="5"/>
      <c r="H95" s="5"/>
      <c r="I95" s="5"/>
      <c r="J95" s="5"/>
      <c r="K95" s="5"/>
      <c r="L95" s="6"/>
    </row>
    <row r="96" spans="1:12" ht="13.5" customHeight="1">
      <c r="A96" s="14"/>
      <c r="B96" s="5"/>
      <c r="C96" s="5"/>
      <c r="D96" s="5"/>
      <c r="E96" s="5"/>
      <c r="F96" s="5"/>
      <c r="G96" s="5"/>
      <c r="H96" s="5"/>
      <c r="I96" s="5"/>
      <c r="J96" s="5"/>
      <c r="K96" s="5"/>
      <c r="L96" s="6"/>
    </row>
    <row r="97" spans="1:12" ht="13.5" customHeight="1">
      <c r="A97" s="14"/>
      <c r="B97" s="5"/>
      <c r="C97" s="5"/>
      <c r="D97" s="5" t="s">
        <v>523</v>
      </c>
      <c r="E97" s="5"/>
      <c r="F97" s="5"/>
      <c r="G97" s="5"/>
      <c r="H97" s="5"/>
      <c r="I97" s="5"/>
      <c r="J97" s="5"/>
      <c r="K97" s="5"/>
      <c r="L97" s="6"/>
    </row>
    <row r="98" spans="1:12" ht="13.5" customHeight="1">
      <c r="A98" s="14"/>
      <c r="B98" s="5"/>
      <c r="C98" s="5"/>
      <c r="D98" s="5"/>
      <c r="E98" s="5"/>
      <c r="F98" s="5"/>
      <c r="G98" s="5"/>
      <c r="H98" s="5"/>
      <c r="I98" s="5"/>
      <c r="J98" s="5"/>
      <c r="K98" s="5"/>
      <c r="L98" s="6"/>
    </row>
    <row r="99" spans="1:12" ht="13.5" customHeight="1">
      <c r="A99" s="14"/>
      <c r="B99" s="5"/>
      <c r="C99" s="5"/>
      <c r="D99" s="5"/>
      <c r="E99" s="41" t="s">
        <v>522</v>
      </c>
      <c r="F99" s="5"/>
      <c r="G99" s="5"/>
      <c r="H99" s="5"/>
      <c r="I99" s="5"/>
      <c r="J99" s="5"/>
      <c r="K99" s="5"/>
      <c r="L99" s="6"/>
    </row>
    <row r="100" spans="1:12" ht="13.5" customHeight="1">
      <c r="A100" s="14"/>
      <c r="B100" s="5"/>
      <c r="C100" s="5"/>
      <c r="D100" s="5"/>
      <c r="E100" s="5"/>
      <c r="F100" s="5"/>
      <c r="G100" s="5"/>
      <c r="H100" s="5"/>
      <c r="I100" s="5"/>
      <c r="J100" s="5"/>
      <c r="K100" s="5"/>
      <c r="L100" s="6"/>
    </row>
    <row r="101" spans="1:12" ht="13.5" customHeight="1">
      <c r="A101" s="14"/>
      <c r="B101" s="5"/>
      <c r="C101" s="5"/>
      <c r="D101" s="5"/>
      <c r="E101" s="137" t="s">
        <v>1797</v>
      </c>
      <c r="F101" s="5"/>
      <c r="G101" s="5"/>
      <c r="H101" s="5"/>
      <c r="I101" s="5"/>
      <c r="J101" s="5"/>
      <c r="K101" s="5"/>
      <c r="L101" s="6"/>
    </row>
    <row r="102" spans="1:12" ht="13.5" customHeight="1">
      <c r="A102" s="14"/>
      <c r="B102" s="5"/>
      <c r="C102" s="5"/>
      <c r="D102" s="5"/>
      <c r="E102" s="5"/>
      <c r="F102" s="5"/>
      <c r="G102" s="5"/>
      <c r="H102" s="5"/>
      <c r="I102" s="5"/>
      <c r="J102" s="5"/>
      <c r="K102" s="5"/>
      <c r="L102" s="6"/>
    </row>
    <row r="103" spans="1:12" ht="13.5" customHeight="1">
      <c r="A103" s="14"/>
      <c r="B103" s="5"/>
      <c r="C103" s="5"/>
      <c r="D103" s="5"/>
      <c r="E103" s="5"/>
      <c r="F103" s="5"/>
      <c r="G103" s="5"/>
      <c r="H103" s="5"/>
      <c r="I103" s="5"/>
      <c r="J103" s="5"/>
      <c r="K103" s="5"/>
      <c r="L103" s="6"/>
    </row>
    <row r="104" spans="1:12" ht="13.5" customHeight="1">
      <c r="A104" s="14"/>
      <c r="B104" s="5"/>
      <c r="C104" s="5"/>
      <c r="D104" s="22" t="s">
        <v>1694</v>
      </c>
      <c r="E104" s="5"/>
      <c r="F104" s="5"/>
      <c r="G104" s="5"/>
      <c r="H104" s="5"/>
      <c r="I104" s="5"/>
      <c r="J104" s="5"/>
      <c r="K104" s="5"/>
      <c r="L104" s="6"/>
    </row>
    <row r="105" spans="1:12" ht="13.5" customHeight="1">
      <c r="A105" s="14"/>
      <c r="B105" s="5"/>
      <c r="C105" s="5"/>
      <c r="D105" s="5"/>
      <c r="E105" s="5"/>
      <c r="F105" s="5"/>
      <c r="G105" s="5"/>
      <c r="H105" s="5"/>
      <c r="I105" s="5"/>
      <c r="J105" s="5"/>
      <c r="K105" s="5"/>
      <c r="L105" s="6"/>
    </row>
    <row r="106" spans="1:12" ht="13.5" customHeight="1">
      <c r="A106" s="14"/>
      <c r="B106" s="5"/>
      <c r="C106" s="5"/>
      <c r="D106" s="5"/>
      <c r="E106" s="5"/>
      <c r="F106" s="5"/>
      <c r="G106" s="5"/>
      <c r="H106" s="5"/>
      <c r="I106" s="5"/>
      <c r="J106" s="5"/>
      <c r="K106" s="5"/>
      <c r="L106" s="6"/>
    </row>
    <row r="107" spans="1:12" ht="13.5" customHeight="1">
      <c r="A107" s="14"/>
      <c r="B107" s="5"/>
      <c r="C107" s="5"/>
      <c r="D107" s="5"/>
      <c r="E107" s="5"/>
      <c r="F107" s="5"/>
      <c r="G107" s="5"/>
      <c r="H107" s="5"/>
      <c r="I107" s="5"/>
      <c r="J107" s="5"/>
      <c r="K107" s="5"/>
      <c r="L107" s="6"/>
    </row>
    <row r="108" spans="1:12" ht="13.5" customHeight="1">
      <c r="A108" s="14"/>
      <c r="B108" s="5"/>
      <c r="C108" s="5"/>
      <c r="D108" s="5"/>
      <c r="E108" s="137" t="s">
        <v>1603</v>
      </c>
      <c r="F108" s="5"/>
      <c r="G108" s="5"/>
      <c r="H108" s="5"/>
      <c r="I108" s="5"/>
      <c r="J108" s="5"/>
      <c r="K108" s="5"/>
      <c r="L108" s="6"/>
    </row>
    <row r="109" spans="1:12" ht="13.5" customHeight="1">
      <c r="A109" s="14"/>
      <c r="B109" s="5"/>
      <c r="C109" s="5"/>
      <c r="D109" s="5"/>
      <c r="E109" s="5"/>
      <c r="F109" s="5"/>
      <c r="G109" s="5"/>
      <c r="H109" s="5"/>
      <c r="I109" s="5"/>
      <c r="J109" s="5"/>
      <c r="K109" s="5"/>
      <c r="L109" s="6"/>
    </row>
    <row r="110" spans="1:12" ht="13.5" customHeight="1">
      <c r="A110" s="14"/>
      <c r="B110" s="5"/>
      <c r="C110" s="5"/>
      <c r="D110" s="5"/>
      <c r="E110" s="5"/>
      <c r="F110" s="5"/>
      <c r="G110" s="5"/>
      <c r="H110" s="5"/>
      <c r="I110" s="5"/>
      <c r="J110" s="5"/>
      <c r="K110" s="5"/>
      <c r="L110" s="6"/>
    </row>
    <row r="111" spans="1:12" ht="13.5" customHeight="1">
      <c r="A111" s="14"/>
      <c r="B111" s="5"/>
      <c r="C111" s="5"/>
      <c r="D111" s="5"/>
      <c r="E111" s="5" t="s">
        <v>1604</v>
      </c>
      <c r="F111" s="5"/>
      <c r="G111" s="5"/>
      <c r="H111" s="5"/>
      <c r="I111" s="5"/>
      <c r="J111" s="5"/>
      <c r="K111" s="5"/>
      <c r="L111" s="6"/>
    </row>
    <row r="112" spans="1:12" ht="13.5" customHeight="1">
      <c r="A112" s="14"/>
      <c r="B112" s="5"/>
      <c r="C112" s="5"/>
      <c r="D112" s="5"/>
      <c r="E112" s="5"/>
      <c r="F112" s="5"/>
      <c r="G112" s="5"/>
      <c r="H112" s="5"/>
      <c r="I112" s="5"/>
      <c r="J112" s="5"/>
      <c r="K112" s="5"/>
      <c r="L112" s="6"/>
    </row>
    <row r="113" spans="1:12" ht="13.5" customHeight="1">
      <c r="A113" s="14"/>
      <c r="B113" s="5"/>
      <c r="C113" s="5"/>
      <c r="D113" s="140" t="s">
        <v>1605</v>
      </c>
      <c r="E113" s="5"/>
      <c r="F113" s="5"/>
      <c r="G113" s="5"/>
      <c r="H113" s="5"/>
      <c r="I113" s="5"/>
      <c r="J113" s="5"/>
      <c r="K113" s="5"/>
      <c r="L113" s="6"/>
    </row>
    <row r="114" spans="1:12" ht="13.5" customHeight="1">
      <c r="A114" s="4"/>
      <c r="B114" s="5"/>
      <c r="C114" s="5"/>
      <c r="D114" s="5"/>
      <c r="E114" s="5"/>
      <c r="F114" s="5"/>
      <c r="G114" s="5"/>
      <c r="H114" s="5"/>
      <c r="I114" s="5"/>
      <c r="J114" s="5"/>
      <c r="K114" s="5"/>
      <c r="L114" s="6"/>
    </row>
    <row r="115" spans="1:12" ht="13.5" customHeight="1">
      <c r="A115" s="4"/>
      <c r="B115" s="138" t="s">
        <v>742</v>
      </c>
      <c r="C115" s="5"/>
      <c r="D115" s="5"/>
      <c r="E115" s="5"/>
      <c r="F115" s="5"/>
      <c r="G115" s="5"/>
      <c r="H115" s="5"/>
      <c r="I115" s="5"/>
      <c r="J115" s="5"/>
      <c r="K115" s="5"/>
      <c r="L115" s="6"/>
    </row>
    <row r="116" spans="1:12" ht="15.75">
      <c r="A116" s="4"/>
      <c r="B116" s="110"/>
      <c r="C116" s="139" t="s">
        <v>743</v>
      </c>
      <c r="D116" s="5"/>
      <c r="E116" s="5"/>
      <c r="F116" s="5"/>
      <c r="G116" s="5"/>
      <c r="H116" s="5"/>
      <c r="I116" s="5"/>
      <c r="J116" s="5"/>
      <c r="K116" s="5"/>
      <c r="L116" s="6"/>
    </row>
    <row r="117" spans="1:12" ht="12.75">
      <c r="A117" s="4"/>
      <c r="B117" s="5"/>
      <c r="C117" s="5"/>
      <c r="D117" s="5"/>
      <c r="E117" s="5"/>
      <c r="F117" s="5"/>
      <c r="G117" s="5"/>
      <c r="H117" s="5"/>
      <c r="I117" s="5"/>
      <c r="J117" s="5"/>
      <c r="K117" s="5"/>
      <c r="L117" s="6"/>
    </row>
    <row r="118" spans="1:12" ht="12.75">
      <c r="A118" s="4"/>
      <c r="B118" s="5" t="s">
        <v>1747</v>
      </c>
      <c r="C118" s="5"/>
      <c r="D118" s="5"/>
      <c r="E118" s="5"/>
      <c r="F118" s="5"/>
      <c r="G118" s="5"/>
      <c r="H118" s="5"/>
      <c r="I118" s="5"/>
      <c r="J118" s="5"/>
      <c r="K118" s="5"/>
      <c r="L118" s="6"/>
    </row>
    <row r="119" spans="1:12" ht="19.5" customHeight="1">
      <c r="A119" s="4"/>
      <c r="B119" s="5"/>
      <c r="C119" s="5"/>
      <c r="D119" s="5"/>
      <c r="E119" s="5"/>
      <c r="F119" s="5"/>
      <c r="G119" s="5"/>
      <c r="H119" s="5"/>
      <c r="I119" s="5"/>
      <c r="J119" s="5"/>
      <c r="K119" s="5"/>
      <c r="L119" s="6"/>
    </row>
    <row r="120" spans="1:12" ht="13.5" customHeight="1">
      <c r="A120" s="4"/>
      <c r="B120" s="5"/>
      <c r="C120" s="5" t="s">
        <v>1748</v>
      </c>
      <c r="D120" s="5"/>
      <c r="E120" s="5"/>
      <c r="F120" s="5"/>
      <c r="G120" s="5"/>
      <c r="H120" s="5"/>
      <c r="I120" s="5"/>
      <c r="J120" s="5"/>
      <c r="K120" s="5"/>
      <c r="L120" s="6"/>
    </row>
    <row r="121" spans="1:12" ht="13.5" customHeight="1">
      <c r="A121" s="4"/>
      <c r="B121" s="5"/>
      <c r="C121" s="5" t="s">
        <v>1775</v>
      </c>
      <c r="D121" s="5"/>
      <c r="E121" s="5"/>
      <c r="F121" s="5"/>
      <c r="G121" s="5"/>
      <c r="H121" s="5"/>
      <c r="I121" s="5"/>
      <c r="J121" s="5"/>
      <c r="K121" s="5"/>
      <c r="L121" s="6"/>
    </row>
    <row r="122" spans="1:12" ht="13.5" customHeight="1">
      <c r="A122" s="4"/>
      <c r="B122" s="5"/>
      <c r="C122" s="5" t="s">
        <v>757</v>
      </c>
      <c r="D122" s="5"/>
      <c r="E122" s="5"/>
      <c r="F122" s="5"/>
      <c r="G122" s="5"/>
      <c r="H122" s="5"/>
      <c r="I122" s="5"/>
      <c r="J122" s="5"/>
      <c r="K122" s="5"/>
      <c r="L122" s="6"/>
    </row>
    <row r="123" spans="1:12" ht="13.5" customHeight="1">
      <c r="A123" s="4"/>
      <c r="B123" s="5"/>
      <c r="C123" s="5"/>
      <c r="D123" s="5"/>
      <c r="E123" s="5"/>
      <c r="F123" s="5"/>
      <c r="G123" s="5"/>
      <c r="H123" s="5"/>
      <c r="I123" s="5"/>
      <c r="J123" s="5"/>
      <c r="K123" s="5"/>
      <c r="L123" s="6"/>
    </row>
    <row r="124" spans="1:12" ht="13.5" customHeight="1" thickBot="1">
      <c r="A124" s="7"/>
      <c r="B124" s="8"/>
      <c r="C124" s="8"/>
      <c r="D124" s="8"/>
      <c r="E124" s="8"/>
      <c r="F124" s="8"/>
      <c r="G124" s="8"/>
      <c r="H124" s="8"/>
      <c r="I124" s="8"/>
      <c r="J124" s="8"/>
      <c r="K124" s="8"/>
      <c r="L124" s="9"/>
    </row>
    <row r="125" spans="1:12" ht="13.5" customHeight="1">
      <c r="A125" s="5"/>
      <c r="B125" s="5"/>
      <c r="C125" s="5"/>
      <c r="D125" s="5"/>
      <c r="E125" s="5"/>
      <c r="F125" s="5"/>
      <c r="G125" s="5"/>
      <c r="H125" s="5"/>
      <c r="I125" s="5"/>
      <c r="J125" s="5"/>
      <c r="K125" s="5"/>
      <c r="L125" s="5"/>
    </row>
    <row r="126" ht="13.5" customHeight="1" thickBot="1"/>
    <row r="127" spans="1:12" ht="13.5" customHeight="1">
      <c r="A127" s="1"/>
      <c r="B127" s="2"/>
      <c r="C127" s="2"/>
      <c r="D127" s="2"/>
      <c r="E127" s="2"/>
      <c r="F127" s="2"/>
      <c r="G127" s="2"/>
      <c r="H127" s="2"/>
      <c r="I127" s="2"/>
      <c r="J127" s="2"/>
      <c r="K127" s="2"/>
      <c r="L127" s="3"/>
    </row>
    <row r="128" spans="1:12" ht="13.5" customHeight="1">
      <c r="A128" s="14" t="s">
        <v>1401</v>
      </c>
      <c r="B128" s="5"/>
      <c r="C128" s="5"/>
      <c r="D128" s="5"/>
      <c r="E128" s="5"/>
      <c r="F128" s="5"/>
      <c r="G128" s="5"/>
      <c r="H128" s="5"/>
      <c r="I128" s="5"/>
      <c r="J128" s="5"/>
      <c r="K128" s="5"/>
      <c r="L128" s="6"/>
    </row>
    <row r="129" spans="1:12" ht="13.5" customHeight="1">
      <c r="A129" s="4"/>
      <c r="B129" s="5"/>
      <c r="C129" s="5"/>
      <c r="D129" s="5"/>
      <c r="E129" s="5"/>
      <c r="F129" s="5"/>
      <c r="G129" s="5"/>
      <c r="H129" s="5"/>
      <c r="I129" s="5"/>
      <c r="J129" s="5"/>
      <c r="K129" s="5"/>
      <c r="L129" s="6"/>
    </row>
    <row r="130" spans="1:12" ht="13.5" customHeight="1">
      <c r="A130" s="4"/>
      <c r="B130" s="5" t="s">
        <v>741</v>
      </c>
      <c r="C130" s="5"/>
      <c r="D130" s="5"/>
      <c r="E130" s="5"/>
      <c r="F130" s="5"/>
      <c r="G130" s="5"/>
      <c r="H130" s="5"/>
      <c r="I130" s="5"/>
      <c r="J130" s="5"/>
      <c r="K130" s="5"/>
      <c r="L130" s="6"/>
    </row>
    <row r="131" spans="1:12" ht="13.5" customHeight="1">
      <c r="A131" s="4"/>
      <c r="B131" s="5"/>
      <c r="C131" s="5"/>
      <c r="D131" s="5"/>
      <c r="E131" s="5"/>
      <c r="F131" s="5"/>
      <c r="G131" s="5"/>
      <c r="H131" s="5"/>
      <c r="I131" s="5"/>
      <c r="J131" s="5"/>
      <c r="K131" s="5"/>
      <c r="L131" s="6"/>
    </row>
    <row r="132" spans="1:12" ht="13.5" customHeight="1">
      <c r="A132" s="4"/>
      <c r="B132" s="147" t="s">
        <v>1746</v>
      </c>
      <c r="C132" s="5" t="s">
        <v>535</v>
      </c>
      <c r="D132" s="5"/>
      <c r="E132" s="5"/>
      <c r="F132" s="5"/>
      <c r="G132" s="5"/>
      <c r="H132" s="5"/>
      <c r="I132" s="5"/>
      <c r="J132" s="5"/>
      <c r="K132" s="5"/>
      <c r="L132" s="6"/>
    </row>
    <row r="133" spans="1:12" ht="13.5" customHeight="1">
      <c r="A133" s="4"/>
      <c r="B133" s="5"/>
      <c r="C133" s="5"/>
      <c r="D133" s="5"/>
      <c r="E133" s="5"/>
      <c r="F133" s="5"/>
      <c r="G133" s="5"/>
      <c r="H133" s="5"/>
      <c r="I133" s="5"/>
      <c r="J133" s="5"/>
      <c r="K133" s="5"/>
      <c r="L133" s="6"/>
    </row>
    <row r="134" spans="1:12" ht="13.5" customHeight="1">
      <c r="A134" s="4"/>
      <c r="B134" s="5"/>
      <c r="C134" s="5" t="s">
        <v>538</v>
      </c>
      <c r="D134" s="5"/>
      <c r="E134" s="5"/>
      <c r="F134" s="5"/>
      <c r="G134" s="5"/>
      <c r="H134" s="5"/>
      <c r="I134" s="5"/>
      <c r="J134" s="5"/>
      <c r="K134" s="5"/>
      <c r="L134" s="6"/>
    </row>
    <row r="135" spans="1:12" ht="13.5" customHeight="1">
      <c r="A135" s="4"/>
      <c r="B135" s="5"/>
      <c r="C135" s="5"/>
      <c r="D135" s="5"/>
      <c r="E135" s="5"/>
      <c r="F135" s="5"/>
      <c r="G135" s="5"/>
      <c r="H135" s="5"/>
      <c r="I135" s="5"/>
      <c r="J135" s="5"/>
      <c r="K135" s="5"/>
      <c r="L135" s="6"/>
    </row>
    <row r="136" spans="1:12" ht="13.5" customHeight="1">
      <c r="A136" s="4"/>
      <c r="B136" s="5"/>
      <c r="C136" s="5"/>
      <c r="D136" s="22" t="s">
        <v>539</v>
      </c>
      <c r="E136" s="5"/>
      <c r="F136" s="26" t="s">
        <v>1568</v>
      </c>
      <c r="G136" s="152">
        <f>Rec_Photo!G63</f>
        <v>0.2978750637227442</v>
      </c>
      <c r="H136" s="5"/>
      <c r="I136" s="5"/>
      <c r="J136" s="5"/>
      <c r="K136" s="5"/>
      <c r="L136" s="6"/>
    </row>
    <row r="137" spans="1:12" ht="13.5" customHeight="1">
      <c r="A137" s="4"/>
      <c r="B137" s="5"/>
      <c r="C137" s="5"/>
      <c r="D137" s="5"/>
      <c r="E137" s="5"/>
      <c r="F137" s="26" t="s">
        <v>1570</v>
      </c>
      <c r="G137" s="152">
        <f>Rec_Photo!G64</f>
        <v>-3.7418460140969647E-16</v>
      </c>
      <c r="H137" s="5"/>
      <c r="I137" s="5"/>
      <c r="J137" s="5"/>
      <c r="K137" s="5"/>
      <c r="L137" s="6"/>
    </row>
    <row r="138" spans="1:12" ht="13.5" customHeight="1">
      <c r="A138" s="4"/>
      <c r="B138" s="5"/>
      <c r="C138" s="5"/>
      <c r="D138" s="5"/>
      <c r="E138" s="5"/>
      <c r="F138" s="26" t="s">
        <v>1664</v>
      </c>
      <c r="G138" s="152">
        <f>Rec_Photo!G65</f>
        <v>-0.9546048640208005</v>
      </c>
      <c r="H138" s="5"/>
      <c r="J138" s="5"/>
      <c r="K138" s="5"/>
      <c r="L138" s="6"/>
    </row>
    <row r="139" spans="1:12" ht="13.5" customHeight="1">
      <c r="A139" s="4"/>
      <c r="B139" s="5"/>
      <c r="C139" s="5"/>
      <c r="D139" s="5"/>
      <c r="E139" s="5"/>
      <c r="F139" s="5"/>
      <c r="G139" s="5"/>
      <c r="H139" s="5"/>
      <c r="I139" s="5"/>
      <c r="J139" s="5"/>
      <c r="K139" s="5"/>
      <c r="L139" s="6"/>
    </row>
    <row r="140" spans="1:12" ht="13.5" customHeight="1">
      <c r="A140" s="4"/>
      <c r="B140" s="5"/>
      <c r="C140" s="5"/>
      <c r="D140" s="5"/>
      <c r="E140" s="5"/>
      <c r="F140" s="5"/>
      <c r="G140" s="5"/>
      <c r="H140" s="5"/>
      <c r="I140" s="5"/>
      <c r="J140" s="5"/>
      <c r="K140" s="5"/>
      <c r="L140" s="6"/>
    </row>
    <row r="141" spans="1:12" ht="13.5" customHeight="1">
      <c r="A141" s="4"/>
      <c r="B141" s="147" t="s">
        <v>618</v>
      </c>
      <c r="C141" s="5" t="s">
        <v>760</v>
      </c>
      <c r="D141" s="5"/>
      <c r="E141" s="5"/>
      <c r="F141" s="5"/>
      <c r="G141" s="5"/>
      <c r="H141" s="5"/>
      <c r="I141" s="5"/>
      <c r="J141" s="5"/>
      <c r="K141" s="5"/>
      <c r="L141" s="6"/>
    </row>
    <row r="142" spans="1:12" ht="13.5" customHeight="1">
      <c r="A142" s="4"/>
      <c r="B142" s="22"/>
      <c r="C142" s="5"/>
      <c r="D142" s="5"/>
      <c r="E142" s="5"/>
      <c r="F142" s="5"/>
      <c r="G142" s="5"/>
      <c r="H142" s="5"/>
      <c r="I142" s="5"/>
      <c r="J142" s="5"/>
      <c r="K142" s="5"/>
      <c r="L142" s="6"/>
    </row>
    <row r="143" spans="1:12" ht="13.5" customHeight="1">
      <c r="A143" s="4"/>
      <c r="B143" s="22"/>
      <c r="C143" s="5"/>
      <c r="D143" s="5" t="s">
        <v>738</v>
      </c>
      <c r="E143" s="5"/>
      <c r="F143" s="5"/>
      <c r="G143" s="5"/>
      <c r="H143" s="5"/>
      <c r="I143" s="5"/>
      <c r="J143" s="5"/>
      <c r="K143" s="5"/>
      <c r="L143" s="6"/>
    </row>
    <row r="144" spans="1:12" ht="13.5" customHeight="1">
      <c r="A144" s="4"/>
      <c r="B144" s="22"/>
      <c r="C144" s="5"/>
      <c r="D144" s="5"/>
      <c r="E144" s="5"/>
      <c r="F144" s="5"/>
      <c r="G144" s="5"/>
      <c r="H144" s="5"/>
      <c r="I144" s="5"/>
      <c r="J144" s="5"/>
      <c r="K144" s="5"/>
      <c r="L144" s="6"/>
    </row>
    <row r="145" spans="1:12" ht="13.5" customHeight="1">
      <c r="A145" s="4"/>
      <c r="B145" s="22"/>
      <c r="C145" s="5"/>
      <c r="D145" s="5" t="s">
        <v>761</v>
      </c>
      <c r="E145" s="5"/>
      <c r="F145" s="5"/>
      <c r="G145" s="26" t="s">
        <v>536</v>
      </c>
      <c r="H145" s="95">
        <f>Trans_Origin!E359</f>
        <v>4.656612873077393E-10</v>
      </c>
      <c r="I145" s="5" t="s">
        <v>167</v>
      </c>
      <c r="J145" s="5"/>
      <c r="K145" s="5"/>
      <c r="L145" s="6"/>
    </row>
    <row r="146" spans="1:12" ht="13.5" customHeight="1">
      <c r="A146" s="4"/>
      <c r="B146" s="22"/>
      <c r="C146" s="5"/>
      <c r="D146" s="5"/>
      <c r="E146" s="5"/>
      <c r="F146" s="5"/>
      <c r="G146" s="26" t="s">
        <v>537</v>
      </c>
      <c r="H146" s="95">
        <f>Trans_Origin!E360</f>
        <v>-1.1641532182693481E-10</v>
      </c>
      <c r="I146" s="5" t="s">
        <v>167</v>
      </c>
      <c r="J146" s="5"/>
      <c r="K146" s="5"/>
      <c r="L146" s="6"/>
    </row>
    <row r="147" spans="1:12" ht="13.5" customHeight="1">
      <c r="A147" s="4"/>
      <c r="B147" s="22"/>
      <c r="C147" s="5"/>
      <c r="D147" s="5"/>
      <c r="E147" s="5"/>
      <c r="F147" s="5"/>
      <c r="G147" s="26" t="s">
        <v>1139</v>
      </c>
      <c r="H147" s="95">
        <f>Trans_Origin!E361</f>
        <v>0</v>
      </c>
      <c r="I147" s="5" t="s">
        <v>167</v>
      </c>
      <c r="J147" s="5"/>
      <c r="K147" s="5"/>
      <c r="L147" s="6"/>
    </row>
    <row r="148" spans="1:12" ht="13.5" customHeight="1">
      <c r="A148" s="4"/>
      <c r="B148" s="22"/>
      <c r="C148" s="5"/>
      <c r="D148" s="5"/>
      <c r="E148" s="5"/>
      <c r="F148" s="5"/>
      <c r="G148" s="5"/>
      <c r="H148" s="5"/>
      <c r="I148" s="5"/>
      <c r="J148" s="5"/>
      <c r="K148" s="5"/>
      <c r="L148" s="6"/>
    </row>
    <row r="149" spans="1:12" ht="13.5" customHeight="1">
      <c r="A149" s="4"/>
      <c r="B149" s="22"/>
      <c r="C149" s="5"/>
      <c r="D149" s="5" t="s">
        <v>1723</v>
      </c>
      <c r="E149" s="5"/>
      <c r="F149" s="5"/>
      <c r="G149" s="113" t="s">
        <v>829</v>
      </c>
      <c r="H149" s="95">
        <f>Trans_Origin!E373</f>
        <v>0</v>
      </c>
      <c r="I149" s="5" t="s">
        <v>167</v>
      </c>
      <c r="J149" s="5"/>
      <c r="K149" s="5"/>
      <c r="L149" s="6"/>
    </row>
    <row r="150" spans="1:12" ht="13.5" customHeight="1">
      <c r="A150" s="4"/>
      <c r="B150" s="5"/>
      <c r="C150" s="46"/>
      <c r="D150" s="46"/>
      <c r="E150" s="46"/>
      <c r="F150" s="46"/>
      <c r="G150" s="113" t="s">
        <v>830</v>
      </c>
      <c r="H150" s="95">
        <f>Trans_Origin!E374</f>
        <v>-2.3283064365386963E-10</v>
      </c>
      <c r="I150" s="5" t="s">
        <v>167</v>
      </c>
      <c r="J150" s="5"/>
      <c r="K150" s="5"/>
      <c r="L150" s="6"/>
    </row>
    <row r="151" spans="1:12" ht="13.5" customHeight="1">
      <c r="A151" s="4"/>
      <c r="B151" s="46"/>
      <c r="C151" s="46"/>
      <c r="D151" s="46"/>
      <c r="E151" s="46"/>
      <c r="F151" s="46"/>
      <c r="G151" s="113" t="s">
        <v>910</v>
      </c>
      <c r="H151" s="95">
        <f>Trans_Origin!E375</f>
        <v>-296320</v>
      </c>
      <c r="I151" s="5" t="s">
        <v>167</v>
      </c>
      <c r="J151" s="5"/>
      <c r="K151" s="5"/>
      <c r="L151" s="6"/>
    </row>
    <row r="152" spans="1:12" ht="13.5" customHeight="1">
      <c r="A152" s="4"/>
      <c r="B152" s="46"/>
      <c r="C152" s="46"/>
      <c r="D152" s="46"/>
      <c r="E152" s="46"/>
      <c r="F152" s="46"/>
      <c r="G152" s="26"/>
      <c r="H152" s="52"/>
      <c r="I152" s="46"/>
      <c r="J152" s="5"/>
      <c r="K152" s="5"/>
      <c r="L152" s="6"/>
    </row>
    <row r="153" spans="1:12" ht="13.5" customHeight="1">
      <c r="A153" s="4"/>
      <c r="B153" s="46"/>
      <c r="C153" s="46"/>
      <c r="D153" s="5"/>
      <c r="E153" s="5"/>
      <c r="F153" s="5"/>
      <c r="G153" s="5"/>
      <c r="H153" s="5"/>
      <c r="I153" s="5"/>
      <c r="J153" s="5"/>
      <c r="K153" s="5"/>
      <c r="L153" s="6"/>
    </row>
    <row r="154" spans="1:12" ht="12.75">
      <c r="A154" s="4"/>
      <c r="B154" s="46"/>
      <c r="C154" s="46"/>
      <c r="D154" s="5" t="s">
        <v>1619</v>
      </c>
      <c r="E154" s="5"/>
      <c r="F154" s="5"/>
      <c r="G154" s="5"/>
      <c r="H154" s="128">
        <f>SQRT((H149-H145)^2+(H150-H146)^2+(H151-H147)^2)</f>
        <v>296320</v>
      </c>
      <c r="I154" s="5" t="s">
        <v>167</v>
      </c>
      <c r="J154" s="5"/>
      <c r="K154" s="5"/>
      <c r="L154" s="6"/>
    </row>
    <row r="155" spans="1:12" ht="12.75">
      <c r="A155" s="4"/>
      <c r="B155" s="46"/>
      <c r="C155" s="46"/>
      <c r="D155" s="5"/>
      <c r="E155" s="5"/>
      <c r="F155" s="5"/>
      <c r="G155" s="5"/>
      <c r="H155" s="5"/>
      <c r="I155" s="5"/>
      <c r="J155" s="5"/>
      <c r="K155" s="5"/>
      <c r="L155" s="6"/>
    </row>
    <row r="156" spans="1:12" ht="12.75">
      <c r="A156" s="4"/>
      <c r="B156" s="46"/>
      <c r="C156" s="46"/>
      <c r="D156" s="22" t="s">
        <v>1617</v>
      </c>
      <c r="E156" s="5"/>
      <c r="F156" s="5"/>
      <c r="G156" s="5"/>
      <c r="H156" s="5"/>
      <c r="I156" s="5"/>
      <c r="J156" s="5"/>
      <c r="K156" s="5"/>
      <c r="L156" s="6"/>
    </row>
    <row r="157" spans="1:12" ht="13.5" thickBot="1">
      <c r="A157" s="4"/>
      <c r="B157" s="46"/>
      <c r="C157" s="46"/>
      <c r="D157" s="5"/>
      <c r="E157" s="26" t="s">
        <v>1620</v>
      </c>
      <c r="F157" s="41" t="s">
        <v>687</v>
      </c>
      <c r="G157" s="5"/>
      <c r="H157" s="122">
        <f>(H149-H145)/$H$154</f>
        <v>-1.571481126173526E-15</v>
      </c>
      <c r="I157" s="5"/>
      <c r="J157" s="5"/>
      <c r="K157" s="5"/>
      <c r="L157" s="6"/>
    </row>
    <row r="158" spans="1:12" ht="13.5" thickBot="1">
      <c r="A158" s="4"/>
      <c r="B158" s="46"/>
      <c r="C158" s="46"/>
      <c r="D158" s="5"/>
      <c r="E158" s="26" t="s">
        <v>688</v>
      </c>
      <c r="F158" s="41" t="s">
        <v>531</v>
      </c>
      <c r="G158" s="5"/>
      <c r="H158" s="122">
        <f>(H150-H146)/$H$154</f>
        <v>-3.928702815433815E-16</v>
      </c>
      <c r="I158" s="5"/>
      <c r="J158" s="199" t="s">
        <v>805</v>
      </c>
      <c r="K158" s="38"/>
      <c r="L158" s="39"/>
    </row>
    <row r="159" spans="1:12" ht="13.5" thickBot="1">
      <c r="A159" s="4"/>
      <c r="B159" s="46"/>
      <c r="C159" s="46"/>
      <c r="D159" s="5"/>
      <c r="E159" s="26" t="s">
        <v>532</v>
      </c>
      <c r="F159" s="41" t="s">
        <v>533</v>
      </c>
      <c r="G159" s="5"/>
      <c r="H159" s="122">
        <f>(H151-H147)/$H$154</f>
        <v>-1</v>
      </c>
      <c r="I159" s="5"/>
      <c r="J159" s="86" t="str">
        <f>IF(SQRT(H157^2+H158^2+H159^2)=1,"None","Not Unit Vector")</f>
        <v>None</v>
      </c>
      <c r="K159" s="116"/>
      <c r="L159" s="87"/>
    </row>
    <row r="160" spans="1:12" ht="12.75">
      <c r="A160" s="4"/>
      <c r="B160" s="46"/>
      <c r="C160" s="46"/>
      <c r="D160" s="46"/>
      <c r="E160" s="46"/>
      <c r="F160" s="46"/>
      <c r="G160" s="5"/>
      <c r="H160" s="52"/>
      <c r="I160" s="46"/>
      <c r="J160" s="5"/>
      <c r="K160" s="5"/>
      <c r="L160" s="6"/>
    </row>
    <row r="161" spans="1:12" ht="12.75">
      <c r="A161" s="4"/>
      <c r="B161" s="46"/>
      <c r="C161" s="46"/>
      <c r="D161" s="46"/>
      <c r="E161" s="46"/>
      <c r="F161" s="46"/>
      <c r="G161" s="5"/>
      <c r="H161" s="52"/>
      <c r="I161" s="46"/>
      <c r="J161" s="5"/>
      <c r="K161" s="5"/>
      <c r="L161" s="6"/>
    </row>
    <row r="162" spans="1:12" ht="12.75">
      <c r="A162" s="4"/>
      <c r="B162" s="147" t="s">
        <v>534</v>
      </c>
      <c r="C162" s="5" t="s">
        <v>432</v>
      </c>
      <c r="D162" s="5"/>
      <c r="E162" s="5"/>
      <c r="F162" s="5"/>
      <c r="G162" s="5"/>
      <c r="H162" s="5"/>
      <c r="I162" s="5"/>
      <c r="J162" s="5"/>
      <c r="K162" s="5"/>
      <c r="L162" s="6"/>
    </row>
    <row r="163" spans="1:12" ht="12.75">
      <c r="A163" s="4"/>
      <c r="B163" s="22"/>
      <c r="C163" s="5"/>
      <c r="D163" s="5"/>
      <c r="E163" s="5"/>
      <c r="F163" s="5"/>
      <c r="G163" s="5"/>
      <c r="H163" s="5"/>
      <c r="I163" s="5"/>
      <c r="J163" s="5"/>
      <c r="K163" s="5"/>
      <c r="L163" s="6"/>
    </row>
    <row r="164" spans="1:12" ht="12.75">
      <c r="A164" s="4"/>
      <c r="B164" s="22"/>
      <c r="C164" s="46" t="s">
        <v>1718</v>
      </c>
      <c r="D164" s="46"/>
      <c r="E164" s="46"/>
      <c r="F164" s="26"/>
      <c r="G164" s="52"/>
      <c r="H164" s="46"/>
      <c r="I164" s="46"/>
      <c r="J164" s="5"/>
      <c r="K164" s="5"/>
      <c r="L164" s="6"/>
    </row>
    <row r="165" spans="1:12" ht="12.75">
      <c r="A165" s="4"/>
      <c r="B165" s="22"/>
      <c r="C165" s="46"/>
      <c r="D165" s="46"/>
      <c r="E165" s="46"/>
      <c r="F165" s="26"/>
      <c r="G165" s="52"/>
      <c r="H165" s="46"/>
      <c r="I165" s="46"/>
      <c r="J165" s="5"/>
      <c r="K165" s="5"/>
      <c r="L165" s="6"/>
    </row>
    <row r="166" spans="1:12" ht="12.75">
      <c r="A166" s="4"/>
      <c r="B166" s="22"/>
      <c r="C166" s="70"/>
      <c r="D166" s="46"/>
      <c r="E166" s="70" t="s">
        <v>127</v>
      </c>
      <c r="F166" s="72">
        <f>(G136*H157+G137*H158+G138*H159)</f>
        <v>0.9546048640208</v>
      </c>
      <c r="G166" s="52"/>
      <c r="H166" s="46"/>
      <c r="I166" s="46"/>
      <c r="J166" s="5"/>
      <c r="K166" s="5"/>
      <c r="L166" s="6"/>
    </row>
    <row r="167" spans="1:12" ht="12.75">
      <c r="A167" s="4"/>
      <c r="B167" s="22"/>
      <c r="C167" s="46"/>
      <c r="D167" s="46"/>
      <c r="E167" s="70" t="s">
        <v>128</v>
      </c>
      <c r="F167" s="72">
        <f>SQRT(G136^2+G137^2+G138^2)</f>
        <v>0.9999999999999999</v>
      </c>
      <c r="G167" s="52"/>
      <c r="L167" s="6"/>
    </row>
    <row r="168" spans="1:12" ht="12.75">
      <c r="A168" s="4"/>
      <c r="B168" s="22"/>
      <c r="C168" s="46"/>
      <c r="D168" s="46"/>
      <c r="E168" s="70" t="s">
        <v>129</v>
      </c>
      <c r="F168" s="72">
        <f>SQRT(H157^2+H158^2+H159^2)</f>
        <v>1</v>
      </c>
      <c r="G168" s="52"/>
      <c r="L168" s="6"/>
    </row>
    <row r="169" spans="1:12" ht="12.75">
      <c r="A169" s="4"/>
      <c r="B169" s="22"/>
      <c r="C169" s="85" t="s">
        <v>866</v>
      </c>
      <c r="D169" s="5"/>
      <c r="E169" s="70"/>
      <c r="F169" s="72">
        <f>F166/(F167*F168)</f>
        <v>0.9546048640208001</v>
      </c>
      <c r="G169" s="5"/>
      <c r="L169" s="6"/>
    </row>
    <row r="170" spans="1:12" ht="12.75">
      <c r="A170" s="4"/>
      <c r="B170" s="22"/>
      <c r="C170" s="46"/>
      <c r="D170" s="46"/>
      <c r="E170" s="46"/>
      <c r="F170" s="26"/>
      <c r="G170" s="52"/>
      <c r="H170" s="46"/>
      <c r="I170" s="46"/>
      <c r="J170" s="5"/>
      <c r="K170" s="5"/>
      <c r="L170" s="6"/>
    </row>
    <row r="171" spans="1:12" ht="16.5" thickBot="1">
      <c r="A171" s="4"/>
      <c r="B171" s="5"/>
      <c r="C171" s="16" t="s">
        <v>1719</v>
      </c>
      <c r="D171" s="72">
        <f>IF((F167*F168)=0,0,ACOS(F169))</f>
        <v>0.30246589337863705</v>
      </c>
      <c r="E171" s="52" t="s">
        <v>1483</v>
      </c>
      <c r="F171" s="73">
        <f>DEGREES(D171)</f>
        <v>17.330019137249856</v>
      </c>
      <c r="G171" s="46" t="s">
        <v>1233</v>
      </c>
      <c r="H171" s="88" t="s">
        <v>1720</v>
      </c>
      <c r="I171" s="89"/>
      <c r="J171" s="115"/>
      <c r="K171" s="89"/>
      <c r="L171" s="6"/>
    </row>
    <row r="172" spans="1:12" ht="16.5" thickBot="1">
      <c r="A172" s="4"/>
      <c r="B172" s="5"/>
      <c r="C172" s="16"/>
      <c r="D172" s="113"/>
      <c r="E172" s="52"/>
      <c r="F172" s="142"/>
      <c r="G172" s="46"/>
      <c r="H172" s="86" t="str">
        <f>IF(F169&lt;=1,"None","Error - Value Greater then 1.  Cant Compute ACOS")</f>
        <v>None</v>
      </c>
      <c r="I172" s="116"/>
      <c r="J172" s="116"/>
      <c r="K172" s="87"/>
      <c r="L172" s="6"/>
    </row>
    <row r="173" spans="1:12" ht="15.75">
      <c r="A173" s="4"/>
      <c r="B173" s="5"/>
      <c r="C173" s="16"/>
      <c r="D173" s="113"/>
      <c r="E173" s="52"/>
      <c r="F173" s="142"/>
      <c r="G173" s="46"/>
      <c r="H173" s="5"/>
      <c r="I173" s="5"/>
      <c r="J173" s="5"/>
      <c r="K173" s="5"/>
      <c r="L173" s="6"/>
    </row>
    <row r="174" spans="1:12" ht="15.75">
      <c r="A174" s="4"/>
      <c r="B174" s="5" t="s">
        <v>1721</v>
      </c>
      <c r="C174" s="46"/>
      <c r="D174" s="16"/>
      <c r="E174" s="113"/>
      <c r="F174" s="52"/>
      <c r="G174" s="142"/>
      <c r="H174" s="46"/>
      <c r="I174" s="5"/>
      <c r="J174" s="5"/>
      <c r="K174" s="5"/>
      <c r="L174" s="6"/>
    </row>
    <row r="175" spans="1:12" ht="16.5" thickBot="1">
      <c r="A175" s="4"/>
      <c r="B175" s="5"/>
      <c r="C175" s="46"/>
      <c r="D175" s="16"/>
      <c r="E175" s="113"/>
      <c r="F175" s="52"/>
      <c r="G175" s="142"/>
      <c r="H175" s="88" t="s">
        <v>1722</v>
      </c>
      <c r="I175" s="89"/>
      <c r="J175" s="115"/>
      <c r="K175" s="89"/>
      <c r="L175" s="6"/>
    </row>
    <row r="176" spans="1:12" ht="16.5" thickBot="1">
      <c r="A176" s="4"/>
      <c r="B176" s="5"/>
      <c r="C176" s="158" t="s">
        <v>587</v>
      </c>
      <c r="D176" s="16"/>
      <c r="E176" s="160">
        <f>360-F171</f>
        <v>342.66998086275015</v>
      </c>
      <c r="F176" s="46" t="s">
        <v>1233</v>
      </c>
      <c r="G176" s="142"/>
      <c r="H176" s="86" t="str">
        <f>IF(F171&lt;180,"None","Error - +Y Rotation Can Not Be Less then 180 Degrees")</f>
        <v>None</v>
      </c>
      <c r="I176" s="116"/>
      <c r="J176" s="116"/>
      <c r="K176" s="87"/>
      <c r="L176" s="6"/>
    </row>
    <row r="177" spans="1:12" ht="15.75">
      <c r="A177" s="4"/>
      <c r="B177" s="5"/>
      <c r="C177" s="158"/>
      <c r="D177" s="16"/>
      <c r="E177" s="159"/>
      <c r="F177" s="46"/>
      <c r="G177" s="142"/>
      <c r="H177" s="46"/>
      <c r="I177" s="5"/>
      <c r="J177" s="5"/>
      <c r="K177" s="5"/>
      <c r="L177" s="6"/>
    </row>
    <row r="178" spans="1:12" ht="15.75">
      <c r="A178" s="4"/>
      <c r="B178" s="5"/>
      <c r="C178" s="46"/>
      <c r="D178" s="16"/>
      <c r="E178" s="113"/>
      <c r="F178" s="52"/>
      <c r="G178" s="142"/>
      <c r="H178" s="46"/>
      <c r="I178" s="5"/>
      <c r="J178" s="5"/>
      <c r="K178" s="5"/>
      <c r="L178" s="6"/>
    </row>
    <row r="179" spans="1:12" ht="15.75">
      <c r="A179" s="4"/>
      <c r="B179" s="5" t="s">
        <v>689</v>
      </c>
      <c r="C179" s="46"/>
      <c r="D179" s="16"/>
      <c r="E179" s="113"/>
      <c r="F179" s="52"/>
      <c r="G179" s="142"/>
      <c r="H179" s="46"/>
      <c r="I179" s="5"/>
      <c r="J179" s="5"/>
      <c r="K179" s="5"/>
      <c r="L179" s="6"/>
    </row>
    <row r="180" spans="1:12" ht="15.75">
      <c r="A180" s="4"/>
      <c r="B180" s="5"/>
      <c r="C180" s="46"/>
      <c r="D180" s="16"/>
      <c r="E180" s="113"/>
      <c r="F180" s="52"/>
      <c r="G180" s="142"/>
      <c r="H180" s="46"/>
      <c r="I180" s="5"/>
      <c r="J180" s="5"/>
      <c r="K180" s="5"/>
      <c r="L180" s="6"/>
    </row>
    <row r="181" spans="1:12" ht="12.75">
      <c r="A181" s="4"/>
      <c r="B181" s="5"/>
      <c r="C181" s="5" t="s">
        <v>562</v>
      </c>
      <c r="D181" s="5"/>
      <c r="E181" s="5"/>
      <c r="F181" s="5" t="s">
        <v>821</v>
      </c>
      <c r="G181" s="5"/>
      <c r="H181" s="5"/>
      <c r="I181" s="5"/>
      <c r="J181" s="5"/>
      <c r="K181" s="5"/>
      <c r="L181" s="6"/>
    </row>
    <row r="182" spans="1:12" ht="12.75">
      <c r="A182" s="4"/>
      <c r="B182" s="5"/>
      <c r="C182" s="5" t="s">
        <v>1681</v>
      </c>
      <c r="D182" s="5"/>
      <c r="E182" s="5"/>
      <c r="F182" s="5" t="s">
        <v>1682</v>
      </c>
      <c r="G182" s="5"/>
      <c r="H182" s="5"/>
      <c r="I182" s="5"/>
      <c r="J182" s="5"/>
      <c r="K182" s="5"/>
      <c r="L182" s="6"/>
    </row>
    <row r="183" spans="1:12" ht="12.75">
      <c r="A183" s="4"/>
      <c r="B183" s="5"/>
      <c r="C183" s="5"/>
      <c r="D183" s="5"/>
      <c r="E183" s="5"/>
      <c r="F183" s="5" t="s">
        <v>1683</v>
      </c>
      <c r="G183" s="5"/>
      <c r="H183" s="5"/>
      <c r="I183" s="5"/>
      <c r="J183" s="5"/>
      <c r="K183" s="5"/>
      <c r="L183" s="6"/>
    </row>
    <row r="184" spans="1:12" ht="12.75">
      <c r="A184" s="4"/>
      <c r="B184" s="5"/>
      <c r="C184" s="5"/>
      <c r="D184" s="5"/>
      <c r="E184" s="5"/>
      <c r="F184" s="5"/>
      <c r="G184" s="5"/>
      <c r="H184" s="5"/>
      <c r="I184" s="5"/>
      <c r="J184" s="5"/>
      <c r="K184" s="5"/>
      <c r="L184" s="6"/>
    </row>
    <row r="185" spans="1:12" ht="12.75">
      <c r="A185" s="4"/>
      <c r="B185" s="5"/>
      <c r="C185" s="5" t="s">
        <v>675</v>
      </c>
      <c r="D185" s="5"/>
      <c r="E185" s="5"/>
      <c r="F185" s="5"/>
      <c r="G185" s="5"/>
      <c r="H185" s="5"/>
      <c r="I185" s="5"/>
      <c r="J185" s="5"/>
      <c r="K185" s="5"/>
      <c r="L185" s="6"/>
    </row>
    <row r="186" spans="1:12" ht="12.75">
      <c r="A186" s="4"/>
      <c r="B186" s="5"/>
      <c r="C186" s="5" t="s">
        <v>1684</v>
      </c>
      <c r="D186" s="5"/>
      <c r="E186" s="5"/>
      <c r="F186" s="5" t="s">
        <v>577</v>
      </c>
      <c r="G186" s="80" t="s">
        <v>578</v>
      </c>
      <c r="H186" s="81">
        <v>0</v>
      </c>
      <c r="I186" s="81" t="s">
        <v>580</v>
      </c>
      <c r="J186" s="5"/>
      <c r="K186" s="5"/>
      <c r="L186" s="6"/>
    </row>
    <row r="187" spans="1:12" ht="12.75">
      <c r="A187" s="4"/>
      <c r="B187" s="5"/>
      <c r="C187" s="5"/>
      <c r="D187" s="5"/>
      <c r="E187" s="5"/>
      <c r="F187" s="5"/>
      <c r="G187" s="80">
        <v>0</v>
      </c>
      <c r="H187" s="82">
        <v>1</v>
      </c>
      <c r="I187" s="82">
        <v>0</v>
      </c>
      <c r="J187" s="5"/>
      <c r="K187" s="5"/>
      <c r="L187" s="6"/>
    </row>
    <row r="188" spans="1:12" ht="12.75">
      <c r="A188" s="4"/>
      <c r="B188" s="5"/>
      <c r="C188" s="5"/>
      <c r="D188" s="5"/>
      <c r="E188" s="5"/>
      <c r="F188" s="5"/>
      <c r="G188" s="80" t="s">
        <v>579</v>
      </c>
      <c r="H188" s="80">
        <v>0</v>
      </c>
      <c r="I188" s="82" t="s">
        <v>578</v>
      </c>
      <c r="J188" s="5"/>
      <c r="K188" s="5"/>
      <c r="L188" s="6"/>
    </row>
    <row r="189" spans="1:12" ht="12.75">
      <c r="A189" s="4"/>
      <c r="B189" s="5"/>
      <c r="C189" s="5"/>
      <c r="D189" s="5"/>
      <c r="E189" s="5"/>
      <c r="F189" s="5"/>
      <c r="G189" s="5"/>
      <c r="H189" s="5"/>
      <c r="I189" s="5"/>
      <c r="J189" s="5"/>
      <c r="K189" s="5"/>
      <c r="L189" s="6"/>
    </row>
    <row r="190" spans="1:12" ht="12.75">
      <c r="A190" s="4"/>
      <c r="B190" s="5"/>
      <c r="C190" s="5"/>
      <c r="D190" s="5"/>
      <c r="E190" s="5"/>
      <c r="F190" s="5"/>
      <c r="G190" s="5"/>
      <c r="H190" s="5"/>
      <c r="I190" s="5"/>
      <c r="J190" s="5"/>
      <c r="K190" s="5"/>
      <c r="L190" s="6"/>
    </row>
    <row r="191" spans="1:12" ht="12.75">
      <c r="A191" s="4"/>
      <c r="B191" s="5"/>
      <c r="C191" s="5"/>
      <c r="D191" s="5"/>
      <c r="E191" s="5"/>
      <c r="F191" s="5"/>
      <c r="G191" s="5"/>
      <c r="H191" s="5"/>
      <c r="I191" s="5"/>
      <c r="J191" s="5"/>
      <c r="K191" s="5"/>
      <c r="L191" s="6"/>
    </row>
    <row r="192" spans="1:12" ht="12.75">
      <c r="A192" s="4"/>
      <c r="B192" s="5"/>
      <c r="C192" s="20" t="s">
        <v>690</v>
      </c>
      <c r="D192" s="5"/>
      <c r="E192" s="93">
        <f>E176</f>
        <v>342.66998086275015</v>
      </c>
      <c r="F192" s="5" t="s">
        <v>1233</v>
      </c>
      <c r="G192" s="5" t="s">
        <v>290</v>
      </c>
      <c r="H192" s="5"/>
      <c r="I192" s="157">
        <f>COS(RADIANS(E192))</f>
        <v>0.9546048640208002</v>
      </c>
      <c r="J192" s="157">
        <v>0</v>
      </c>
      <c r="K192" s="157">
        <f>-SIN(RADIANS(E192))</f>
        <v>0.29787506372274514</v>
      </c>
      <c r="L192" s="6"/>
    </row>
    <row r="193" spans="1:12" ht="12.75">
      <c r="A193" s="4"/>
      <c r="B193" s="5"/>
      <c r="C193" s="5"/>
      <c r="D193" s="5"/>
      <c r="E193" s="5"/>
      <c r="F193" s="5"/>
      <c r="G193" s="5"/>
      <c r="H193" s="5"/>
      <c r="I193" s="157">
        <v>0</v>
      </c>
      <c r="J193" s="157">
        <v>1</v>
      </c>
      <c r="K193" s="157">
        <v>0</v>
      </c>
      <c r="L193" s="6"/>
    </row>
    <row r="194" spans="1:12" ht="13.5" thickBot="1">
      <c r="A194" s="4"/>
      <c r="B194" s="5"/>
      <c r="C194" s="5"/>
      <c r="D194" s="227" t="s">
        <v>691</v>
      </c>
      <c r="E194" s="227"/>
      <c r="F194" s="227"/>
      <c r="G194" s="5"/>
      <c r="H194" s="5"/>
      <c r="I194" s="157">
        <f>SIN(RADIANS(E192))</f>
        <v>-0.29787506372274514</v>
      </c>
      <c r="J194" s="157">
        <v>0</v>
      </c>
      <c r="K194" s="157">
        <f>COS(RADIANS(E192))</f>
        <v>0.9546048640208002</v>
      </c>
      <c r="L194" s="6"/>
    </row>
    <row r="195" spans="1:12" ht="13.5" thickBot="1">
      <c r="A195" s="4"/>
      <c r="B195" s="5"/>
      <c r="C195" s="5"/>
      <c r="D195" s="86" t="str">
        <f>IF(MDETERM(I192:K194)=1,"None","Composite Matrix Determinate not Equal to 1")</f>
        <v>None</v>
      </c>
      <c r="E195" s="116"/>
      <c r="F195" s="87"/>
      <c r="G195" s="5"/>
      <c r="H195" s="5"/>
      <c r="I195" s="5"/>
      <c r="J195" s="5"/>
      <c r="K195" s="5"/>
      <c r="L195" s="6"/>
    </row>
    <row r="196" spans="1:12" ht="12.75">
      <c r="A196" s="4"/>
      <c r="B196" s="5"/>
      <c r="C196" s="5"/>
      <c r="D196" s="5"/>
      <c r="E196" s="5"/>
      <c r="F196" s="5"/>
      <c r="G196" s="5"/>
      <c r="H196" s="5"/>
      <c r="I196" s="5"/>
      <c r="J196" s="5"/>
      <c r="K196" s="5"/>
      <c r="L196" s="6"/>
    </row>
    <row r="197" spans="1:12" ht="12.75">
      <c r="A197" s="4"/>
      <c r="B197" s="5" t="s">
        <v>692</v>
      </c>
      <c r="C197" s="5"/>
      <c r="D197" s="5"/>
      <c r="E197" s="5"/>
      <c r="F197" s="5"/>
      <c r="G197" s="5"/>
      <c r="H197" s="5"/>
      <c r="I197" s="5"/>
      <c r="J197" s="5"/>
      <c r="K197" s="5"/>
      <c r="L197" s="6"/>
    </row>
    <row r="198" spans="1:12" ht="12.75">
      <c r="A198" s="4"/>
      <c r="B198" s="41" t="s">
        <v>1740</v>
      </c>
      <c r="C198" s="5"/>
      <c r="D198" s="5"/>
      <c r="E198" s="5"/>
      <c r="F198" s="5"/>
      <c r="G198" s="5"/>
      <c r="H198" s="5"/>
      <c r="I198" s="5"/>
      <c r="J198" s="5"/>
      <c r="K198" s="5"/>
      <c r="L198" s="6"/>
    </row>
    <row r="199" spans="1:12" ht="12.75">
      <c r="A199" s="4"/>
      <c r="B199" s="5"/>
      <c r="C199" s="5"/>
      <c r="D199" s="5"/>
      <c r="E199" s="5"/>
      <c r="F199" s="5"/>
      <c r="G199" s="5"/>
      <c r="H199" s="5"/>
      <c r="I199" s="5"/>
      <c r="J199" s="5"/>
      <c r="K199" s="5"/>
      <c r="L199" s="6"/>
    </row>
    <row r="200" spans="1:12" ht="12.75">
      <c r="A200" s="4"/>
      <c r="B200" s="5"/>
      <c r="C200" s="5" t="s">
        <v>1543</v>
      </c>
      <c r="D200" s="5"/>
      <c r="E200" s="5"/>
      <c r="F200" s="5"/>
      <c r="G200" s="5"/>
      <c r="H200" s="5"/>
      <c r="I200" s="5"/>
      <c r="J200" s="5"/>
      <c r="K200" s="5"/>
      <c r="L200" s="6"/>
    </row>
    <row r="201" spans="1:12" ht="12.75">
      <c r="A201" s="4"/>
      <c r="B201" s="5"/>
      <c r="C201" s="5"/>
      <c r="D201" s="5"/>
      <c r="E201" s="5"/>
      <c r="F201" s="5"/>
      <c r="G201" s="5"/>
      <c r="H201" s="5"/>
      <c r="I201" s="5"/>
      <c r="J201" s="5"/>
      <c r="K201" s="5"/>
      <c r="L201" s="6"/>
    </row>
    <row r="202" spans="1:12" ht="12.75">
      <c r="A202" s="4"/>
      <c r="B202" s="5"/>
      <c r="C202" s="5" t="s">
        <v>1431</v>
      </c>
      <c r="D202" s="5"/>
      <c r="E202" s="5" t="s">
        <v>640</v>
      </c>
      <c r="F202" s="5"/>
      <c r="G202" s="5"/>
      <c r="H202" s="5"/>
      <c r="I202" s="5" t="s">
        <v>1615</v>
      </c>
      <c r="J202" s="5"/>
      <c r="K202" s="5" t="s">
        <v>1544</v>
      </c>
      <c r="L202" s="6"/>
    </row>
    <row r="203" spans="1:12" ht="12.75">
      <c r="A203" s="4"/>
      <c r="B203" s="5"/>
      <c r="C203" s="5"/>
      <c r="D203" s="5"/>
      <c r="E203" s="5"/>
      <c r="F203" s="5"/>
      <c r="G203" s="5"/>
      <c r="H203" s="5"/>
      <c r="I203" s="5"/>
      <c r="J203" s="5"/>
      <c r="K203" s="5"/>
      <c r="L203" s="6"/>
    </row>
    <row r="204" spans="1:12" ht="12.75">
      <c r="A204" s="4"/>
      <c r="B204" s="5"/>
      <c r="C204" s="104" t="s">
        <v>636</v>
      </c>
      <c r="D204" s="5" t="s">
        <v>167</v>
      </c>
      <c r="E204" s="161">
        <f aca="true" t="shared" si="0" ref="E204:G206">I192</f>
        <v>0.9546048640208002</v>
      </c>
      <c r="F204" s="161">
        <f t="shared" si="0"/>
        <v>0</v>
      </c>
      <c r="G204" s="161">
        <f t="shared" si="0"/>
        <v>0.29787506372274514</v>
      </c>
      <c r="H204" s="5"/>
      <c r="I204" s="104" t="s">
        <v>637</v>
      </c>
      <c r="J204" s="5" t="s">
        <v>167</v>
      </c>
      <c r="K204" s="166">
        <v>0</v>
      </c>
      <c r="L204" s="6" t="s">
        <v>167</v>
      </c>
    </row>
    <row r="205" spans="1:12" ht="12.75">
      <c r="A205" s="4"/>
      <c r="B205" s="5"/>
      <c r="C205" s="104" t="s">
        <v>638</v>
      </c>
      <c r="D205" s="5" t="s">
        <v>1545</v>
      </c>
      <c r="E205" s="161">
        <f t="shared" si="0"/>
        <v>0</v>
      </c>
      <c r="F205" s="161">
        <f t="shared" si="0"/>
        <v>1</v>
      </c>
      <c r="G205" s="161">
        <f t="shared" si="0"/>
        <v>0</v>
      </c>
      <c r="H205" s="5" t="s">
        <v>641</v>
      </c>
      <c r="I205" s="104" t="s">
        <v>642</v>
      </c>
      <c r="J205" s="5" t="s">
        <v>1546</v>
      </c>
      <c r="K205" s="166">
        <v>0</v>
      </c>
      <c r="L205" s="6" t="s">
        <v>167</v>
      </c>
    </row>
    <row r="206" spans="1:12" ht="12.75">
      <c r="A206" s="4"/>
      <c r="B206" s="5"/>
      <c r="C206" s="104" t="s">
        <v>643</v>
      </c>
      <c r="D206" s="5" t="s">
        <v>167</v>
      </c>
      <c r="E206" s="161">
        <f t="shared" si="0"/>
        <v>-0.29787506372274514</v>
      </c>
      <c r="F206" s="161">
        <f t="shared" si="0"/>
        <v>0</v>
      </c>
      <c r="G206" s="161">
        <f t="shared" si="0"/>
        <v>0.9546048640208002</v>
      </c>
      <c r="H206" s="5"/>
      <c r="I206" s="104" t="s">
        <v>644</v>
      </c>
      <c r="J206" s="5" t="s">
        <v>167</v>
      </c>
      <c r="K206" s="162">
        <f>-SPH_REC!F330/1000</f>
        <v>-0.25</v>
      </c>
      <c r="L206" s="324" t="s">
        <v>167</v>
      </c>
    </row>
    <row r="207" spans="1:12" ht="12.75">
      <c r="A207" s="4"/>
      <c r="B207" s="5"/>
      <c r="C207" s="5"/>
      <c r="D207" s="5"/>
      <c r="E207" s="5"/>
      <c r="F207" s="5"/>
      <c r="G207" s="5"/>
      <c r="H207" s="5"/>
      <c r="I207" s="5"/>
      <c r="J207" s="5"/>
      <c r="K207" s="5"/>
      <c r="L207" s="6"/>
    </row>
    <row r="208" spans="1:12" ht="12.75">
      <c r="A208" s="4"/>
      <c r="B208" s="5"/>
      <c r="C208" s="5"/>
      <c r="D208" s="5"/>
      <c r="E208" s="5"/>
      <c r="F208" s="5"/>
      <c r="G208" s="5"/>
      <c r="H208" s="5"/>
      <c r="I208" s="5"/>
      <c r="J208" s="5"/>
      <c r="K208" s="5"/>
      <c r="L208" s="6"/>
    </row>
    <row r="209" spans="1:12" ht="12.75">
      <c r="A209" s="4"/>
      <c r="B209" s="126" t="s">
        <v>38</v>
      </c>
      <c r="C209" s="5"/>
      <c r="D209" s="5"/>
      <c r="E209" s="5"/>
      <c r="F209" s="5"/>
      <c r="G209" s="5"/>
      <c r="H209" s="5"/>
      <c r="I209" s="5"/>
      <c r="J209" s="5"/>
      <c r="K209" s="5"/>
      <c r="L209" s="6"/>
    </row>
    <row r="210" spans="1:12" ht="15.75">
      <c r="A210" s="4"/>
      <c r="B210" s="5" t="s">
        <v>1182</v>
      </c>
      <c r="C210" s="46"/>
      <c r="D210" s="16"/>
      <c r="E210" s="113"/>
      <c r="F210" s="52"/>
      <c r="G210" s="142"/>
      <c r="H210" s="46"/>
      <c r="I210" s="5"/>
      <c r="J210" s="5"/>
      <c r="K210" s="5"/>
      <c r="L210" s="6"/>
    </row>
    <row r="211" spans="1:12" ht="15.75">
      <c r="A211" s="4"/>
      <c r="B211" s="5" t="s">
        <v>1183</v>
      </c>
      <c r="C211" s="46"/>
      <c r="D211" s="16"/>
      <c r="E211" s="113"/>
      <c r="F211" s="52"/>
      <c r="G211" s="142"/>
      <c r="H211" s="46"/>
      <c r="I211" s="5"/>
      <c r="J211" s="5"/>
      <c r="K211" s="5"/>
      <c r="L211" s="6"/>
    </row>
    <row r="212" spans="1:12" ht="15.75">
      <c r="A212" s="4"/>
      <c r="B212" s="5"/>
      <c r="C212" s="46"/>
      <c r="D212" s="16"/>
      <c r="E212" s="113"/>
      <c r="F212" s="52"/>
      <c r="G212" s="142"/>
      <c r="H212" s="46"/>
      <c r="I212" s="5"/>
      <c r="J212" s="5"/>
      <c r="K212" s="5"/>
      <c r="L212" s="6"/>
    </row>
    <row r="213" spans="1:12" ht="12.75">
      <c r="A213" s="4"/>
      <c r="B213" s="5"/>
      <c r="C213" s="5"/>
      <c r="D213" s="5"/>
      <c r="E213" s="5"/>
      <c r="F213" s="5"/>
      <c r="G213" s="5"/>
      <c r="H213" s="5"/>
      <c r="I213" s="5"/>
      <c r="J213" s="5"/>
      <c r="K213" s="5"/>
      <c r="L213" s="6"/>
    </row>
    <row r="214" spans="1:12" ht="12.75">
      <c r="A214" s="4"/>
      <c r="B214" s="5"/>
      <c r="C214" s="104" t="s">
        <v>636</v>
      </c>
      <c r="D214" s="5" t="s">
        <v>167</v>
      </c>
      <c r="E214" s="161">
        <f aca="true" t="shared" si="1" ref="E214:G216">I192</f>
        <v>0.9546048640208002</v>
      </c>
      <c r="F214" s="161">
        <f t="shared" si="1"/>
        <v>0</v>
      </c>
      <c r="G214" s="161">
        <f t="shared" si="1"/>
        <v>0.29787506372274514</v>
      </c>
      <c r="H214" s="5"/>
      <c r="I214" s="167">
        <f>Rec_Photo!G80</f>
        <v>-0.07446876593068605</v>
      </c>
      <c r="J214" s="5" t="s">
        <v>167</v>
      </c>
      <c r="K214" s="162">
        <f>Rec_Photo!G91</f>
        <v>0</v>
      </c>
      <c r="L214" s="6" t="s">
        <v>167</v>
      </c>
    </row>
    <row r="215" spans="1:12" ht="12.75">
      <c r="A215" s="4"/>
      <c r="B215" s="5"/>
      <c r="C215" s="104" t="s">
        <v>638</v>
      </c>
      <c r="D215" s="5" t="s">
        <v>1545</v>
      </c>
      <c r="E215" s="161">
        <f t="shared" si="1"/>
        <v>0</v>
      </c>
      <c r="F215" s="161">
        <f t="shared" si="1"/>
        <v>1</v>
      </c>
      <c r="G215" s="161">
        <f t="shared" si="1"/>
        <v>0</v>
      </c>
      <c r="H215" s="5" t="s">
        <v>641</v>
      </c>
      <c r="I215" s="167">
        <f>Rec_Photo!G81</f>
        <v>9.354615035242412E-17</v>
      </c>
      <c r="J215" s="5" t="s">
        <v>1546</v>
      </c>
      <c r="K215" s="162">
        <f>Rec_Photo!G92</f>
        <v>0</v>
      </c>
      <c r="L215" s="6" t="s">
        <v>167</v>
      </c>
    </row>
    <row r="216" spans="1:12" ht="12.75">
      <c r="A216" s="4"/>
      <c r="B216" s="5"/>
      <c r="C216" s="104" t="s">
        <v>643</v>
      </c>
      <c r="D216" s="5" t="s">
        <v>167</v>
      </c>
      <c r="E216" s="161">
        <f t="shared" si="1"/>
        <v>-0.29787506372274514</v>
      </c>
      <c r="F216" s="161">
        <f t="shared" si="1"/>
        <v>0</v>
      </c>
      <c r="G216" s="161">
        <f t="shared" si="1"/>
        <v>0.9546048640208002</v>
      </c>
      <c r="H216" s="5"/>
      <c r="I216" s="167">
        <f>Rec_Photo!G82</f>
        <v>0.23865121600520012</v>
      </c>
      <c r="J216" s="5" t="s">
        <v>167</v>
      </c>
      <c r="K216" s="162">
        <f>K206</f>
        <v>-0.25</v>
      </c>
      <c r="L216" s="6" t="s">
        <v>167</v>
      </c>
    </row>
    <row r="217" spans="1:12" ht="12.75">
      <c r="A217" s="4"/>
      <c r="B217" s="5"/>
      <c r="C217" s="5"/>
      <c r="D217" s="5"/>
      <c r="E217" s="5"/>
      <c r="F217" s="5"/>
      <c r="G217" s="5"/>
      <c r="H217" s="5"/>
      <c r="I217" s="5"/>
      <c r="J217" s="5"/>
      <c r="K217" s="5"/>
      <c r="L217" s="6"/>
    </row>
    <row r="218" spans="1:12" ht="15.75">
      <c r="A218" s="4"/>
      <c r="B218" s="5"/>
      <c r="C218" s="46"/>
      <c r="D218" s="16"/>
      <c r="E218" s="113"/>
      <c r="F218" s="52"/>
      <c r="G218" s="142"/>
      <c r="H218" s="46"/>
      <c r="I218" s="5"/>
      <c r="J218" s="5"/>
      <c r="K218" s="5"/>
      <c r="L218" s="6"/>
    </row>
    <row r="219" spans="1:12" ht="12.75">
      <c r="A219" s="4"/>
      <c r="B219" s="5"/>
      <c r="C219" s="46"/>
      <c r="D219" s="113" t="s">
        <v>1184</v>
      </c>
      <c r="E219" s="24">
        <f>(E214*I214+F214*I215+G214*I216)+K214</f>
        <v>2.3592239273284576E-16</v>
      </c>
      <c r="F219" s="5" t="s">
        <v>167</v>
      </c>
      <c r="G219" s="5" t="s">
        <v>1199</v>
      </c>
      <c r="H219" s="46"/>
      <c r="I219" s="5"/>
      <c r="J219" s="5"/>
      <c r="K219" s="5"/>
      <c r="L219" s="6"/>
    </row>
    <row r="220" spans="1:12" ht="13.5" thickBot="1">
      <c r="A220" s="4"/>
      <c r="B220" s="5"/>
      <c r="C220" s="46"/>
      <c r="D220" s="113" t="s">
        <v>1185</v>
      </c>
      <c r="E220" s="24">
        <f>(E215*I214+F215*I215+G215*I216)+K215</f>
        <v>9.354615035242412E-17</v>
      </c>
      <c r="F220" s="5" t="s">
        <v>167</v>
      </c>
      <c r="G220" s="117" t="s">
        <v>1186</v>
      </c>
      <c r="H220" s="117"/>
      <c r="I220" s="117"/>
      <c r="J220" s="117"/>
      <c r="K220" s="117"/>
      <c r="L220" s="6"/>
    </row>
    <row r="221" spans="1:12" ht="13.5" thickBot="1">
      <c r="A221" s="4"/>
      <c r="B221" s="5"/>
      <c r="C221" s="46"/>
      <c r="D221" s="113" t="s">
        <v>1187</v>
      </c>
      <c r="E221" s="24">
        <f>(E216*I214+F216*I215+G216*I216)+K216</f>
        <v>0</v>
      </c>
      <c r="F221" s="5" t="s">
        <v>167</v>
      </c>
      <c r="G221" s="86" t="str">
        <f>IF(((TRUNC((E219+E220+E221)*1000))/1000)=0,"None","Error: Principle Point Not at Correct Local Position X=0, Y=0, Z=0")</f>
        <v>None</v>
      </c>
      <c r="H221" s="116"/>
      <c r="I221" s="116"/>
      <c r="J221" s="116"/>
      <c r="K221" s="87"/>
      <c r="L221" s="6"/>
    </row>
    <row r="222" spans="1:12" ht="15.75">
      <c r="A222" s="4"/>
      <c r="B222" s="5"/>
      <c r="C222" s="46"/>
      <c r="D222" s="16"/>
      <c r="E222" s="113"/>
      <c r="F222" s="52"/>
      <c r="G222" s="142"/>
      <c r="H222" s="46"/>
      <c r="I222" s="5"/>
      <c r="J222" s="5"/>
      <c r="K222" s="5"/>
      <c r="L222" s="6"/>
    </row>
    <row r="223" spans="1:12" ht="15.75">
      <c r="A223" s="4"/>
      <c r="B223" s="331" t="s">
        <v>39</v>
      </c>
      <c r="C223" s="46"/>
      <c r="D223" s="16"/>
      <c r="E223" s="113"/>
      <c r="F223" s="52"/>
      <c r="G223" s="142"/>
      <c r="H223" s="46"/>
      <c r="I223" s="5"/>
      <c r="J223" s="5"/>
      <c r="K223" s="5"/>
      <c r="L223" s="6"/>
    </row>
    <row r="224" spans="1:12" ht="15.75">
      <c r="A224" s="4"/>
      <c r="B224" s="5" t="s">
        <v>1726</v>
      </c>
      <c r="C224" s="46"/>
      <c r="D224" s="16"/>
      <c r="E224" s="113"/>
      <c r="F224" s="52"/>
      <c r="G224" s="142"/>
      <c r="H224" s="46"/>
      <c r="I224" s="5"/>
      <c r="J224" s="5"/>
      <c r="K224" s="5"/>
      <c r="L224" s="6"/>
    </row>
    <row r="225" spans="1:12" ht="15.75">
      <c r="A225" s="4"/>
      <c r="B225" s="5" t="s">
        <v>1183</v>
      </c>
      <c r="C225" s="46"/>
      <c r="D225" s="16"/>
      <c r="E225" s="113"/>
      <c r="F225" s="52"/>
      <c r="G225" s="142"/>
      <c r="H225" s="46"/>
      <c r="I225" s="5"/>
      <c r="J225" s="5"/>
      <c r="K225" s="5"/>
      <c r="L225" s="6"/>
    </row>
    <row r="226" spans="1:12" ht="15.75">
      <c r="A226" s="4"/>
      <c r="B226" s="5"/>
      <c r="C226" s="46"/>
      <c r="D226" s="16"/>
      <c r="E226" s="113"/>
      <c r="F226" s="52"/>
      <c r="G226" s="142"/>
      <c r="H226" s="46"/>
      <c r="I226" s="5"/>
      <c r="J226" s="5"/>
      <c r="K226" s="5"/>
      <c r="L226" s="6"/>
    </row>
    <row r="227" spans="1:12" ht="12.75">
      <c r="A227" s="4"/>
      <c r="B227" s="5"/>
      <c r="C227" s="5"/>
      <c r="D227" s="5"/>
      <c r="E227" s="5"/>
      <c r="F227" s="5"/>
      <c r="G227" s="5"/>
      <c r="H227" s="5"/>
      <c r="I227" s="5"/>
      <c r="J227" s="5"/>
      <c r="K227" s="5"/>
      <c r="L227" s="6"/>
    </row>
    <row r="228" spans="1:12" ht="12.75">
      <c r="A228" s="4"/>
      <c r="B228" s="5"/>
      <c r="C228" s="104" t="s">
        <v>636</v>
      </c>
      <c r="D228" s="5" t="s">
        <v>167</v>
      </c>
      <c r="E228" s="161">
        <f aca="true" t="shared" si="2" ref="E228:G230">E204</f>
        <v>0.9546048640208002</v>
      </c>
      <c r="F228" s="161">
        <f t="shared" si="2"/>
        <v>0</v>
      </c>
      <c r="G228" s="161">
        <f t="shared" si="2"/>
        <v>0.29787506372274514</v>
      </c>
      <c r="H228" s="5"/>
      <c r="I228" s="167">
        <f>Rec_Photo!G95</f>
        <v>0</v>
      </c>
      <c r="J228" s="5" t="s">
        <v>167</v>
      </c>
      <c r="K228" s="162">
        <f>Rec_Photo!G105</f>
        <v>0</v>
      </c>
      <c r="L228" s="6" t="s">
        <v>167</v>
      </c>
    </row>
    <row r="229" spans="1:12" ht="12.75">
      <c r="A229" s="4"/>
      <c r="B229" s="5"/>
      <c r="C229" s="104" t="s">
        <v>638</v>
      </c>
      <c r="D229" s="5" t="s">
        <v>1545</v>
      </c>
      <c r="E229" s="161">
        <f t="shared" si="2"/>
        <v>0</v>
      </c>
      <c r="F229" s="161">
        <f t="shared" si="2"/>
        <v>1</v>
      </c>
      <c r="G229" s="161">
        <f t="shared" si="2"/>
        <v>0</v>
      </c>
      <c r="H229" s="5" t="s">
        <v>641</v>
      </c>
      <c r="I229" s="167">
        <f>Rec_Photo!G96</f>
        <v>0</v>
      </c>
      <c r="J229" s="5" t="s">
        <v>1546</v>
      </c>
      <c r="K229" s="162">
        <f>Rec_Photo!G106</f>
        <v>0</v>
      </c>
      <c r="L229" s="6" t="s">
        <v>167</v>
      </c>
    </row>
    <row r="230" spans="1:12" ht="12.75">
      <c r="A230" s="4"/>
      <c r="B230" s="5"/>
      <c r="C230" s="104" t="s">
        <v>643</v>
      </c>
      <c r="D230" s="5" t="s">
        <v>167</v>
      </c>
      <c r="E230" s="161">
        <f t="shared" si="2"/>
        <v>-0.29787506372274514</v>
      </c>
      <c r="F230" s="161">
        <f t="shared" si="2"/>
        <v>0</v>
      </c>
      <c r="G230" s="161">
        <f t="shared" si="2"/>
        <v>0.9546048640208002</v>
      </c>
      <c r="H230" s="5"/>
      <c r="I230" s="167">
        <f>Rec_Photo!G97</f>
        <v>0</v>
      </c>
      <c r="J230" s="5" t="s">
        <v>167</v>
      </c>
      <c r="K230" s="162">
        <f>K206</f>
        <v>-0.25</v>
      </c>
      <c r="L230" s="6" t="s">
        <v>167</v>
      </c>
    </row>
    <row r="231" spans="1:12" ht="12.75">
      <c r="A231" s="4"/>
      <c r="B231" s="5"/>
      <c r="C231" s="5"/>
      <c r="D231" s="5"/>
      <c r="E231" s="5"/>
      <c r="F231" s="5"/>
      <c r="G231" s="5"/>
      <c r="H231" s="5"/>
      <c r="I231" s="5"/>
      <c r="J231" s="5"/>
      <c r="K231" s="5"/>
      <c r="L231" s="6"/>
    </row>
    <row r="232" spans="1:12" ht="15.75">
      <c r="A232" s="4"/>
      <c r="B232" s="5"/>
      <c r="C232" s="46"/>
      <c r="D232" s="16"/>
      <c r="E232" s="113"/>
      <c r="F232" s="52"/>
      <c r="G232" s="142"/>
      <c r="H232" s="46"/>
      <c r="I232" s="5"/>
      <c r="J232" s="5"/>
      <c r="K232" s="5"/>
      <c r="L232" s="6"/>
    </row>
    <row r="233" spans="1:12" ht="12.75">
      <c r="A233" s="4"/>
      <c r="B233" s="5"/>
      <c r="C233" s="46"/>
      <c r="D233" s="113" t="s">
        <v>1184</v>
      </c>
      <c r="E233" s="24">
        <f>(E228*I228+F228*I229+G228*I230)+K228</f>
        <v>0</v>
      </c>
      <c r="F233" s="5" t="s">
        <v>167</v>
      </c>
      <c r="G233" s="5" t="s">
        <v>1200</v>
      </c>
      <c r="H233" s="46"/>
      <c r="I233" s="5"/>
      <c r="J233" s="5"/>
      <c r="K233" s="5"/>
      <c r="L233" s="6"/>
    </row>
    <row r="234" spans="1:12" ht="13.5" thickBot="1">
      <c r="A234" s="4"/>
      <c r="B234" s="5"/>
      <c r="C234" s="46"/>
      <c r="D234" s="113" t="s">
        <v>1185</v>
      </c>
      <c r="E234" s="24">
        <f>(E229*I228+F229*I229+G229*I230)+K229</f>
        <v>0</v>
      </c>
      <c r="F234" s="5" t="s">
        <v>167</v>
      </c>
      <c r="G234" s="117" t="s">
        <v>1727</v>
      </c>
      <c r="H234" s="117"/>
      <c r="I234" s="117"/>
      <c r="J234" s="117"/>
      <c r="K234" s="117"/>
      <c r="L234" s="6"/>
    </row>
    <row r="235" spans="1:12" ht="13.5" thickBot="1">
      <c r="A235" s="4"/>
      <c r="B235" s="5"/>
      <c r="C235" s="46"/>
      <c r="D235" s="113" t="s">
        <v>1187</v>
      </c>
      <c r="E235" s="24">
        <f>(E230*I228+F230*I229+G230*I230)+K230</f>
        <v>-0.25</v>
      </c>
      <c r="F235" s="5" t="s">
        <v>167</v>
      </c>
      <c r="G235" s="86" t="str">
        <f>IF(((TRUNC(((E233+E234+E235)-K230)*1000))/1000)=0,"None","Error: Principle Point Not at Correct Local Position X=0, Y=0, Z=0")</f>
        <v>None</v>
      </c>
      <c r="H235" s="116"/>
      <c r="I235" s="116"/>
      <c r="J235" s="116"/>
      <c r="K235" s="87"/>
      <c r="L235" s="6"/>
    </row>
    <row r="236" spans="1:12" ht="15.75">
      <c r="A236" s="4"/>
      <c r="B236" s="5"/>
      <c r="C236" s="46"/>
      <c r="D236" s="16"/>
      <c r="E236" s="113"/>
      <c r="F236" s="52"/>
      <c r="G236" s="142"/>
      <c r="H236" s="46"/>
      <c r="I236" s="5"/>
      <c r="J236" s="5"/>
      <c r="K236" s="5"/>
      <c r="L236" s="6"/>
    </row>
    <row r="237" spans="1:12" ht="16.5" thickBot="1">
      <c r="A237" s="7"/>
      <c r="B237" s="8"/>
      <c r="C237" s="49"/>
      <c r="D237" s="163"/>
      <c r="E237" s="164"/>
      <c r="F237" s="58"/>
      <c r="G237" s="165"/>
      <c r="H237" s="49"/>
      <c r="I237" s="8"/>
      <c r="J237" s="8"/>
      <c r="K237" s="8"/>
      <c r="L237" s="9"/>
    </row>
    <row r="242" spans="2:5" ht="15.75">
      <c r="B242" s="225" t="s">
        <v>655</v>
      </c>
      <c r="C242" s="226"/>
      <c r="D242" s="226"/>
      <c r="E242" s="226"/>
    </row>
    <row r="243" ht="13.5" thickBot="1"/>
    <row r="244" spans="3:5" ht="15.75">
      <c r="C244" s="219" t="s">
        <v>656</v>
      </c>
      <c r="D244" s="219" t="s">
        <v>657</v>
      </c>
      <c r="E244" s="223" t="s">
        <v>656</v>
      </c>
    </row>
    <row r="245" spans="3:5" ht="16.5" thickBot="1">
      <c r="C245" s="220" t="s">
        <v>658</v>
      </c>
      <c r="D245" s="228"/>
      <c r="E245" s="224" t="s">
        <v>659</v>
      </c>
    </row>
    <row r="246" spans="3:5" ht="15.75">
      <c r="C246" s="229">
        <v>1</v>
      </c>
      <c r="D246" s="323" t="str">
        <f>IF(Rec_Photo!I65="None","None","Error")</f>
        <v>None</v>
      </c>
      <c r="E246" s="237">
        <f aca="true" t="shared" si="3" ref="E246:E256">IF(D246="None",0,1)</f>
        <v>0</v>
      </c>
    </row>
    <row r="247" spans="3:5" ht="15.75">
      <c r="C247" s="221">
        <v>2</v>
      </c>
      <c r="D247" s="287" t="str">
        <f>IF(Rec_Photo!I74="None","None","Error")</f>
        <v>None</v>
      </c>
      <c r="E247" s="238">
        <f t="shared" si="3"/>
        <v>0</v>
      </c>
    </row>
    <row r="248" spans="3:5" ht="15.75">
      <c r="C248" s="221">
        <v>3</v>
      </c>
      <c r="D248" s="287" t="str">
        <f>IF(Rec_Photo!I80="None","None","Error")</f>
        <v>None</v>
      </c>
      <c r="E248" s="238">
        <f t="shared" si="3"/>
        <v>0</v>
      </c>
    </row>
    <row r="249" spans="3:5" ht="15.75">
      <c r="C249" s="221">
        <v>4</v>
      </c>
      <c r="D249" s="287" t="str">
        <f>IF(Rec_Photo!I81="None","None","Error")</f>
        <v>None</v>
      </c>
      <c r="E249" s="238">
        <f t="shared" si="3"/>
        <v>0</v>
      </c>
    </row>
    <row r="250" spans="3:5" ht="15.75">
      <c r="C250" s="240">
        <v>5</v>
      </c>
      <c r="D250" s="287" t="str">
        <f>IF(I82="None","None","Error")</f>
        <v>None</v>
      </c>
      <c r="E250" s="238">
        <f t="shared" si="3"/>
        <v>0</v>
      </c>
    </row>
    <row r="251" spans="3:5" ht="15.75">
      <c r="C251" s="240">
        <v>6</v>
      </c>
      <c r="D251" s="287" t="str">
        <f>IF(Rec_Photo!J159="None","None","Error")</f>
        <v>None</v>
      </c>
      <c r="E251" s="238">
        <f t="shared" si="3"/>
        <v>0</v>
      </c>
    </row>
    <row r="252" spans="3:5" ht="15.75">
      <c r="C252" s="240">
        <v>7</v>
      </c>
      <c r="D252" s="287" t="str">
        <f>IF(Rec_Photo!H172="None","None","Error")</f>
        <v>None</v>
      </c>
      <c r="E252" s="238">
        <f t="shared" si="3"/>
        <v>0</v>
      </c>
    </row>
    <row r="253" spans="3:5" ht="15.75">
      <c r="C253" s="240">
        <v>8</v>
      </c>
      <c r="D253" s="287" t="str">
        <f>IF(Rec_Photo!H176="None","None","Error")</f>
        <v>None</v>
      </c>
      <c r="E253" s="238">
        <f t="shared" si="3"/>
        <v>0</v>
      </c>
    </row>
    <row r="254" spans="3:5" ht="15.75">
      <c r="C254" s="240">
        <v>9</v>
      </c>
      <c r="D254" s="287" t="str">
        <f>IF(Rec_Photo!D195="None","None","Error")</f>
        <v>None</v>
      </c>
      <c r="E254" s="238">
        <f t="shared" si="3"/>
        <v>0</v>
      </c>
    </row>
    <row r="255" spans="3:5" ht="15.75">
      <c r="C255" s="240">
        <v>10</v>
      </c>
      <c r="D255" s="287" t="str">
        <f>IF(Rec_Photo!G221="None","None","Error")</f>
        <v>None</v>
      </c>
      <c r="E255" s="238">
        <f t="shared" si="3"/>
        <v>0</v>
      </c>
    </row>
    <row r="256" spans="3:5" ht="15.75">
      <c r="C256" s="221">
        <v>11</v>
      </c>
      <c r="D256" s="287" t="str">
        <f>IF(Rec_Photo!G235="None","None","Error")</f>
        <v>None</v>
      </c>
      <c r="E256" s="238">
        <f t="shared" si="3"/>
        <v>0</v>
      </c>
    </row>
    <row r="257" ht="13.5" thickBot="1"/>
    <row r="258" spans="3:5" ht="16.5" thickBot="1">
      <c r="C258" s="234" t="s">
        <v>660</v>
      </c>
      <c r="D258" s="235"/>
      <c r="E258" s="236">
        <f>SUM(E246:E256)</f>
        <v>0</v>
      </c>
    </row>
    <row r="470" ht="13.5" customHeight="1"/>
    <row r="471" ht="13.5" customHeight="1"/>
    <row r="472" ht="13.5" customHeight="1"/>
    <row r="473" ht="13.5" customHeight="1"/>
    <row r="474" ht="13.5" customHeight="1"/>
  </sheetData>
  <sheetProtection password="CFF3" sheet="1" objects="1" scenario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M559"/>
  <sheetViews>
    <sheetView workbookViewId="0" topLeftCell="A1">
      <selection activeCell="A1" sqref="A1"/>
    </sheetView>
  </sheetViews>
  <sheetFormatPr defaultColWidth="9.00390625" defaultRowHeight="12.75"/>
  <cols>
    <col min="1" max="1" width="11.375" style="0" customWidth="1"/>
    <col min="2" max="2" width="12.75390625" style="0" customWidth="1"/>
    <col min="3" max="3" width="12.00390625" style="0" customWidth="1"/>
    <col min="4" max="4" width="15.875" style="0" customWidth="1"/>
    <col min="5" max="6" width="11.375" style="0" customWidth="1"/>
    <col min="7" max="7" width="12.125" style="0" customWidth="1"/>
    <col min="8" max="16384" width="11.375" style="0" customWidth="1"/>
  </cols>
  <sheetData>
    <row r="1" spans="1:12" ht="23.25">
      <c r="A1" s="458" t="s">
        <v>343</v>
      </c>
      <c r="B1" s="298"/>
      <c r="C1" s="298"/>
      <c r="D1" s="298"/>
      <c r="E1" s="298"/>
      <c r="F1" s="298"/>
      <c r="G1" s="298"/>
      <c r="H1" s="298"/>
      <c r="I1" s="298"/>
      <c r="J1" s="298"/>
      <c r="K1" s="298"/>
      <c r="L1" s="298"/>
    </row>
    <row r="2" spans="1:10" ht="15" customHeight="1">
      <c r="A2" s="472"/>
      <c r="B2" s="202"/>
      <c r="C2" s="202"/>
      <c r="D2" s="202"/>
      <c r="E2" s="202"/>
      <c r="F2" s="202"/>
      <c r="G2" s="202"/>
      <c r="H2" s="202"/>
      <c r="I2" s="202"/>
      <c r="J2" s="202"/>
    </row>
    <row r="3" spans="1:13" ht="18" customHeight="1">
      <c r="A3" s="491" t="s">
        <v>950</v>
      </c>
      <c r="B3" s="298"/>
      <c r="C3" s="298"/>
      <c r="D3" s="298"/>
      <c r="E3" s="298"/>
      <c r="F3" s="298"/>
      <c r="G3" s="298"/>
      <c r="H3" s="298"/>
      <c r="I3" s="298"/>
      <c r="J3" s="298"/>
      <c r="K3" s="298"/>
      <c r="L3" s="298"/>
      <c r="M3" s="298"/>
    </row>
    <row r="4" spans="1:13" ht="18.75" customHeight="1">
      <c r="A4" s="492" t="s">
        <v>947</v>
      </c>
      <c r="B4" s="298"/>
      <c r="C4" s="298"/>
      <c r="D4" s="298"/>
      <c r="E4" s="298"/>
      <c r="F4" s="298"/>
      <c r="G4" s="298"/>
      <c r="H4" s="298"/>
      <c r="I4" s="298"/>
      <c r="J4" s="298"/>
      <c r="K4" s="298"/>
      <c r="L4" s="298"/>
      <c r="M4" s="298"/>
    </row>
    <row r="5" spans="1:13" ht="15" customHeight="1">
      <c r="A5" s="458"/>
      <c r="B5" s="298"/>
      <c r="C5" s="298"/>
      <c r="D5" s="298"/>
      <c r="E5" s="298"/>
      <c r="F5" s="298"/>
      <c r="G5" s="298"/>
      <c r="H5" s="298"/>
      <c r="I5" s="298"/>
      <c r="J5" s="298"/>
      <c r="K5" s="298"/>
      <c r="L5" s="298"/>
      <c r="M5" s="298"/>
    </row>
    <row r="6" spans="1:10" ht="15" customHeight="1">
      <c r="A6" s="472"/>
      <c r="B6" s="202"/>
      <c r="C6" s="202"/>
      <c r="D6" s="202"/>
      <c r="E6" s="202"/>
      <c r="F6" s="202"/>
      <c r="G6" s="202"/>
      <c r="H6" s="202"/>
      <c r="I6" s="202"/>
      <c r="J6" s="202"/>
    </row>
    <row r="7" ht="18">
      <c r="A7" s="12" t="s">
        <v>718</v>
      </c>
    </row>
    <row r="8" ht="18">
      <c r="A8" s="12" t="s">
        <v>208</v>
      </c>
    </row>
    <row r="9" ht="18">
      <c r="A9" s="12" t="s">
        <v>1327</v>
      </c>
    </row>
    <row r="10" ht="18.75" thickBot="1">
      <c r="A10" s="12"/>
    </row>
    <row r="11" spans="1:12" ht="13.5" customHeight="1">
      <c r="A11" s="21"/>
      <c r="B11" s="2"/>
      <c r="C11" s="2"/>
      <c r="D11" s="2"/>
      <c r="E11" s="2"/>
      <c r="F11" s="2"/>
      <c r="G11" s="2"/>
      <c r="H11" s="2"/>
      <c r="I11" s="2"/>
      <c r="J11" s="2"/>
      <c r="K11" s="2"/>
      <c r="L11" s="3"/>
    </row>
    <row r="12" spans="1:12" ht="13.5" customHeight="1">
      <c r="A12" s="14" t="s">
        <v>1328</v>
      </c>
      <c r="B12" s="5"/>
      <c r="C12" s="5"/>
      <c r="D12" s="5"/>
      <c r="E12" s="5"/>
      <c r="F12" s="5"/>
      <c r="G12" s="5"/>
      <c r="H12" s="5"/>
      <c r="I12" s="5"/>
      <c r="J12" s="5"/>
      <c r="K12" s="5"/>
      <c r="L12" s="6"/>
    </row>
    <row r="13" spans="1:12" ht="13.5" customHeight="1">
      <c r="A13" s="13"/>
      <c r="B13" s="5"/>
      <c r="C13" s="5"/>
      <c r="D13" s="5"/>
      <c r="E13" s="5"/>
      <c r="F13" s="5"/>
      <c r="G13" s="5"/>
      <c r="H13" s="5"/>
      <c r="I13" s="5"/>
      <c r="J13" s="5"/>
      <c r="K13" s="5"/>
      <c r="L13" s="6"/>
    </row>
    <row r="14" spans="1:12" ht="13.5" customHeight="1">
      <c r="A14" s="13"/>
      <c r="B14" s="5" t="s">
        <v>1251</v>
      </c>
      <c r="C14" s="5"/>
      <c r="D14" s="5"/>
      <c r="E14" s="375" t="b">
        <f>IF(SPH_REC!G102="",FALSE,TRUE)</f>
        <v>1</v>
      </c>
      <c r="F14" s="5"/>
      <c r="G14" s="5"/>
      <c r="H14" s="5"/>
      <c r="I14" s="5"/>
      <c r="J14" s="5"/>
      <c r="K14" s="5"/>
      <c r="L14" s="6"/>
    </row>
    <row r="15" spans="1:12" ht="13.5" customHeight="1">
      <c r="A15" s="13"/>
      <c r="B15" s="5"/>
      <c r="C15" s="5"/>
      <c r="D15" s="5"/>
      <c r="E15" s="5"/>
      <c r="F15" s="5"/>
      <c r="G15" s="5"/>
      <c r="H15" s="5"/>
      <c r="I15" s="5"/>
      <c r="J15" s="5"/>
      <c r="K15" s="5"/>
      <c r="L15" s="6"/>
    </row>
    <row r="16" spans="1:12" ht="13.5" customHeight="1">
      <c r="A16" s="13"/>
      <c r="B16" s="5" t="s">
        <v>1252</v>
      </c>
      <c r="C16" s="5"/>
      <c r="D16" s="5"/>
      <c r="E16" s="375" t="b">
        <f>IF(SPH_REC!G103="",FALSE,TRUE)</f>
        <v>1</v>
      </c>
      <c r="F16" s="5"/>
      <c r="G16" s="5"/>
      <c r="H16" s="5"/>
      <c r="I16" s="5"/>
      <c r="J16" s="5"/>
      <c r="K16" s="5"/>
      <c r="L16" s="6"/>
    </row>
    <row r="17" spans="1:12" ht="13.5" customHeight="1">
      <c r="A17" s="13"/>
      <c r="B17" s="5"/>
      <c r="C17" s="5"/>
      <c r="D17" s="5"/>
      <c r="E17" s="5"/>
      <c r="F17" s="5"/>
      <c r="G17" s="5"/>
      <c r="H17" s="5"/>
      <c r="I17" s="5"/>
      <c r="J17" s="5"/>
      <c r="K17" s="5"/>
      <c r="L17" s="6"/>
    </row>
    <row r="18" spans="1:12" ht="13.5" customHeight="1">
      <c r="A18" s="13"/>
      <c r="B18" s="5" t="s">
        <v>1253</v>
      </c>
      <c r="C18" s="5"/>
      <c r="D18" s="5"/>
      <c r="E18" s="375" t="b">
        <f>IF(SPH_REC!G140="",FALSE,TRUE)</f>
        <v>1</v>
      </c>
      <c r="F18" s="5"/>
      <c r="G18" s="5"/>
      <c r="H18" s="5"/>
      <c r="I18" s="5"/>
      <c r="J18" s="5"/>
      <c r="K18" s="5"/>
      <c r="L18" s="6"/>
    </row>
    <row r="19" spans="1:12" ht="13.5" customHeight="1">
      <c r="A19" s="13"/>
      <c r="B19" s="5"/>
      <c r="C19" s="5"/>
      <c r="D19" s="5"/>
      <c r="E19" s="5"/>
      <c r="F19" s="5"/>
      <c r="G19" s="5"/>
      <c r="H19" s="5"/>
      <c r="I19" s="5"/>
      <c r="J19" s="5"/>
      <c r="K19" s="5"/>
      <c r="L19" s="6"/>
    </row>
    <row r="20" spans="1:12" ht="13.5" customHeight="1">
      <c r="A20" s="13"/>
      <c r="B20" s="5"/>
      <c r="C20" s="5"/>
      <c r="D20" s="5"/>
      <c r="E20" s="5"/>
      <c r="F20" s="5"/>
      <c r="G20" s="5"/>
      <c r="H20" s="5"/>
      <c r="I20" s="5"/>
      <c r="J20" s="5"/>
      <c r="K20" s="5"/>
      <c r="L20" s="6"/>
    </row>
    <row r="21" spans="1:12" ht="13.5" customHeight="1">
      <c r="A21" s="13"/>
      <c r="B21" s="5" t="s">
        <v>479</v>
      </c>
      <c r="C21" s="5"/>
      <c r="D21" s="5"/>
      <c r="E21" s="375" t="b">
        <f>IF(AND(E14,E16,E18)=TRUE,TRUE,FALSE)</f>
        <v>1</v>
      </c>
      <c r="F21" s="5"/>
      <c r="G21" s="5"/>
      <c r="H21" s="5"/>
      <c r="I21" s="5"/>
      <c r="J21" s="5"/>
      <c r="K21" s="5"/>
      <c r="L21" s="6"/>
    </row>
    <row r="22" spans="1:12" ht="13.5" customHeight="1">
      <c r="A22" s="13"/>
      <c r="B22" s="5"/>
      <c r="C22" s="5"/>
      <c r="D22" s="5"/>
      <c r="E22" s="5"/>
      <c r="F22" s="5"/>
      <c r="G22" s="5"/>
      <c r="H22" s="5"/>
      <c r="I22" s="5"/>
      <c r="J22" s="5"/>
      <c r="K22" s="5"/>
      <c r="L22" s="6"/>
    </row>
    <row r="23" spans="1:12" ht="13.5" customHeight="1">
      <c r="A23" s="13"/>
      <c r="B23" s="5"/>
      <c r="C23" s="5" t="s">
        <v>1254</v>
      </c>
      <c r="D23" s="5"/>
      <c r="E23" s="5"/>
      <c r="F23" s="5"/>
      <c r="G23" s="5"/>
      <c r="H23" s="5"/>
      <c r="I23" s="5"/>
      <c r="J23" s="5"/>
      <c r="K23" s="5"/>
      <c r="L23" s="6"/>
    </row>
    <row r="24" spans="1:12" ht="13.5" customHeight="1">
      <c r="A24" s="13"/>
      <c r="B24" s="5"/>
      <c r="C24" s="5"/>
      <c r="D24" s="5"/>
      <c r="E24" s="5"/>
      <c r="F24" s="5"/>
      <c r="G24" s="5"/>
      <c r="H24" s="5"/>
      <c r="I24" s="5"/>
      <c r="J24" s="5"/>
      <c r="K24" s="5"/>
      <c r="L24" s="6"/>
    </row>
    <row r="25" spans="1:12" ht="13.5" customHeight="1" thickBot="1">
      <c r="A25" s="127"/>
      <c r="B25" s="8"/>
      <c r="C25" s="8"/>
      <c r="D25" s="8"/>
      <c r="E25" s="8"/>
      <c r="F25" s="8"/>
      <c r="G25" s="8"/>
      <c r="H25" s="8"/>
      <c r="I25" s="8"/>
      <c r="J25" s="8"/>
      <c r="K25" s="8"/>
      <c r="L25" s="9"/>
    </row>
    <row r="26" spans="1:12" ht="13.5" customHeight="1">
      <c r="A26" s="172"/>
      <c r="B26" s="5"/>
      <c r="C26" s="5"/>
      <c r="D26" s="5"/>
      <c r="E26" s="5"/>
      <c r="F26" s="5"/>
      <c r="G26" s="5"/>
      <c r="H26" s="5"/>
      <c r="I26" s="5"/>
      <c r="J26" s="5"/>
      <c r="K26" s="5"/>
      <c r="L26" s="5"/>
    </row>
    <row r="27" ht="13.5" thickBot="1"/>
    <row r="28" spans="1:12" ht="13.5" customHeight="1">
      <c r="A28" s="1"/>
      <c r="B28" s="2"/>
      <c r="C28" s="2"/>
      <c r="D28" s="2"/>
      <c r="E28" s="2"/>
      <c r="F28" s="2"/>
      <c r="G28" s="2"/>
      <c r="H28" s="2"/>
      <c r="I28" s="2"/>
      <c r="J28" s="2"/>
      <c r="K28" s="2"/>
      <c r="L28" s="3"/>
    </row>
    <row r="29" spans="1:12" ht="13.5" customHeight="1">
      <c r="A29" s="14" t="s">
        <v>1680</v>
      </c>
      <c r="B29" s="5"/>
      <c r="C29" s="5"/>
      <c r="D29" s="5"/>
      <c r="E29" s="5"/>
      <c r="F29" s="5"/>
      <c r="G29" s="5"/>
      <c r="H29" s="5"/>
      <c r="I29" s="5"/>
      <c r="J29" s="5"/>
      <c r="K29" s="5"/>
      <c r="L29" s="6"/>
    </row>
    <row r="30" spans="1:12" ht="13.5" customHeight="1">
      <c r="A30" s="14"/>
      <c r="B30" s="5"/>
      <c r="C30" s="5"/>
      <c r="D30" s="5"/>
      <c r="E30" s="5"/>
      <c r="F30" s="5"/>
      <c r="G30" s="5"/>
      <c r="H30" s="5"/>
      <c r="I30" s="5"/>
      <c r="J30" s="5"/>
      <c r="K30" s="5"/>
      <c r="L30" s="6"/>
    </row>
    <row r="31" spans="1:12" ht="13.5" customHeight="1">
      <c r="A31" s="14"/>
      <c r="B31" s="5" t="s">
        <v>543</v>
      </c>
      <c r="C31" s="5"/>
      <c r="D31" s="5"/>
      <c r="E31" s="5"/>
      <c r="F31" s="5"/>
      <c r="G31" s="5"/>
      <c r="H31" s="5"/>
      <c r="I31" s="5"/>
      <c r="J31" s="5"/>
      <c r="K31" s="5"/>
      <c r="L31" s="6"/>
    </row>
    <row r="32" spans="1:12" ht="13.5" customHeight="1">
      <c r="A32" s="14"/>
      <c r="B32" s="5"/>
      <c r="C32" s="5" t="s">
        <v>1285</v>
      </c>
      <c r="D32" s="5"/>
      <c r="E32" s="5"/>
      <c r="F32" s="5"/>
      <c r="G32" s="5"/>
      <c r="H32" s="5"/>
      <c r="I32" s="5"/>
      <c r="J32" s="5"/>
      <c r="K32" s="5"/>
      <c r="L32" s="6"/>
    </row>
    <row r="33" spans="1:12" ht="13.5" customHeight="1">
      <c r="A33" s="14"/>
      <c r="B33" s="5"/>
      <c r="C33" s="5" t="s">
        <v>1115</v>
      </c>
      <c r="D33" s="5"/>
      <c r="E33" s="5"/>
      <c r="F33" s="5"/>
      <c r="G33" s="5"/>
      <c r="H33" s="5"/>
      <c r="I33" s="5"/>
      <c r="J33" s="5"/>
      <c r="K33" s="5"/>
      <c r="L33" s="6"/>
    </row>
    <row r="34" spans="1:12" ht="13.5" customHeight="1">
      <c r="A34" s="14"/>
      <c r="B34" s="5"/>
      <c r="C34" s="5" t="s">
        <v>1213</v>
      </c>
      <c r="D34" s="5"/>
      <c r="E34" s="5"/>
      <c r="F34" s="5"/>
      <c r="G34" s="5"/>
      <c r="H34" s="5"/>
      <c r="I34" s="5"/>
      <c r="J34" s="5"/>
      <c r="K34" s="5"/>
      <c r="L34" s="6"/>
    </row>
    <row r="35" spans="1:12" ht="13.5" customHeight="1">
      <c r="A35" s="14"/>
      <c r="B35" s="5"/>
      <c r="C35" s="5" t="s">
        <v>1308</v>
      </c>
      <c r="D35" s="5"/>
      <c r="E35" s="5"/>
      <c r="F35" s="5"/>
      <c r="G35" s="5"/>
      <c r="H35" s="5"/>
      <c r="I35" s="5"/>
      <c r="J35" s="5"/>
      <c r="K35" s="5"/>
      <c r="L35" s="6"/>
    </row>
    <row r="36" spans="1:12" ht="13.5" customHeight="1">
      <c r="A36" s="14"/>
      <c r="B36" s="5"/>
      <c r="C36" s="5"/>
      <c r="D36" s="5"/>
      <c r="E36" s="5"/>
      <c r="F36" s="5"/>
      <c r="G36" s="5"/>
      <c r="H36" s="5"/>
      <c r="I36" s="5"/>
      <c r="J36" s="5"/>
      <c r="K36" s="5"/>
      <c r="L36" s="6"/>
    </row>
    <row r="37" spans="1:12" ht="13.5" customHeight="1">
      <c r="A37" s="14"/>
      <c r="B37" s="5"/>
      <c r="C37" s="5"/>
      <c r="D37" s="5"/>
      <c r="E37" s="5"/>
      <c r="F37" s="5"/>
      <c r="G37" s="5"/>
      <c r="H37" s="5"/>
      <c r="I37" s="5"/>
      <c r="J37" s="5"/>
      <c r="K37" s="5"/>
      <c r="L37" s="6"/>
    </row>
    <row r="38" spans="1:12" ht="13.5" customHeight="1">
      <c r="A38" s="14"/>
      <c r="B38" s="5"/>
      <c r="C38" s="5"/>
      <c r="D38" s="5" t="s">
        <v>1218</v>
      </c>
      <c r="E38" s="5"/>
      <c r="F38" s="5"/>
      <c r="G38" s="5"/>
      <c r="H38" s="5"/>
      <c r="I38" s="5"/>
      <c r="J38" s="5"/>
      <c r="K38" s="5"/>
      <c r="L38" s="6"/>
    </row>
    <row r="39" spans="1:12" ht="13.5" customHeight="1">
      <c r="A39" s="14"/>
      <c r="B39" s="5"/>
      <c r="C39" s="5"/>
      <c r="D39" s="5"/>
      <c r="E39" s="5"/>
      <c r="F39" s="5"/>
      <c r="G39" s="5"/>
      <c r="H39" s="5"/>
      <c r="I39" s="5"/>
      <c r="J39" s="5"/>
      <c r="K39" s="5"/>
      <c r="L39" s="6"/>
    </row>
    <row r="40" spans="1:12" ht="13.5" customHeight="1">
      <c r="A40" s="14"/>
      <c r="B40" s="5"/>
      <c r="C40" s="5"/>
      <c r="D40" s="5"/>
      <c r="E40" s="41" t="s">
        <v>1219</v>
      </c>
      <c r="F40" s="5"/>
      <c r="G40" s="5"/>
      <c r="H40" s="5"/>
      <c r="I40" s="5"/>
      <c r="J40" s="5"/>
      <c r="K40" s="5"/>
      <c r="L40" s="6"/>
    </row>
    <row r="41" spans="1:12" ht="13.5" customHeight="1">
      <c r="A41" s="14"/>
      <c r="B41" s="5"/>
      <c r="C41" s="5"/>
      <c r="D41" s="5"/>
      <c r="E41" s="5"/>
      <c r="F41" s="5"/>
      <c r="G41" s="5"/>
      <c r="H41" s="5"/>
      <c r="I41" s="5"/>
      <c r="J41" s="5"/>
      <c r="K41" s="5"/>
      <c r="L41" s="6"/>
    </row>
    <row r="42" spans="1:12" ht="13.5" customHeight="1">
      <c r="A42" s="14"/>
      <c r="B42" s="5"/>
      <c r="C42" s="5"/>
      <c r="D42" s="5"/>
      <c r="E42" s="137" t="s">
        <v>1797</v>
      </c>
      <c r="F42" s="5"/>
      <c r="G42" s="5"/>
      <c r="H42" s="5"/>
      <c r="I42" s="5"/>
      <c r="J42" s="5"/>
      <c r="K42" s="5"/>
      <c r="L42" s="6"/>
    </row>
    <row r="43" spans="1:12" ht="13.5" customHeight="1">
      <c r="A43" s="14"/>
      <c r="B43" s="5"/>
      <c r="C43" s="5"/>
      <c r="D43" s="5"/>
      <c r="E43" s="5"/>
      <c r="F43" s="5"/>
      <c r="G43" s="5"/>
      <c r="H43" s="5"/>
      <c r="I43" s="5"/>
      <c r="J43" s="5"/>
      <c r="K43" s="5"/>
      <c r="L43" s="6"/>
    </row>
    <row r="44" spans="1:12" ht="13.5" customHeight="1">
      <c r="A44" s="14"/>
      <c r="B44" s="5"/>
      <c r="C44" s="5"/>
      <c r="D44" s="5"/>
      <c r="E44" s="5"/>
      <c r="F44" s="5"/>
      <c r="G44" s="5"/>
      <c r="H44" s="5"/>
      <c r="I44" s="5"/>
      <c r="J44" s="5"/>
      <c r="K44" s="5"/>
      <c r="L44" s="6"/>
    </row>
    <row r="45" spans="1:12" ht="13.5" customHeight="1">
      <c r="A45" s="14"/>
      <c r="B45" s="5"/>
      <c r="C45" s="5"/>
      <c r="D45" s="22" t="s">
        <v>1694</v>
      </c>
      <c r="E45" s="5"/>
      <c r="F45" s="5"/>
      <c r="G45" s="5"/>
      <c r="H45" s="5"/>
      <c r="I45" s="5"/>
      <c r="J45" s="5"/>
      <c r="K45" s="5"/>
      <c r="L45" s="6"/>
    </row>
    <row r="46" spans="1:12" ht="13.5" customHeight="1">
      <c r="A46" s="14"/>
      <c r="B46" s="5"/>
      <c r="C46" s="5"/>
      <c r="D46" s="5"/>
      <c r="E46" s="5"/>
      <c r="F46" s="5"/>
      <c r="G46" s="5"/>
      <c r="H46" s="5"/>
      <c r="I46" s="5"/>
      <c r="J46" s="5"/>
      <c r="K46" s="5"/>
      <c r="L46" s="6"/>
    </row>
    <row r="47" spans="1:12" ht="13.5" customHeight="1">
      <c r="A47" s="14"/>
      <c r="B47" s="5"/>
      <c r="C47" s="5"/>
      <c r="D47" s="5"/>
      <c r="E47" s="5"/>
      <c r="F47" s="5"/>
      <c r="G47" s="5"/>
      <c r="H47" s="5"/>
      <c r="I47" s="5"/>
      <c r="J47" s="5"/>
      <c r="K47" s="5"/>
      <c r="L47" s="6"/>
    </row>
    <row r="48" spans="1:12" ht="13.5" customHeight="1">
      <c r="A48" s="14"/>
      <c r="B48" s="5"/>
      <c r="C48" s="5"/>
      <c r="D48" s="5"/>
      <c r="E48" s="5"/>
      <c r="F48" s="5"/>
      <c r="G48" s="5"/>
      <c r="H48" s="5"/>
      <c r="I48" s="5"/>
      <c r="J48" s="5"/>
      <c r="K48" s="5"/>
      <c r="L48" s="6"/>
    </row>
    <row r="49" spans="1:12" ht="13.5" customHeight="1">
      <c r="A49" s="14"/>
      <c r="B49" s="5"/>
      <c r="C49" s="5"/>
      <c r="D49" s="5"/>
      <c r="E49" s="137" t="s">
        <v>1603</v>
      </c>
      <c r="F49" s="5"/>
      <c r="G49" s="5"/>
      <c r="H49" s="5"/>
      <c r="I49" s="5"/>
      <c r="J49" s="5"/>
      <c r="K49" s="5"/>
      <c r="L49" s="6"/>
    </row>
    <row r="50" spans="1:12" ht="13.5" customHeight="1">
      <c r="A50" s="14"/>
      <c r="B50" s="5"/>
      <c r="C50" s="5"/>
      <c r="D50" s="5"/>
      <c r="E50" s="5"/>
      <c r="F50" s="5"/>
      <c r="G50" s="5"/>
      <c r="H50" s="5"/>
      <c r="I50" s="5"/>
      <c r="J50" s="5"/>
      <c r="K50" s="5"/>
      <c r="L50" s="6"/>
    </row>
    <row r="51" spans="1:12" ht="13.5" customHeight="1">
      <c r="A51" s="14"/>
      <c r="B51" s="5"/>
      <c r="C51" s="5"/>
      <c r="D51" s="5"/>
      <c r="E51" s="5"/>
      <c r="F51" s="5"/>
      <c r="G51" s="5"/>
      <c r="H51" s="5"/>
      <c r="I51" s="5"/>
      <c r="J51" s="5"/>
      <c r="K51" s="5"/>
      <c r="L51" s="6"/>
    </row>
    <row r="52" spans="1:12" ht="13.5" customHeight="1">
      <c r="A52" s="14"/>
      <c r="B52" s="5"/>
      <c r="C52" s="5"/>
      <c r="D52" s="5"/>
      <c r="E52" s="5"/>
      <c r="F52" s="5"/>
      <c r="G52" s="5"/>
      <c r="H52" s="5"/>
      <c r="I52" s="5"/>
      <c r="J52" s="5"/>
      <c r="K52" s="5"/>
      <c r="L52" s="6"/>
    </row>
    <row r="53" spans="1:12" ht="13.5" customHeight="1">
      <c r="A53" s="14"/>
      <c r="B53" s="5"/>
      <c r="C53" s="5"/>
      <c r="D53" s="5"/>
      <c r="E53" s="5"/>
      <c r="F53" s="5"/>
      <c r="G53" s="5"/>
      <c r="H53" s="5"/>
      <c r="I53" s="5"/>
      <c r="J53" s="5"/>
      <c r="K53" s="5"/>
      <c r="L53" s="6"/>
    </row>
    <row r="54" spans="1:12" ht="13.5" customHeight="1">
      <c r="A54" s="14"/>
      <c r="B54" s="5"/>
      <c r="C54" s="5"/>
      <c r="D54" s="140"/>
      <c r="E54" s="5"/>
      <c r="F54" s="5"/>
      <c r="G54" s="5"/>
      <c r="H54" s="5"/>
      <c r="I54" s="5"/>
      <c r="J54" s="5"/>
      <c r="K54" s="5"/>
      <c r="L54" s="6"/>
    </row>
    <row r="55" spans="1:12" ht="13.5" customHeight="1">
      <c r="A55" s="4"/>
      <c r="B55" s="5"/>
      <c r="C55" s="5"/>
      <c r="D55" s="5"/>
      <c r="E55" s="5"/>
      <c r="F55" s="5"/>
      <c r="G55" s="5"/>
      <c r="H55" s="5"/>
      <c r="I55" s="5"/>
      <c r="J55" s="5"/>
      <c r="K55" s="5"/>
      <c r="L55" s="6"/>
    </row>
    <row r="56" spans="1:12" ht="13.5" customHeight="1">
      <c r="A56" s="4"/>
      <c r="B56" s="138" t="s">
        <v>742</v>
      </c>
      <c r="C56" s="5"/>
      <c r="D56" s="5"/>
      <c r="E56" s="5"/>
      <c r="F56" s="5"/>
      <c r="G56" s="5"/>
      <c r="H56" s="5"/>
      <c r="I56" s="5"/>
      <c r="J56" s="5"/>
      <c r="K56" s="5"/>
      <c r="L56" s="6"/>
    </row>
    <row r="57" spans="1:12" ht="13.5" customHeight="1">
      <c r="A57" s="4"/>
      <c r="B57" s="110"/>
      <c r="C57" s="139" t="s">
        <v>743</v>
      </c>
      <c r="D57" s="5"/>
      <c r="E57" s="5"/>
      <c r="F57" s="5"/>
      <c r="G57" s="5"/>
      <c r="H57" s="5"/>
      <c r="I57" s="5"/>
      <c r="J57" s="5"/>
      <c r="K57" s="5"/>
      <c r="L57" s="6"/>
    </row>
    <row r="58" spans="1:12" ht="13.5" customHeight="1">
      <c r="A58" s="4"/>
      <c r="B58" s="5"/>
      <c r="C58" s="5"/>
      <c r="D58" s="5"/>
      <c r="E58" s="5"/>
      <c r="F58" s="5"/>
      <c r="G58" s="5"/>
      <c r="H58" s="5"/>
      <c r="I58" s="5"/>
      <c r="J58" s="5"/>
      <c r="K58" s="5"/>
      <c r="L58" s="6"/>
    </row>
    <row r="59" spans="1:12" ht="13.5" customHeight="1" thickBot="1">
      <c r="A59" s="7"/>
      <c r="B59" s="8"/>
      <c r="C59" s="8"/>
      <c r="D59" s="8"/>
      <c r="E59" s="8"/>
      <c r="F59" s="8"/>
      <c r="G59" s="8"/>
      <c r="H59" s="8"/>
      <c r="I59" s="8"/>
      <c r="J59" s="8"/>
      <c r="K59" s="8"/>
      <c r="L59" s="9"/>
    </row>
    <row r="60" ht="16.5" customHeight="1" thickBot="1"/>
    <row r="61" spans="1:12" ht="19.5" customHeight="1">
      <c r="A61" s="21" t="s">
        <v>1255</v>
      </c>
      <c r="B61" s="2"/>
      <c r="C61" s="2"/>
      <c r="D61" s="2"/>
      <c r="E61" s="2"/>
      <c r="F61" s="2"/>
      <c r="G61" s="2"/>
      <c r="H61" s="2"/>
      <c r="I61" s="2"/>
      <c r="J61" s="2"/>
      <c r="K61" s="2"/>
      <c r="L61" s="3"/>
    </row>
    <row r="62" spans="1:12" ht="13.5" customHeight="1">
      <c r="A62" t="s">
        <v>1256</v>
      </c>
      <c r="B62" s="5"/>
      <c r="C62" s="5"/>
      <c r="D62" s="5"/>
      <c r="E62" s="5"/>
      <c r="F62" s="5"/>
      <c r="G62" s="5"/>
      <c r="H62" s="5"/>
      <c r="I62" s="5"/>
      <c r="J62" s="5"/>
      <c r="K62" s="5"/>
      <c r="L62" s="6"/>
    </row>
    <row r="63" spans="2:12" ht="13.5" customHeight="1">
      <c r="B63" s="5"/>
      <c r="C63" s="5"/>
      <c r="D63" s="5"/>
      <c r="E63" s="5"/>
      <c r="F63" s="5"/>
      <c r="G63" s="5"/>
      <c r="H63" s="5"/>
      <c r="I63" s="5"/>
      <c r="J63" s="5"/>
      <c r="K63" s="5"/>
      <c r="L63" s="6"/>
    </row>
    <row r="64" spans="1:12" ht="13.5" customHeight="1">
      <c r="A64" s="45" t="s">
        <v>242</v>
      </c>
      <c r="B64" s="5"/>
      <c r="C64" s="5"/>
      <c r="D64" s="5"/>
      <c r="E64" s="5"/>
      <c r="F64" s="5"/>
      <c r="G64" s="5"/>
      <c r="H64" s="5"/>
      <c r="I64" s="5"/>
      <c r="J64" s="5"/>
      <c r="K64" s="5"/>
      <c r="L64" s="6"/>
    </row>
    <row r="65" spans="1:12" ht="13.5" customHeight="1">
      <c r="A65" s="45" t="s">
        <v>243</v>
      </c>
      <c r="B65" s="5"/>
      <c r="C65" s="5"/>
      <c r="D65" s="5"/>
      <c r="E65" s="5"/>
      <c r="F65" s="5"/>
      <c r="G65" s="5"/>
      <c r="H65" s="5"/>
      <c r="I65" s="5"/>
      <c r="J65" s="5"/>
      <c r="K65" s="5"/>
      <c r="L65" s="6"/>
    </row>
    <row r="66" spans="1:12" ht="13.5" customHeight="1">
      <c r="A66" s="4"/>
      <c r="B66" s="5"/>
      <c r="C66" s="5"/>
      <c r="D66" s="5"/>
      <c r="E66" s="5"/>
      <c r="F66" s="5"/>
      <c r="G66" s="5"/>
      <c r="H66" s="5"/>
      <c r="I66" s="5"/>
      <c r="J66" s="5"/>
      <c r="K66" s="5"/>
      <c r="L66" s="6"/>
    </row>
    <row r="67" spans="1:12" ht="13.5" customHeight="1">
      <c r="A67" s="13"/>
      <c r="B67" s="5"/>
      <c r="C67" s="5"/>
      <c r="D67" s="5"/>
      <c r="E67" s="5"/>
      <c r="F67" s="5"/>
      <c r="G67" s="5"/>
      <c r="H67" s="5"/>
      <c r="I67" s="5"/>
      <c r="J67" s="125"/>
      <c r="K67" s="5"/>
      <c r="L67" s="6"/>
    </row>
    <row r="68" spans="1:12" ht="13.5" customHeight="1">
      <c r="A68" s="13"/>
      <c r="B68" s="5"/>
      <c r="C68" s="5"/>
      <c r="D68" s="5"/>
      <c r="E68" s="126" t="s">
        <v>245</v>
      </c>
      <c r="F68" s="5"/>
      <c r="G68" s="5"/>
      <c r="H68" s="5"/>
      <c r="I68" s="5"/>
      <c r="J68" s="5"/>
      <c r="K68" s="5"/>
      <c r="L68" s="6"/>
    </row>
    <row r="69" spans="1:12" ht="13.5" customHeight="1">
      <c r="A69" s="13"/>
      <c r="B69" s="5"/>
      <c r="C69" s="5"/>
      <c r="D69" s="5"/>
      <c r="E69" s="5"/>
      <c r="F69" s="5"/>
      <c r="G69" s="5"/>
      <c r="H69" s="5" t="s">
        <v>1257</v>
      </c>
      <c r="I69" s="5"/>
      <c r="J69" s="5"/>
      <c r="K69" s="5"/>
      <c r="L69" s="6"/>
    </row>
    <row r="70" spans="1:12" ht="13.5" customHeight="1">
      <c r="A70" s="13"/>
      <c r="B70" s="5"/>
      <c r="C70" s="5"/>
      <c r="D70" s="5"/>
      <c r="E70" s="5"/>
      <c r="F70" s="110" t="s">
        <v>246</v>
      </c>
      <c r="G70" s="5"/>
      <c r="H70" s="5"/>
      <c r="I70" s="5"/>
      <c r="J70" s="22"/>
      <c r="K70" s="5"/>
      <c r="L70" s="6"/>
    </row>
    <row r="71" spans="1:12" ht="13.5" customHeight="1">
      <c r="A71" s="13"/>
      <c r="B71" s="5"/>
      <c r="C71" s="5"/>
      <c r="D71" s="5"/>
      <c r="E71" s="5"/>
      <c r="F71" s="5"/>
      <c r="G71" s="5"/>
      <c r="H71" s="5"/>
      <c r="I71" s="5"/>
      <c r="J71" s="5"/>
      <c r="K71" s="5"/>
      <c r="L71" s="6"/>
    </row>
    <row r="72" spans="1:12" ht="13.5" customHeight="1">
      <c r="A72" s="13"/>
      <c r="B72" s="5"/>
      <c r="C72" s="5"/>
      <c r="D72" s="5"/>
      <c r="E72" s="5"/>
      <c r="F72" s="5"/>
      <c r="G72" s="5"/>
      <c r="H72" s="5"/>
      <c r="I72" s="5"/>
      <c r="J72" s="5"/>
      <c r="K72" s="5"/>
      <c r="L72" s="6"/>
    </row>
    <row r="73" spans="1:12" ht="13.5" customHeight="1">
      <c r="A73" s="13"/>
      <c r="B73" s="5"/>
      <c r="C73" s="5"/>
      <c r="D73" s="5"/>
      <c r="E73" s="5"/>
      <c r="F73" s="5"/>
      <c r="G73" s="5"/>
      <c r="H73" s="5"/>
      <c r="I73" s="5"/>
      <c r="J73" s="5"/>
      <c r="K73" s="20"/>
      <c r="L73" s="6"/>
    </row>
    <row r="74" spans="1:12" ht="13.5" customHeight="1">
      <c r="A74" s="13"/>
      <c r="B74" s="5"/>
      <c r="C74" s="5"/>
      <c r="D74" s="5"/>
      <c r="E74" s="5"/>
      <c r="F74" s="110" t="s">
        <v>247</v>
      </c>
      <c r="G74" s="5"/>
      <c r="H74" s="5"/>
      <c r="I74" s="5"/>
      <c r="J74" s="5"/>
      <c r="K74" s="5"/>
      <c r="L74" s="6"/>
    </row>
    <row r="75" spans="1:12" ht="13.5" customHeight="1">
      <c r="A75" s="13"/>
      <c r="B75" s="5"/>
      <c r="C75" s="5"/>
      <c r="D75" s="5"/>
      <c r="E75" s="5"/>
      <c r="F75" s="5"/>
      <c r="G75" s="5"/>
      <c r="H75" s="5"/>
      <c r="I75" s="5"/>
      <c r="J75" s="5"/>
      <c r="K75" s="110" t="s">
        <v>248</v>
      </c>
      <c r="L75" s="6"/>
    </row>
    <row r="76" spans="1:12" ht="13.5" customHeight="1">
      <c r="A76" s="13"/>
      <c r="B76" s="5"/>
      <c r="C76" s="5"/>
      <c r="D76" s="5"/>
      <c r="E76" s="5"/>
      <c r="F76" s="5"/>
      <c r="G76" s="5"/>
      <c r="H76" s="5"/>
      <c r="I76" s="5"/>
      <c r="J76" s="5"/>
      <c r="K76" s="5"/>
      <c r="L76" s="6"/>
    </row>
    <row r="77" spans="1:12" ht="13.5" customHeight="1">
      <c r="A77" s="13"/>
      <c r="B77" s="5"/>
      <c r="C77" s="5"/>
      <c r="D77" s="5"/>
      <c r="E77" s="5"/>
      <c r="F77" s="5"/>
      <c r="G77" s="5"/>
      <c r="H77" s="5"/>
      <c r="I77" s="5"/>
      <c r="J77" s="5"/>
      <c r="K77" s="5"/>
      <c r="L77" s="6"/>
    </row>
    <row r="78" spans="1:12" ht="13.5" customHeight="1">
      <c r="A78" s="13"/>
      <c r="B78" s="5"/>
      <c r="C78" s="5"/>
      <c r="D78" s="5"/>
      <c r="E78" s="5"/>
      <c r="F78" s="5"/>
      <c r="G78" s="5"/>
      <c r="H78" s="5"/>
      <c r="I78" s="5"/>
      <c r="J78" s="5"/>
      <c r="K78" s="5"/>
      <c r="L78" s="6"/>
    </row>
    <row r="79" spans="1:12" ht="13.5" customHeight="1">
      <c r="A79" s="13"/>
      <c r="B79" s="5"/>
      <c r="C79" s="5"/>
      <c r="D79" s="5"/>
      <c r="E79" s="5"/>
      <c r="F79" s="5"/>
      <c r="G79" s="5"/>
      <c r="H79" s="5"/>
      <c r="I79" s="5"/>
      <c r="J79" s="5"/>
      <c r="K79" s="5"/>
      <c r="L79" s="6"/>
    </row>
    <row r="80" spans="1:12" ht="13.5" customHeight="1">
      <c r="A80" s="13"/>
      <c r="B80" s="5"/>
      <c r="C80" s="5"/>
      <c r="D80" s="22" t="s">
        <v>51</v>
      </c>
      <c r="E80" s="5"/>
      <c r="F80" s="5"/>
      <c r="G80" s="5"/>
      <c r="H80" s="5"/>
      <c r="I80" s="5"/>
      <c r="J80" s="5"/>
      <c r="K80" s="5"/>
      <c r="L80" s="6"/>
    </row>
    <row r="81" spans="1:12" ht="13.5" customHeight="1">
      <c r="A81" s="13"/>
      <c r="B81" s="5"/>
      <c r="C81" s="5"/>
      <c r="D81" s="5"/>
      <c r="E81" s="5"/>
      <c r="F81" s="5"/>
      <c r="G81" s="5"/>
      <c r="H81" s="5"/>
      <c r="I81" s="5"/>
      <c r="J81" s="5"/>
      <c r="K81" s="5"/>
      <c r="L81" s="6"/>
    </row>
    <row r="82" spans="1:12" ht="13.5" customHeight="1">
      <c r="A82" s="13"/>
      <c r="B82" s="5"/>
      <c r="C82" s="5"/>
      <c r="D82" s="5"/>
      <c r="E82" s="22" t="s">
        <v>1714</v>
      </c>
      <c r="F82" s="5"/>
      <c r="G82" s="5"/>
      <c r="H82" s="5"/>
      <c r="I82" s="5"/>
      <c r="J82" s="5"/>
      <c r="K82" s="5"/>
      <c r="L82" s="6"/>
    </row>
    <row r="83" spans="1:12" ht="13.5" customHeight="1">
      <c r="A83" s="13"/>
      <c r="B83" s="5"/>
      <c r="C83" s="5"/>
      <c r="D83" s="5"/>
      <c r="E83" s="5"/>
      <c r="F83" s="5"/>
      <c r="G83" s="5"/>
      <c r="H83" s="5"/>
      <c r="I83" s="5"/>
      <c r="J83" s="5"/>
      <c r="K83" s="5"/>
      <c r="L83" s="6"/>
    </row>
    <row r="84" spans="1:12" ht="13.5" customHeight="1">
      <c r="A84" s="13"/>
      <c r="B84" s="5"/>
      <c r="C84" s="5"/>
      <c r="D84" s="5"/>
      <c r="E84" s="5"/>
      <c r="F84" s="5"/>
      <c r="G84" s="5"/>
      <c r="H84" s="5"/>
      <c r="I84" s="5"/>
      <c r="J84" s="5"/>
      <c r="K84" s="110" t="s">
        <v>1803</v>
      </c>
      <c r="L84" s="6"/>
    </row>
    <row r="85" spans="1:12" ht="13.5" customHeight="1">
      <c r="A85" s="13"/>
      <c r="B85" s="5" t="s">
        <v>1804</v>
      </c>
      <c r="C85" s="5"/>
      <c r="D85" s="5"/>
      <c r="E85" s="5"/>
      <c r="F85" s="5" t="s">
        <v>1805</v>
      </c>
      <c r="G85" s="5"/>
      <c r="H85" s="5"/>
      <c r="I85" s="5"/>
      <c r="J85" s="5"/>
      <c r="K85" s="5"/>
      <c r="L85" s="6"/>
    </row>
    <row r="86" spans="1:12" ht="13.5" customHeight="1">
      <c r="A86" s="13"/>
      <c r="B86" s="5"/>
      <c r="C86" s="5"/>
      <c r="D86" s="5"/>
      <c r="E86" s="5"/>
      <c r="F86" s="5"/>
      <c r="G86" s="5"/>
      <c r="H86" s="5"/>
      <c r="I86" s="5"/>
      <c r="J86" s="5"/>
      <c r="K86" s="5"/>
      <c r="L86" s="6"/>
    </row>
    <row r="87" spans="1:12" ht="13.5" customHeight="1">
      <c r="A87" s="13"/>
      <c r="B87" s="5"/>
      <c r="C87" s="5"/>
      <c r="D87" s="5"/>
      <c r="E87" s="5"/>
      <c r="F87" s="5"/>
      <c r="G87" s="5"/>
      <c r="H87" s="5"/>
      <c r="I87" s="5"/>
      <c r="J87" s="5"/>
      <c r="K87" s="5"/>
      <c r="L87" s="6"/>
    </row>
    <row r="88" spans="1:12" ht="13.5" customHeight="1">
      <c r="A88" s="13"/>
      <c r="B88" s="5"/>
      <c r="C88" s="5"/>
      <c r="D88" s="5"/>
      <c r="E88" s="5"/>
      <c r="F88" s="5"/>
      <c r="G88" s="5"/>
      <c r="H88" s="5"/>
      <c r="I88" s="5"/>
      <c r="J88" s="5"/>
      <c r="K88" s="5"/>
      <c r="L88" s="6"/>
    </row>
    <row r="89" spans="1:12" ht="13.5" customHeight="1">
      <c r="A89" s="13"/>
      <c r="B89" s="5"/>
      <c r="C89" s="5" t="s">
        <v>1696</v>
      </c>
      <c r="D89" s="5"/>
      <c r="E89" s="5"/>
      <c r="F89" s="5"/>
      <c r="G89" s="5"/>
      <c r="H89" s="22" t="s">
        <v>1709</v>
      </c>
      <c r="I89" s="5"/>
      <c r="J89" s="5"/>
      <c r="K89" s="5"/>
      <c r="L89" s="6"/>
    </row>
    <row r="90" spans="1:12" ht="13.5" customHeight="1">
      <c r="A90" s="13"/>
      <c r="B90" s="5"/>
      <c r="C90" s="5" t="s">
        <v>52</v>
      </c>
      <c r="D90" s="5"/>
      <c r="E90" s="5"/>
      <c r="F90" s="5"/>
      <c r="G90" s="5"/>
      <c r="H90" s="5"/>
      <c r="I90" s="5"/>
      <c r="J90" s="5"/>
      <c r="K90" s="5"/>
      <c r="L90" s="6"/>
    </row>
    <row r="91" spans="1:12" ht="13.5" customHeight="1">
      <c r="A91" s="13"/>
      <c r="B91" s="5"/>
      <c r="C91" s="5"/>
      <c r="D91" s="5"/>
      <c r="E91" s="5"/>
      <c r="F91" s="5"/>
      <c r="G91" s="5"/>
      <c r="I91" s="5"/>
      <c r="J91" s="5"/>
      <c r="K91" s="5" t="s">
        <v>1333</v>
      </c>
      <c r="L91" s="6"/>
    </row>
    <row r="92" spans="1:12" ht="13.5" customHeight="1">
      <c r="A92" s="13"/>
      <c r="B92" s="5"/>
      <c r="C92" s="5"/>
      <c r="D92" s="5"/>
      <c r="E92" s="5"/>
      <c r="F92" s="5"/>
      <c r="G92" s="5"/>
      <c r="H92" s="5"/>
      <c r="I92" s="22" t="s">
        <v>1514</v>
      </c>
      <c r="J92" s="5"/>
      <c r="K92" s="5"/>
      <c r="L92" s="6"/>
    </row>
    <row r="93" spans="1:12" ht="13.5" customHeight="1">
      <c r="A93" s="13"/>
      <c r="B93" s="5"/>
      <c r="C93" s="5"/>
      <c r="D93" s="5"/>
      <c r="E93" s="5"/>
      <c r="F93" s="5"/>
      <c r="G93" s="5"/>
      <c r="H93" s="5"/>
      <c r="I93" s="5"/>
      <c r="J93" s="5"/>
      <c r="K93" s="5"/>
      <c r="L93" s="6"/>
    </row>
    <row r="94" spans="1:12" ht="13.5" customHeight="1">
      <c r="A94" s="13"/>
      <c r="B94" s="5"/>
      <c r="C94" s="5"/>
      <c r="D94" s="5"/>
      <c r="E94" s="5"/>
      <c r="F94" s="5"/>
      <c r="G94" s="5"/>
      <c r="H94" s="5"/>
      <c r="I94" s="5"/>
      <c r="J94" s="5"/>
      <c r="K94" s="5"/>
      <c r="L94" s="6"/>
    </row>
    <row r="95" spans="1:12" ht="13.5" customHeight="1" thickBot="1">
      <c r="A95" s="127"/>
      <c r="B95" s="8"/>
      <c r="C95" s="8"/>
      <c r="D95" s="8"/>
      <c r="E95" s="8"/>
      <c r="F95" s="8"/>
      <c r="G95" s="8"/>
      <c r="H95" s="8"/>
      <c r="I95" s="8"/>
      <c r="J95" s="8"/>
      <c r="K95" s="8"/>
      <c r="L95" s="9"/>
    </row>
    <row r="96" spans="1:12" ht="13.5" customHeight="1">
      <c r="A96" s="172"/>
      <c r="B96" s="5"/>
      <c r="C96" s="5"/>
      <c r="D96" s="5"/>
      <c r="E96" s="5"/>
      <c r="F96" s="5"/>
      <c r="G96" s="5"/>
      <c r="H96" s="5"/>
      <c r="I96" s="5"/>
      <c r="J96" s="5"/>
      <c r="K96" s="5"/>
      <c r="L96" s="5"/>
    </row>
    <row r="97" ht="13.5" customHeight="1" thickBot="1"/>
    <row r="98" spans="1:12" ht="13.5" customHeight="1">
      <c r="A98" s="1"/>
      <c r="B98" s="2"/>
      <c r="C98" s="2"/>
      <c r="D98" s="2"/>
      <c r="E98" s="2"/>
      <c r="F98" s="2"/>
      <c r="G98" s="2"/>
      <c r="H98" s="2"/>
      <c r="I98" s="2"/>
      <c r="J98" s="2"/>
      <c r="K98" s="2"/>
      <c r="L98" s="3"/>
    </row>
    <row r="99" spans="1:12" ht="13.5" customHeight="1">
      <c r="A99" s="4" t="s">
        <v>1046</v>
      </c>
      <c r="B99" s="5"/>
      <c r="C99" s="5"/>
      <c r="D99" s="5"/>
      <c r="E99" s="5"/>
      <c r="F99" s="5"/>
      <c r="G99" s="5"/>
      <c r="H99" s="5"/>
      <c r="I99" s="5"/>
      <c r="J99" s="5"/>
      <c r="K99" s="5"/>
      <c r="L99" s="6"/>
    </row>
    <row r="100" spans="1:12" ht="13.5" customHeight="1">
      <c r="A100" s="4"/>
      <c r="B100" s="5"/>
      <c r="C100" s="5"/>
      <c r="D100" s="5"/>
      <c r="E100" s="5"/>
      <c r="F100" s="5"/>
      <c r="G100" s="5"/>
      <c r="H100" s="5"/>
      <c r="I100" s="5"/>
      <c r="J100" s="5"/>
      <c r="K100" s="5"/>
      <c r="L100" s="6"/>
    </row>
    <row r="101" spans="1:12" ht="13.5" customHeight="1">
      <c r="A101" s="4"/>
      <c r="B101" s="5"/>
      <c r="C101" s="5"/>
      <c r="D101" s="5"/>
      <c r="E101" s="5"/>
      <c r="F101" s="5"/>
      <c r="G101" s="5"/>
      <c r="H101" s="5"/>
      <c r="I101" s="5"/>
      <c r="J101" s="5"/>
      <c r="K101" s="5"/>
      <c r="L101" s="6"/>
    </row>
    <row r="102" spans="1:12" ht="13.5" customHeight="1">
      <c r="A102" s="4"/>
      <c r="B102" s="5" t="s">
        <v>1047</v>
      </c>
      <c r="C102" s="5"/>
      <c r="D102" s="5"/>
      <c r="E102" s="5"/>
      <c r="F102" s="5" t="s">
        <v>66</v>
      </c>
      <c r="G102" s="5"/>
      <c r="H102" s="5"/>
      <c r="I102" s="5"/>
      <c r="J102" s="5"/>
      <c r="K102" s="5"/>
      <c r="L102" s="6"/>
    </row>
    <row r="103" spans="1:12" ht="13.5" customHeight="1">
      <c r="A103" s="4"/>
      <c r="B103" s="5"/>
      <c r="C103" s="5"/>
      <c r="D103" s="5"/>
      <c r="E103" s="5"/>
      <c r="F103" s="5"/>
      <c r="G103" s="5"/>
      <c r="H103" s="5"/>
      <c r="I103" s="5"/>
      <c r="J103" s="5"/>
      <c r="K103" s="5"/>
      <c r="L103" s="6"/>
    </row>
    <row r="104" spans="1:12" ht="13.5" customHeight="1">
      <c r="A104" s="4"/>
      <c r="B104" s="5" t="str">
        <f>Trans_Origin!D401</f>
        <v>X_Lap  =</v>
      </c>
      <c r="C104" s="376">
        <f>Trans_Origin!E401</f>
        <v>116075.92409403808</v>
      </c>
      <c r="D104" s="5" t="str">
        <f>Trans_Origin!F401</f>
        <v>m</v>
      </c>
      <c r="E104" s="5"/>
      <c r="F104" s="5" t="str">
        <f>Trans_Origin!D359</f>
        <v>X_Lss  =</v>
      </c>
      <c r="G104" s="267">
        <f>Trans_Origin!E359</f>
        <v>4.656612873077393E-10</v>
      </c>
      <c r="H104" s="5" t="str">
        <f>Trans_Origin!F359</f>
        <v>m</v>
      </c>
      <c r="I104" s="5"/>
      <c r="J104" s="5"/>
      <c r="K104" s="5"/>
      <c r="L104" s="6"/>
    </row>
    <row r="105" spans="1:12" ht="13.5" customHeight="1">
      <c r="A105" s="4"/>
      <c r="B105" s="5" t="str">
        <f>Trans_Origin!D402</f>
        <v>Y_Lap  =</v>
      </c>
      <c r="C105" s="376">
        <f>Trans_Origin!E402</f>
        <v>38744.30590704782</v>
      </c>
      <c r="D105" s="5" t="str">
        <f>Trans_Origin!F402</f>
        <v>m</v>
      </c>
      <c r="E105" s="5"/>
      <c r="F105" s="5" t="str">
        <f>Trans_Origin!D360</f>
        <v>Y_Lss  =</v>
      </c>
      <c r="G105" s="267">
        <f>Trans_Origin!E360</f>
        <v>-1.1641532182693481E-10</v>
      </c>
      <c r="H105" s="5" t="str">
        <f>Trans_Origin!F360</f>
        <v>m</v>
      </c>
      <c r="I105" s="5"/>
      <c r="J105" s="5"/>
      <c r="K105" s="5"/>
      <c r="L105" s="6"/>
    </row>
    <row r="106" spans="1:12" ht="13.5" customHeight="1">
      <c r="A106" s="4"/>
      <c r="B106" s="5" t="str">
        <f>Trans_Origin!D403</f>
        <v>Z_Lap  =</v>
      </c>
      <c r="C106" s="376">
        <f>Trans_Origin!E403</f>
        <v>-297495.45846557803</v>
      </c>
      <c r="D106" s="5" t="str">
        <f>Trans_Origin!F403</f>
        <v>m</v>
      </c>
      <c r="E106" s="5"/>
      <c r="F106" s="5" t="str">
        <f>Trans_Origin!D361</f>
        <v>Z_Lss  =</v>
      </c>
      <c r="G106" s="267">
        <f>Trans_Origin!E361</f>
        <v>0</v>
      </c>
      <c r="H106" s="5" t="str">
        <f>Trans_Origin!F361</f>
        <v>m</v>
      </c>
      <c r="I106" s="5"/>
      <c r="J106" s="5"/>
      <c r="K106" s="5"/>
      <c r="L106" s="6"/>
    </row>
    <row r="107" spans="1:12" ht="13.5" customHeight="1">
      <c r="A107" s="4"/>
      <c r="B107" s="5"/>
      <c r="C107" s="5"/>
      <c r="D107" s="5"/>
      <c r="E107" s="5"/>
      <c r="F107" s="5"/>
      <c r="G107" s="5"/>
      <c r="H107" s="5"/>
      <c r="I107" s="5"/>
      <c r="J107" s="5"/>
      <c r="K107" s="5"/>
      <c r="L107" s="6"/>
    </row>
    <row r="108" spans="1:12" ht="13.5" customHeight="1">
      <c r="A108" s="4"/>
      <c r="B108" s="5"/>
      <c r="C108" s="5"/>
      <c r="D108" s="5"/>
      <c r="E108" s="5"/>
      <c r="F108" s="5"/>
      <c r="G108" s="5"/>
      <c r="H108" s="5"/>
      <c r="I108" s="5"/>
      <c r="J108" s="5"/>
      <c r="K108" s="5"/>
      <c r="L108" s="6"/>
    </row>
    <row r="109" spans="1:12" ht="13.5" customHeight="1">
      <c r="A109" s="4"/>
      <c r="B109" s="5" t="s">
        <v>67</v>
      </c>
      <c r="C109" s="5"/>
      <c r="D109" s="5"/>
      <c r="E109" s="5"/>
      <c r="F109" s="5"/>
      <c r="G109" s="5"/>
      <c r="H109" s="375">
        <f>IF(E21=TRUE,SQRT((G104-C104)^2+(G105-C105)^2+(G106-C106)^2),"")</f>
        <v>321680.414700908</v>
      </c>
      <c r="I109" s="5" t="s">
        <v>167</v>
      </c>
      <c r="J109" s="5"/>
      <c r="K109" s="5"/>
      <c r="L109" s="6"/>
    </row>
    <row r="110" spans="1:12" ht="13.5" customHeight="1">
      <c r="A110" s="4"/>
      <c r="B110" s="5"/>
      <c r="C110" s="5"/>
      <c r="D110" s="5"/>
      <c r="E110" s="5"/>
      <c r="F110" s="5"/>
      <c r="G110" s="5"/>
      <c r="H110" s="5"/>
      <c r="I110" s="5"/>
      <c r="J110" s="5"/>
      <c r="K110" s="5"/>
      <c r="L110" s="6"/>
    </row>
    <row r="111" spans="1:12" ht="13.5" customHeight="1">
      <c r="A111" s="4"/>
      <c r="B111" s="5" t="s">
        <v>117</v>
      </c>
      <c r="C111" s="5"/>
      <c r="D111" s="5"/>
      <c r="E111" s="5"/>
      <c r="F111" s="5"/>
      <c r="G111" s="5"/>
      <c r="H111" s="5"/>
      <c r="I111" s="5"/>
      <c r="J111" s="5"/>
      <c r="K111" s="5"/>
      <c r="L111" s="6"/>
    </row>
    <row r="112" spans="1:12" ht="13.5" customHeight="1">
      <c r="A112" s="4"/>
      <c r="B112" s="5"/>
      <c r="C112" s="5"/>
      <c r="D112" s="5"/>
      <c r="E112" s="5"/>
      <c r="F112" s="5"/>
      <c r="G112" s="5"/>
      <c r="H112" s="5"/>
      <c r="I112" s="5"/>
      <c r="J112" s="5"/>
      <c r="K112" s="5"/>
      <c r="L112" s="6"/>
    </row>
    <row r="113" spans="1:12" ht="13.5" customHeight="1">
      <c r="A113" s="4"/>
      <c r="B113" s="5"/>
      <c r="C113" s="5"/>
      <c r="D113" s="5"/>
      <c r="E113" s="5"/>
      <c r="F113" s="5"/>
      <c r="G113" s="5"/>
      <c r="H113" s="5"/>
      <c r="I113" s="5"/>
      <c r="J113" s="5"/>
      <c r="K113" s="5"/>
      <c r="L113" s="6"/>
    </row>
    <row r="114" spans="1:12" ht="13.5" customHeight="1">
      <c r="A114" s="4"/>
      <c r="B114" s="5"/>
      <c r="C114" s="5"/>
      <c r="D114" s="5" t="s">
        <v>325</v>
      </c>
      <c r="E114" s="375">
        <f>IF(E21=FALSE,"",(C104-G104)/H109)</f>
        <v>0.36084237270696967</v>
      </c>
      <c r="F114" s="5"/>
      <c r="G114" s="5"/>
      <c r="H114" s="5"/>
      <c r="I114" s="5"/>
      <c r="J114" s="5"/>
      <c r="K114" s="5"/>
      <c r="L114" s="6"/>
    </row>
    <row r="115" spans="1:12" ht="13.5" customHeight="1">
      <c r="A115" s="4"/>
      <c r="B115" s="5"/>
      <c r="C115" s="5"/>
      <c r="D115" s="5" t="s">
        <v>1504</v>
      </c>
      <c r="E115" s="375">
        <f>IF(E21=FALSE,"",(C105-G105)/H109)</f>
        <v>0.12044347164583089</v>
      </c>
      <c r="F115" s="5"/>
      <c r="G115" s="5"/>
      <c r="H115" s="5"/>
      <c r="I115" s="5"/>
      <c r="J115" s="5"/>
      <c r="K115" s="5"/>
      <c r="L115" s="6"/>
    </row>
    <row r="116" spans="1:12" ht="13.5" customHeight="1">
      <c r="A116" s="4"/>
      <c r="B116" s="5"/>
      <c r="C116" s="5"/>
      <c r="D116" s="5" t="s">
        <v>1505</v>
      </c>
      <c r="E116" s="375">
        <f>IF(E21=FALSE,"",(C106-G106)/H109)</f>
        <v>-0.9248168208878471</v>
      </c>
      <c r="F116" s="5"/>
      <c r="G116" s="5"/>
      <c r="H116" s="5"/>
      <c r="I116" s="5"/>
      <c r="J116" s="5"/>
      <c r="K116" s="5"/>
      <c r="L116" s="6"/>
    </row>
    <row r="117" spans="1:12" ht="13.5" customHeight="1">
      <c r="A117" s="4"/>
      <c r="B117" s="5"/>
      <c r="C117" s="5"/>
      <c r="D117" s="5"/>
      <c r="E117" s="5"/>
      <c r="F117" s="5"/>
      <c r="G117" s="5"/>
      <c r="H117" s="5"/>
      <c r="I117" s="5"/>
      <c r="J117" s="5"/>
      <c r="K117" s="5"/>
      <c r="L117" s="6"/>
    </row>
    <row r="118" spans="1:12" ht="13.5" customHeight="1">
      <c r="A118" s="4"/>
      <c r="B118" s="5"/>
      <c r="C118" s="5"/>
      <c r="D118" s="5"/>
      <c r="E118" s="5"/>
      <c r="F118" s="5"/>
      <c r="G118" s="5"/>
      <c r="H118" s="5"/>
      <c r="I118" s="5"/>
      <c r="J118" s="5"/>
      <c r="K118" s="5"/>
      <c r="L118" s="6"/>
    </row>
    <row r="119" spans="1:12" ht="13.5" customHeight="1">
      <c r="A119" s="4"/>
      <c r="B119" s="5" t="s">
        <v>44</v>
      </c>
      <c r="C119" s="5"/>
      <c r="D119" s="5"/>
      <c r="E119" s="5"/>
      <c r="F119" s="5"/>
      <c r="G119" s="5"/>
      <c r="H119" s="5"/>
      <c r="I119" s="5"/>
      <c r="J119" s="5"/>
      <c r="K119" s="5"/>
      <c r="L119" s="6"/>
    </row>
    <row r="120" spans="1:12" ht="13.5" customHeight="1">
      <c r="A120" s="4"/>
      <c r="B120" s="5"/>
      <c r="C120" s="5"/>
      <c r="D120" s="5"/>
      <c r="E120" s="5"/>
      <c r="F120" s="5"/>
      <c r="G120" s="5"/>
      <c r="H120" s="5"/>
      <c r="I120" s="5"/>
      <c r="J120" s="5"/>
      <c r="K120" s="5"/>
      <c r="L120" s="6"/>
    </row>
    <row r="121" spans="1:12" ht="13.5" customHeight="1">
      <c r="A121" s="4"/>
      <c r="B121" s="5"/>
      <c r="C121" s="5" t="s">
        <v>1512</v>
      </c>
      <c r="D121" s="5"/>
      <c r="E121" s="5"/>
      <c r="F121" s="5"/>
      <c r="G121" s="5"/>
      <c r="H121" s="5"/>
      <c r="I121" s="5"/>
      <c r="J121" s="5"/>
      <c r="K121" s="5"/>
      <c r="L121" s="6"/>
    </row>
    <row r="122" spans="1:12" ht="13.5" customHeight="1">
      <c r="A122" s="4"/>
      <c r="B122" s="5"/>
      <c r="C122" s="5"/>
      <c r="D122" s="5"/>
      <c r="E122" s="5"/>
      <c r="F122" s="5"/>
      <c r="G122" s="5"/>
      <c r="H122" s="5"/>
      <c r="I122" s="5"/>
      <c r="J122" s="5"/>
      <c r="K122" s="5"/>
      <c r="L122" s="6"/>
    </row>
    <row r="123" spans="1:12" ht="13.5" customHeight="1">
      <c r="A123" s="4"/>
      <c r="B123" s="5"/>
      <c r="C123" s="5"/>
      <c r="D123" s="5" t="s">
        <v>1618</v>
      </c>
      <c r="E123" s="375">
        <f>IF(E114="","",E114*-1)</f>
        <v>-0.36084237270696967</v>
      </c>
      <c r="F123" s="5"/>
      <c r="G123" s="5"/>
      <c r="H123" s="5"/>
      <c r="I123" s="5"/>
      <c r="J123" s="5"/>
      <c r="K123" s="5"/>
      <c r="L123" s="6"/>
    </row>
    <row r="124" spans="1:12" ht="13.5" customHeight="1">
      <c r="A124" s="4"/>
      <c r="B124" s="5"/>
      <c r="C124" s="5"/>
      <c r="D124" s="5" t="s">
        <v>1510</v>
      </c>
      <c r="E124" s="375">
        <f>IF(E114="","",E115*-1)</f>
        <v>-0.12044347164583089</v>
      </c>
      <c r="F124" s="5"/>
      <c r="G124" s="5"/>
      <c r="H124" s="5"/>
      <c r="I124" s="5"/>
      <c r="J124" s="5"/>
      <c r="K124" s="5"/>
      <c r="L124" s="6"/>
    </row>
    <row r="125" spans="1:12" ht="13.5" customHeight="1">
      <c r="A125" s="4"/>
      <c r="B125" s="5"/>
      <c r="C125" s="5"/>
      <c r="D125" s="5" t="s">
        <v>1511</v>
      </c>
      <c r="E125" s="375">
        <f>IF(E114="","",E116*-1)</f>
        <v>0.9248168208878471</v>
      </c>
      <c r="F125" s="5"/>
      <c r="G125" s="5"/>
      <c r="H125" s="5"/>
      <c r="I125" s="5"/>
      <c r="J125" s="5"/>
      <c r="K125" s="5"/>
      <c r="L125" s="6"/>
    </row>
    <row r="126" spans="1:12" ht="13.5" customHeight="1">
      <c r="A126" s="4"/>
      <c r="B126" s="5"/>
      <c r="C126" s="5"/>
      <c r="D126" s="5"/>
      <c r="E126" s="5"/>
      <c r="F126" s="5"/>
      <c r="G126" s="5"/>
      <c r="H126" s="5"/>
      <c r="I126" s="5"/>
      <c r="J126" s="5"/>
      <c r="K126" s="5"/>
      <c r="L126" s="6"/>
    </row>
    <row r="127" spans="1:12" ht="13.5" customHeight="1" thickBot="1">
      <c r="A127" s="7"/>
      <c r="B127" s="8"/>
      <c r="C127" s="8"/>
      <c r="D127" s="8"/>
      <c r="E127" s="8"/>
      <c r="F127" s="8"/>
      <c r="G127" s="8"/>
      <c r="H127" s="8"/>
      <c r="I127" s="8"/>
      <c r="J127" s="8"/>
      <c r="K127" s="8"/>
      <c r="L127" s="9"/>
    </row>
    <row r="128" ht="13.5" customHeight="1" thickBot="1"/>
    <row r="129" spans="1:12" ht="13.5" customHeight="1">
      <c r="A129" s="1"/>
      <c r="B129" s="2"/>
      <c r="C129" s="2"/>
      <c r="D129" s="2"/>
      <c r="E129" s="2"/>
      <c r="F129" s="2"/>
      <c r="G129" s="2"/>
      <c r="H129" s="2"/>
      <c r="I129" s="2"/>
      <c r="J129" s="2"/>
      <c r="K129" s="2"/>
      <c r="L129" s="3"/>
    </row>
    <row r="130" spans="1:12" ht="13.5" customHeight="1">
      <c r="A130" s="4" t="s">
        <v>46</v>
      </c>
      <c r="B130" s="5"/>
      <c r="C130" s="5"/>
      <c r="D130" s="5"/>
      <c r="E130" s="5"/>
      <c r="F130" s="5"/>
      <c r="G130" s="5"/>
      <c r="H130" s="5"/>
      <c r="I130" s="5"/>
      <c r="J130" s="5"/>
      <c r="K130" s="5"/>
      <c r="L130" s="6"/>
    </row>
    <row r="131" spans="1:12" ht="13.5" customHeight="1">
      <c r="A131" s="4"/>
      <c r="B131" s="5"/>
      <c r="C131" s="5"/>
      <c r="D131" s="5"/>
      <c r="E131" s="5"/>
      <c r="F131" s="5"/>
      <c r="G131" s="5"/>
      <c r="H131" s="5"/>
      <c r="I131" s="5"/>
      <c r="J131" s="5"/>
      <c r="K131" s="5"/>
      <c r="L131" s="6"/>
    </row>
    <row r="132" spans="1:12" ht="13.5" customHeight="1">
      <c r="A132" s="4"/>
      <c r="B132" s="5"/>
      <c r="C132" s="5"/>
      <c r="D132" s="5"/>
      <c r="E132" s="5"/>
      <c r="F132" s="5"/>
      <c r="G132" s="5"/>
      <c r="H132" s="5"/>
      <c r="I132" s="5"/>
      <c r="J132" s="5"/>
      <c r="K132" s="5"/>
      <c r="L132" s="6"/>
    </row>
    <row r="133" spans="1:12" ht="13.5" customHeight="1">
      <c r="A133" s="4"/>
      <c r="B133" s="5" t="s">
        <v>1513</v>
      </c>
      <c r="C133" s="5"/>
      <c r="D133" s="5"/>
      <c r="E133" s="5"/>
      <c r="F133" s="5" t="s">
        <v>47</v>
      </c>
      <c r="G133" s="5"/>
      <c r="H133" s="5"/>
      <c r="I133" s="5"/>
      <c r="J133" s="5"/>
      <c r="K133" s="5"/>
      <c r="L133" s="6"/>
    </row>
    <row r="134" spans="1:12" ht="13.5" customHeight="1">
      <c r="A134" s="4"/>
      <c r="B134" s="5"/>
      <c r="C134" s="5"/>
      <c r="D134" s="5"/>
      <c r="E134" s="5"/>
      <c r="F134" s="5"/>
      <c r="G134" s="5"/>
      <c r="H134" s="5"/>
      <c r="I134" s="5"/>
      <c r="J134" s="5"/>
      <c r="K134" s="5"/>
      <c r="L134" s="6"/>
    </row>
    <row r="135" spans="1:12" ht="13.5" customHeight="1">
      <c r="A135" s="4"/>
      <c r="B135" s="5"/>
      <c r="C135" s="5" t="str">
        <f>Rec_Photo!D63</f>
        <v>i_Lpc = </v>
      </c>
      <c r="D135" s="371">
        <f>Rec_Photo!G72</f>
        <v>-0.2978750637227442</v>
      </c>
      <c r="E135" s="5"/>
      <c r="F135" s="5"/>
      <c r="G135" s="5" t="str">
        <f aca="true" t="shared" si="0" ref="G135:H137">D123</f>
        <v>i_Lap-Lss =</v>
      </c>
      <c r="H135" s="266">
        <f t="shared" si="0"/>
        <v>-0.36084237270696967</v>
      </c>
      <c r="I135" s="5"/>
      <c r="J135" s="5"/>
      <c r="K135" s="5"/>
      <c r="L135" s="6"/>
    </row>
    <row r="136" spans="1:12" ht="13.5" customHeight="1">
      <c r="A136" s="4"/>
      <c r="B136" s="5"/>
      <c r="C136" s="5" t="str">
        <f>Rec_Photo!D64</f>
        <v>j_Lpc = </v>
      </c>
      <c r="D136" s="371">
        <f>Rec_Photo!G73</f>
        <v>3.7418460140969647E-16</v>
      </c>
      <c r="E136" s="5"/>
      <c r="F136" s="5"/>
      <c r="G136" s="5" t="str">
        <f t="shared" si="0"/>
        <v>j_Lap-Lss =</v>
      </c>
      <c r="H136" s="266">
        <f t="shared" si="0"/>
        <v>-0.12044347164583089</v>
      </c>
      <c r="I136" s="5"/>
      <c r="J136" s="5"/>
      <c r="K136" s="5"/>
      <c r="L136" s="6"/>
    </row>
    <row r="137" spans="1:12" ht="13.5" customHeight="1">
      <c r="A137" s="4"/>
      <c r="B137" s="5"/>
      <c r="C137" s="5" t="str">
        <f>Rec_Photo!D65</f>
        <v>k_Lpc = </v>
      </c>
      <c r="D137" s="371">
        <f>Rec_Photo!G74</f>
        <v>0.9546048640208005</v>
      </c>
      <c r="E137" s="5"/>
      <c r="F137" s="5"/>
      <c r="G137" s="5" t="str">
        <f t="shared" si="0"/>
        <v>k_Lap-Lss =</v>
      </c>
      <c r="H137" s="266">
        <f t="shared" si="0"/>
        <v>0.9248168208878471</v>
      </c>
      <c r="I137" s="5"/>
      <c r="J137" s="5"/>
      <c r="K137" s="5"/>
      <c r="L137" s="6"/>
    </row>
    <row r="138" spans="1:12" ht="13.5" customHeight="1">
      <c r="A138" s="4"/>
      <c r="B138" s="5"/>
      <c r="C138" s="5"/>
      <c r="D138" s="5"/>
      <c r="E138" s="5"/>
      <c r="F138" s="5"/>
      <c r="G138" s="5"/>
      <c r="H138" s="5"/>
      <c r="I138" s="5"/>
      <c r="J138" s="5"/>
      <c r="K138" s="5"/>
      <c r="L138" s="6"/>
    </row>
    <row r="139" spans="1:12" ht="13.5" customHeight="1">
      <c r="A139" s="4"/>
      <c r="B139" s="5"/>
      <c r="C139" s="5"/>
      <c r="D139" s="5"/>
      <c r="E139" s="5"/>
      <c r="F139" s="5"/>
      <c r="G139" s="5"/>
      <c r="H139" s="5"/>
      <c r="I139" s="5"/>
      <c r="J139" s="5"/>
      <c r="K139" s="5"/>
      <c r="L139" s="6"/>
    </row>
    <row r="140" spans="1:12" ht="13.5" customHeight="1">
      <c r="A140" s="4"/>
      <c r="B140" s="5" t="s">
        <v>432</v>
      </c>
      <c r="C140" s="5"/>
      <c r="D140" s="5"/>
      <c r="E140" s="5"/>
      <c r="F140" s="5"/>
      <c r="G140" s="5"/>
      <c r="H140" s="5"/>
      <c r="I140" s="5"/>
      <c r="J140" s="5"/>
      <c r="K140" s="5"/>
      <c r="L140" s="6"/>
    </row>
    <row r="141" spans="1:12" ht="13.5" customHeight="1">
      <c r="A141" s="4"/>
      <c r="B141" s="5"/>
      <c r="C141" s="5"/>
      <c r="D141" s="5"/>
      <c r="E141" s="5"/>
      <c r="F141" s="5"/>
      <c r="G141" s="5"/>
      <c r="H141" s="5"/>
      <c r="I141" s="5"/>
      <c r="J141" s="5"/>
      <c r="K141" s="5"/>
      <c r="L141" s="6"/>
    </row>
    <row r="142" spans="1:12" ht="13.5" customHeight="1">
      <c r="A142" s="4"/>
      <c r="B142" s="46" t="s">
        <v>1718</v>
      </c>
      <c r="C142" s="46"/>
      <c r="D142" s="46"/>
      <c r="E142" s="26"/>
      <c r="F142" s="52"/>
      <c r="G142" s="46"/>
      <c r="H142" s="46"/>
      <c r="I142" s="5"/>
      <c r="J142" s="5"/>
      <c r="K142" s="5"/>
      <c r="L142" s="6"/>
    </row>
    <row r="143" spans="1:12" ht="13.5" customHeight="1">
      <c r="A143" s="4"/>
      <c r="B143" s="46"/>
      <c r="C143" s="46"/>
      <c r="D143" s="46"/>
      <c r="E143" s="26"/>
      <c r="F143" s="52"/>
      <c r="G143" s="46"/>
      <c r="H143" s="46"/>
      <c r="I143" s="5"/>
      <c r="J143" s="5"/>
      <c r="K143" s="5"/>
      <c r="L143" s="6"/>
    </row>
    <row r="144" spans="1:12" ht="13.5" customHeight="1">
      <c r="A144" s="4"/>
      <c r="B144" s="70"/>
      <c r="C144" s="46"/>
      <c r="D144" s="70" t="s">
        <v>127</v>
      </c>
      <c r="E144" s="72">
        <f>IF(H135="","",(D135*H135+D136*H136+D137*H137))</f>
        <v>0.9903205803117471</v>
      </c>
      <c r="F144" s="52"/>
      <c r="G144" s="46"/>
      <c r="H144" s="46"/>
      <c r="I144" s="5"/>
      <c r="J144" s="5"/>
      <c r="K144" s="5"/>
      <c r="L144" s="6"/>
    </row>
    <row r="145" spans="1:12" ht="13.5" customHeight="1">
      <c r="A145" s="4"/>
      <c r="B145" s="46"/>
      <c r="C145" s="46"/>
      <c r="D145" s="70" t="s">
        <v>128</v>
      </c>
      <c r="E145" s="72">
        <f>SQRT(D135^2+D136^2+D137^2)</f>
        <v>0.9999999999999999</v>
      </c>
      <c r="F145" s="52"/>
      <c r="G145" s="5"/>
      <c r="H145" s="5"/>
      <c r="I145" s="5"/>
      <c r="J145" s="5"/>
      <c r="K145" s="5"/>
      <c r="L145" s="6"/>
    </row>
    <row r="146" spans="1:12" ht="13.5" customHeight="1">
      <c r="A146" s="4"/>
      <c r="B146" s="46"/>
      <c r="C146" s="46"/>
      <c r="D146" s="70" t="s">
        <v>129</v>
      </c>
      <c r="E146" s="72">
        <f>IF(H135="","",SQRT(H135^2+H136^2+H137^2))</f>
        <v>1</v>
      </c>
      <c r="F146" s="52"/>
      <c r="G146" s="5"/>
      <c r="H146" s="5"/>
      <c r="I146" s="5"/>
      <c r="J146" s="5"/>
      <c r="K146" s="5"/>
      <c r="L146" s="6"/>
    </row>
    <row r="147" spans="1:12" ht="13.5" customHeight="1">
      <c r="A147" s="4"/>
      <c r="B147" s="85" t="s">
        <v>866</v>
      </c>
      <c r="C147" s="5"/>
      <c r="D147" s="70"/>
      <c r="E147" s="72">
        <f>IF(E144="","",E144/(E145*E146))</f>
        <v>0.9903205803117472</v>
      </c>
      <c r="F147" s="5"/>
      <c r="G147" s="5"/>
      <c r="H147" s="5"/>
      <c r="I147" s="5"/>
      <c r="J147" s="5"/>
      <c r="K147" s="5"/>
      <c r="L147" s="6"/>
    </row>
    <row r="148" spans="1:12" ht="13.5" customHeight="1">
      <c r="A148" s="4"/>
      <c r="B148" s="46"/>
      <c r="C148" s="46"/>
      <c r="D148" s="46"/>
      <c r="E148" s="26"/>
      <c r="F148" s="52"/>
      <c r="G148" s="46"/>
      <c r="H148" s="46" t="s">
        <v>860</v>
      </c>
      <c r="I148" s="5"/>
      <c r="J148" s="5"/>
      <c r="K148" s="5"/>
      <c r="L148" s="6"/>
    </row>
    <row r="149" spans="1:12" ht="13.5" customHeight="1" thickBot="1">
      <c r="A149" s="4"/>
      <c r="B149" s="16" t="s">
        <v>1719</v>
      </c>
      <c r="C149" s="72">
        <f>IF(E147="","",IF((E145*E146)=0,0,ACOS(E147)))</f>
        <v>0.13924852109765218</v>
      </c>
      <c r="D149" s="52" t="s">
        <v>1483</v>
      </c>
      <c r="E149" s="73">
        <f>IF(C149="","",DEGREES(C149))</f>
        <v>7.978352562333871</v>
      </c>
      <c r="F149" s="46" t="s">
        <v>1233</v>
      </c>
      <c r="G149" s="5"/>
      <c r="H149" s="88" t="s">
        <v>438</v>
      </c>
      <c r="I149" s="89"/>
      <c r="J149" s="115"/>
      <c r="K149" s="89"/>
      <c r="L149" s="6"/>
    </row>
    <row r="150" spans="1:12" ht="13.5" customHeight="1" thickBot="1">
      <c r="A150" s="4"/>
      <c r="B150" s="16"/>
      <c r="C150" s="113"/>
      <c r="D150" s="52"/>
      <c r="E150" s="142"/>
      <c r="F150" s="46"/>
      <c r="G150" s="5"/>
      <c r="H150" s="86" t="str">
        <f>IF(E147="","None",IF(E147&lt;=1,"None","Error - Value Greater then 1.  Cant Compute ACOS"))</f>
        <v>None</v>
      </c>
      <c r="I150" s="116"/>
      <c r="J150" s="116"/>
      <c r="K150" s="87"/>
      <c r="L150" s="6"/>
    </row>
    <row r="151" spans="1:12" ht="13.5" customHeight="1">
      <c r="A151" s="4"/>
      <c r="B151" s="5"/>
      <c r="C151" s="5"/>
      <c r="D151" s="5"/>
      <c r="E151" s="5"/>
      <c r="F151" s="5"/>
      <c r="G151" s="5"/>
      <c r="H151" s="5"/>
      <c r="I151" s="5"/>
      <c r="J151" s="5"/>
      <c r="K151" s="5"/>
      <c r="L151" s="6"/>
    </row>
    <row r="152" spans="1:12" ht="13.5" customHeight="1" thickBot="1">
      <c r="A152" s="7"/>
      <c r="B152" s="8"/>
      <c r="C152" s="8"/>
      <c r="D152" s="8"/>
      <c r="E152" s="8"/>
      <c r="F152" s="8"/>
      <c r="G152" s="8"/>
      <c r="H152" s="8"/>
      <c r="I152" s="8"/>
      <c r="J152" s="8"/>
      <c r="K152" s="8"/>
      <c r="L152" s="9"/>
    </row>
    <row r="153" ht="13.5" customHeight="1"/>
    <row r="154" ht="13.5" customHeight="1" thickBot="1"/>
    <row r="155" spans="1:12" ht="13.5" customHeight="1">
      <c r="A155" s="1"/>
      <c r="B155" s="2"/>
      <c r="C155" s="2"/>
      <c r="D155" s="2"/>
      <c r="E155" s="2"/>
      <c r="F155" s="2"/>
      <c r="G155" s="2"/>
      <c r="H155" s="2"/>
      <c r="I155" s="2"/>
      <c r="J155" s="2"/>
      <c r="K155" s="2"/>
      <c r="L155" s="3"/>
    </row>
    <row r="156" spans="1:12" ht="13.5" customHeight="1">
      <c r="A156" s="4" t="s">
        <v>48</v>
      </c>
      <c r="B156" s="5"/>
      <c r="C156" s="5"/>
      <c r="D156" s="5"/>
      <c r="E156" s="5"/>
      <c r="F156" s="5"/>
      <c r="G156" s="5"/>
      <c r="H156" s="134" t="s">
        <v>49</v>
      </c>
      <c r="I156" s="5"/>
      <c r="J156" s="5"/>
      <c r="K156" s="5"/>
      <c r="L156" s="6"/>
    </row>
    <row r="157" spans="1:12" ht="13.5" customHeight="1">
      <c r="A157" s="4" t="s">
        <v>50</v>
      </c>
      <c r="B157" s="5"/>
      <c r="C157" s="5"/>
      <c r="D157" s="5"/>
      <c r="E157" s="5"/>
      <c r="F157" s="5"/>
      <c r="G157" s="5"/>
      <c r="H157" s="5"/>
      <c r="I157" s="5"/>
      <c r="J157" s="5"/>
      <c r="K157" s="5"/>
      <c r="L157" s="6"/>
    </row>
    <row r="158" spans="1:12" ht="13.5" customHeight="1">
      <c r="A158" s="4"/>
      <c r="B158" s="5"/>
      <c r="C158" s="5"/>
      <c r="D158" s="5"/>
      <c r="E158" s="5"/>
      <c r="F158" s="5"/>
      <c r="G158" s="5"/>
      <c r="H158" s="5"/>
      <c r="I158" s="5"/>
      <c r="J158" s="5"/>
      <c r="K158" s="5"/>
      <c r="L158" s="6"/>
    </row>
    <row r="159" spans="1:12" ht="13.5" customHeight="1">
      <c r="A159" s="4"/>
      <c r="B159" s="5"/>
      <c r="C159" s="5"/>
      <c r="D159" s="5"/>
      <c r="E159" s="5"/>
      <c r="F159" s="5"/>
      <c r="G159" s="5"/>
      <c r="H159" s="5"/>
      <c r="I159" s="5"/>
      <c r="J159" s="5"/>
      <c r="K159" s="5"/>
      <c r="L159" s="6"/>
    </row>
    <row r="160" spans="1:12" ht="13.5" customHeight="1">
      <c r="A160" s="4" t="s">
        <v>1038</v>
      </c>
      <c r="B160" s="5"/>
      <c r="C160" s="5"/>
      <c r="D160" s="5"/>
      <c r="E160" s="5"/>
      <c r="F160" s="5"/>
      <c r="G160" s="5"/>
      <c r="H160" s="5"/>
      <c r="I160" s="5"/>
      <c r="J160" s="5"/>
      <c r="K160" s="5"/>
      <c r="L160" s="6"/>
    </row>
    <row r="161" spans="1:12" ht="13.5" customHeight="1">
      <c r="A161" s="4"/>
      <c r="B161" s="5"/>
      <c r="C161" s="5"/>
      <c r="D161" s="5"/>
      <c r="E161" s="5"/>
      <c r="F161" s="5"/>
      <c r="G161" s="5"/>
      <c r="H161" s="5"/>
      <c r="I161" s="5"/>
      <c r="J161" s="5"/>
      <c r="K161" s="5"/>
      <c r="L161" s="6"/>
    </row>
    <row r="162" spans="1:12" ht="13.5" customHeight="1">
      <c r="A162" s="4" t="s">
        <v>680</v>
      </c>
      <c r="B162" s="5"/>
      <c r="C162" s="5"/>
      <c r="D162" s="5"/>
      <c r="E162" s="5"/>
      <c r="F162" s="5"/>
      <c r="G162" s="5"/>
      <c r="H162" s="5"/>
      <c r="I162" s="5"/>
      <c r="J162" s="5"/>
      <c r="K162" s="5"/>
      <c r="L162" s="6"/>
    </row>
    <row r="163" spans="1:12" ht="13.5" customHeight="1">
      <c r="A163" s="4"/>
      <c r="B163" s="5"/>
      <c r="C163" s="5"/>
      <c r="D163" s="5"/>
      <c r="E163" s="5"/>
      <c r="F163" s="5"/>
      <c r="G163" s="5"/>
      <c r="H163" s="5"/>
      <c r="I163" s="5"/>
      <c r="J163" s="5"/>
      <c r="K163" s="108" t="s">
        <v>1316</v>
      </c>
      <c r="L163" s="6"/>
    </row>
    <row r="164" spans="1:12" ht="13.5" customHeight="1">
      <c r="A164" s="4" t="s">
        <v>53</v>
      </c>
      <c r="B164" s="5"/>
      <c r="C164" s="5"/>
      <c r="D164" s="5"/>
      <c r="E164" s="5"/>
      <c r="F164" s="5"/>
      <c r="G164" s="5"/>
      <c r="H164" s="5"/>
      <c r="I164" s="5"/>
      <c r="J164" s="5"/>
      <c r="K164" s="5"/>
      <c r="L164" s="6"/>
    </row>
    <row r="165" spans="1:12" ht="13.5" customHeight="1">
      <c r="A165" s="4" t="s">
        <v>681</v>
      </c>
      <c r="B165" s="5"/>
      <c r="C165" s="5"/>
      <c r="D165" s="5"/>
      <c r="E165" s="5"/>
      <c r="F165" s="5"/>
      <c r="G165" s="5"/>
      <c r="H165" s="5"/>
      <c r="I165" s="5"/>
      <c r="J165" s="5"/>
      <c r="K165" s="5"/>
      <c r="L165" s="6"/>
    </row>
    <row r="166" spans="1:12" ht="13.5" customHeight="1">
      <c r="A166" s="4"/>
      <c r="B166" s="5"/>
      <c r="C166" s="5"/>
      <c r="D166" s="5"/>
      <c r="E166" s="5"/>
      <c r="F166" s="5"/>
      <c r="G166" s="5"/>
      <c r="H166" s="5"/>
      <c r="I166" s="5"/>
      <c r="J166" s="5"/>
      <c r="K166" s="5"/>
      <c r="L166" s="6"/>
    </row>
    <row r="167" spans="1:12" ht="13.5" customHeight="1">
      <c r="A167" s="4"/>
      <c r="B167" s="5"/>
      <c r="C167" s="5"/>
      <c r="D167" s="5"/>
      <c r="E167" s="5"/>
      <c r="F167" s="5"/>
      <c r="G167" s="5"/>
      <c r="H167" s="5"/>
      <c r="I167" s="5"/>
      <c r="J167" s="5"/>
      <c r="K167" s="5"/>
      <c r="L167" s="6"/>
    </row>
    <row r="168" spans="1:12" ht="13.5" customHeight="1">
      <c r="A168" s="4"/>
      <c r="B168" s="5"/>
      <c r="C168" s="5"/>
      <c r="D168" s="5"/>
      <c r="E168" s="5"/>
      <c r="F168" s="5"/>
      <c r="G168" s="5"/>
      <c r="H168" s="5"/>
      <c r="I168" s="5"/>
      <c r="J168" s="5"/>
      <c r="K168" s="5"/>
      <c r="L168" s="6"/>
    </row>
    <row r="169" spans="1:12" ht="13.5" customHeight="1">
      <c r="A169" s="4"/>
      <c r="B169" s="5"/>
      <c r="C169" s="5"/>
      <c r="D169" s="5"/>
      <c r="E169" s="5"/>
      <c r="F169" s="5"/>
      <c r="G169" s="5"/>
      <c r="H169" s="5"/>
      <c r="I169" s="5"/>
      <c r="J169" s="5"/>
      <c r="K169" s="5"/>
      <c r="L169" s="6"/>
    </row>
    <row r="170" spans="1:12" ht="13.5" customHeight="1">
      <c r="A170" s="4"/>
      <c r="B170" s="5"/>
      <c r="C170" s="5"/>
      <c r="D170" s="5"/>
      <c r="E170" s="5"/>
      <c r="F170" s="5"/>
      <c r="G170" s="5"/>
      <c r="H170" s="5"/>
      <c r="I170" s="5"/>
      <c r="J170" s="5"/>
      <c r="K170" s="108" t="s">
        <v>1243</v>
      </c>
      <c r="L170" s="6"/>
    </row>
    <row r="171" spans="1:12" ht="13.5" customHeight="1">
      <c r="A171" s="4"/>
      <c r="B171" s="5"/>
      <c r="C171" s="5"/>
      <c r="D171" s="5"/>
      <c r="E171" s="5"/>
      <c r="F171" s="5"/>
      <c r="G171" s="5"/>
      <c r="H171" s="5"/>
      <c r="I171" s="5"/>
      <c r="J171" s="5"/>
      <c r="K171" s="5"/>
      <c r="L171" s="6"/>
    </row>
    <row r="172" spans="1:12" ht="13.5" customHeight="1">
      <c r="A172" s="4"/>
      <c r="B172" s="5"/>
      <c r="C172" s="5"/>
      <c r="D172" s="5"/>
      <c r="E172" s="5"/>
      <c r="F172" s="5"/>
      <c r="G172" s="5"/>
      <c r="H172" s="5"/>
      <c r="I172" s="5"/>
      <c r="J172" s="5"/>
      <c r="K172" s="5"/>
      <c r="L172" s="6"/>
    </row>
    <row r="173" spans="1:12" ht="13.5" customHeight="1">
      <c r="A173" s="4"/>
      <c r="B173" s="26" t="s">
        <v>682</v>
      </c>
      <c r="C173" s="5"/>
      <c r="D173" s="5" t="s">
        <v>1636</v>
      </c>
      <c r="E173" s="5"/>
      <c r="F173" s="5"/>
      <c r="G173" s="5"/>
      <c r="H173" s="5"/>
      <c r="I173" s="5"/>
      <c r="J173" s="5"/>
      <c r="K173" s="5"/>
      <c r="L173" s="6"/>
    </row>
    <row r="174" spans="1:12" ht="13.5" customHeight="1">
      <c r="A174" s="4"/>
      <c r="B174" s="5"/>
      <c r="C174" s="5"/>
      <c r="D174" s="5"/>
      <c r="E174" s="5"/>
      <c r="F174" s="5"/>
      <c r="G174" s="5"/>
      <c r="H174" s="5"/>
      <c r="I174" s="5"/>
      <c r="J174" s="5" t="s">
        <v>1317</v>
      </c>
      <c r="K174" s="5"/>
      <c r="L174" s="6"/>
    </row>
    <row r="175" spans="1:12" ht="13.5" customHeight="1">
      <c r="A175" s="4"/>
      <c r="B175" s="5"/>
      <c r="C175" s="5"/>
      <c r="D175" s="5"/>
      <c r="E175" s="5"/>
      <c r="F175" s="5"/>
      <c r="G175" s="5"/>
      <c r="H175" s="5"/>
      <c r="I175" s="5"/>
      <c r="J175" s="5" t="s">
        <v>54</v>
      </c>
      <c r="K175" s="5"/>
      <c r="L175" s="6"/>
    </row>
    <row r="176" spans="1:12" ht="13.5" customHeight="1">
      <c r="A176" s="4"/>
      <c r="B176" s="5"/>
      <c r="C176" s="5"/>
      <c r="D176" s="5"/>
      <c r="E176" s="5"/>
      <c r="F176" s="5"/>
      <c r="G176" s="5"/>
      <c r="H176" s="5"/>
      <c r="I176" s="5"/>
      <c r="J176" s="5" t="s">
        <v>678</v>
      </c>
      <c r="K176" s="5"/>
      <c r="L176" s="6"/>
    </row>
    <row r="177" spans="1:12" ht="13.5" customHeight="1">
      <c r="A177" s="4"/>
      <c r="B177" s="5"/>
      <c r="C177" s="5"/>
      <c r="D177" s="5"/>
      <c r="E177" s="5"/>
      <c r="F177" s="5"/>
      <c r="G177" s="5"/>
      <c r="H177" s="5"/>
      <c r="I177" s="5"/>
      <c r="J177" s="5" t="s">
        <v>679</v>
      </c>
      <c r="K177" s="5"/>
      <c r="L177" s="6"/>
    </row>
    <row r="178" spans="1:12" ht="13.5" customHeight="1">
      <c r="A178" s="4"/>
      <c r="B178" s="5" t="s">
        <v>683</v>
      </c>
      <c r="C178" s="5"/>
      <c r="D178" s="5"/>
      <c r="E178" s="5"/>
      <c r="F178" s="5"/>
      <c r="G178" s="5"/>
      <c r="H178" s="125" t="s">
        <v>1475</v>
      </c>
      <c r="I178" s="5"/>
      <c r="J178" s="5"/>
      <c r="K178" s="5"/>
      <c r="L178" s="6"/>
    </row>
    <row r="179" spans="1:12" ht="13.5" customHeight="1">
      <c r="A179" s="4"/>
      <c r="B179" s="5"/>
      <c r="C179" s="5"/>
      <c r="D179" s="5"/>
      <c r="E179" s="5"/>
      <c r="F179" s="5"/>
      <c r="G179" s="5"/>
      <c r="H179" s="5"/>
      <c r="I179" s="5"/>
      <c r="J179" s="5"/>
      <c r="K179" s="5"/>
      <c r="L179" s="6"/>
    </row>
    <row r="180" spans="1:12" ht="13.5" customHeight="1">
      <c r="A180" s="4" t="s">
        <v>55</v>
      </c>
      <c r="B180" s="5"/>
      <c r="C180" s="5"/>
      <c r="D180" s="5"/>
      <c r="E180" s="5"/>
      <c r="F180" s="5"/>
      <c r="G180" s="5"/>
      <c r="H180" s="5"/>
      <c r="I180" s="22" t="s">
        <v>1244</v>
      </c>
      <c r="J180" s="5"/>
      <c r="K180" s="134" t="s">
        <v>1473</v>
      </c>
      <c r="L180" s="6"/>
    </row>
    <row r="181" spans="1:12" ht="13.5" customHeight="1">
      <c r="A181" s="4" t="s">
        <v>1042</v>
      </c>
      <c r="B181" s="5"/>
      <c r="C181" s="5"/>
      <c r="D181" s="5"/>
      <c r="E181" s="5"/>
      <c r="F181" s="5"/>
      <c r="G181" s="5"/>
      <c r="H181" s="5"/>
      <c r="I181" s="5"/>
      <c r="J181" s="5"/>
      <c r="K181" s="5"/>
      <c r="L181" s="6"/>
    </row>
    <row r="182" spans="1:12" ht="13.5" customHeight="1" thickBot="1">
      <c r="A182" s="7"/>
      <c r="B182" s="8"/>
      <c r="C182" s="8"/>
      <c r="D182" s="8"/>
      <c r="E182" s="8"/>
      <c r="F182" s="8"/>
      <c r="G182" s="8"/>
      <c r="H182" s="8"/>
      <c r="I182" s="8"/>
      <c r="J182" s="8"/>
      <c r="K182" s="8"/>
      <c r="L182" s="9"/>
    </row>
    <row r="183" ht="13.5" customHeight="1" thickBot="1"/>
    <row r="184" spans="1:12" ht="13.5" customHeight="1">
      <c r="A184" s="1"/>
      <c r="B184" s="2"/>
      <c r="C184" s="2"/>
      <c r="D184" s="2"/>
      <c r="E184" s="2"/>
      <c r="F184" s="2"/>
      <c r="G184" s="2"/>
      <c r="H184" s="2"/>
      <c r="I184" s="2"/>
      <c r="J184" s="2"/>
      <c r="K184" s="2"/>
      <c r="L184" s="3"/>
    </row>
    <row r="185" spans="1:12" ht="13.5" customHeight="1">
      <c r="A185" s="4" t="s">
        <v>1043</v>
      </c>
      <c r="B185" s="5"/>
      <c r="C185" s="5"/>
      <c r="D185" s="5"/>
      <c r="E185" s="5"/>
      <c r="F185" s="5"/>
      <c r="G185" s="5"/>
      <c r="H185" s="5"/>
      <c r="I185" s="5"/>
      <c r="J185" s="5"/>
      <c r="K185" s="5"/>
      <c r="L185" s="6"/>
    </row>
    <row r="186" spans="1:12" ht="13.5" customHeight="1">
      <c r="A186" s="4"/>
      <c r="B186" s="5"/>
      <c r="C186" s="5"/>
      <c r="D186" s="5"/>
      <c r="E186" s="5"/>
      <c r="F186" s="5"/>
      <c r="G186" s="5"/>
      <c r="H186" s="5"/>
      <c r="I186" s="5"/>
      <c r="J186" s="5"/>
      <c r="K186" s="5"/>
      <c r="L186" s="6"/>
    </row>
    <row r="187" spans="1:12" ht="13.5" customHeight="1">
      <c r="A187" s="4"/>
      <c r="B187" s="5"/>
      <c r="C187" s="5"/>
      <c r="D187" s="5"/>
      <c r="E187" s="5"/>
      <c r="F187" s="5"/>
      <c r="G187" s="5"/>
      <c r="H187" s="5"/>
      <c r="I187" s="5"/>
      <c r="J187" s="5"/>
      <c r="K187" s="5"/>
      <c r="L187" s="6"/>
    </row>
    <row r="188" spans="1:12" ht="13.5" customHeight="1">
      <c r="A188" s="4"/>
      <c r="B188" s="5" t="s">
        <v>68</v>
      </c>
      <c r="C188" s="5"/>
      <c r="D188" s="5"/>
      <c r="E188" s="5"/>
      <c r="F188" s="5"/>
      <c r="G188" s="5"/>
      <c r="H188" s="5"/>
      <c r="I188" s="5"/>
      <c r="J188" s="5"/>
      <c r="K188" s="5"/>
      <c r="L188" s="6"/>
    </row>
    <row r="189" spans="1:12" ht="13.5" customHeight="1" thickBot="1">
      <c r="A189" s="4"/>
      <c r="B189" s="5"/>
      <c r="C189" s="5"/>
      <c r="D189" s="5"/>
      <c r="E189" s="5"/>
      <c r="F189" s="5"/>
      <c r="G189" s="5"/>
      <c r="H189" s="5"/>
      <c r="I189" s="5"/>
      <c r="J189" s="5"/>
      <c r="K189" s="5"/>
      <c r="L189" s="6"/>
    </row>
    <row r="190" spans="1:12" ht="13.5" customHeight="1" thickBot="1">
      <c r="A190" s="4"/>
      <c r="B190" s="5"/>
      <c r="C190" s="5" t="s">
        <v>1588</v>
      </c>
      <c r="D190" s="5"/>
      <c r="E190" s="372">
        <f>IF(C149="","",(SPH_REC!F330/1000)/COS(C149))</f>
        <v>0.25244350664842435</v>
      </c>
      <c r="F190" s="5" t="s">
        <v>167</v>
      </c>
      <c r="G190" s="5"/>
      <c r="H190" s="5"/>
      <c r="I190" s="5"/>
      <c r="J190" s="5"/>
      <c r="K190" s="5"/>
      <c r="L190" s="6"/>
    </row>
    <row r="191" spans="1:12" ht="13.5" customHeight="1">
      <c r="A191" s="4"/>
      <c r="B191" s="5"/>
      <c r="C191" s="5"/>
      <c r="D191" s="5"/>
      <c r="E191" s="5"/>
      <c r="F191" s="5"/>
      <c r="G191" s="5"/>
      <c r="H191" s="5"/>
      <c r="I191" s="5"/>
      <c r="J191" s="5"/>
      <c r="K191" s="5"/>
      <c r="L191" s="6"/>
    </row>
    <row r="192" spans="1:12" ht="13.5" customHeight="1">
      <c r="A192" s="4"/>
      <c r="B192" s="5"/>
      <c r="C192" s="5"/>
      <c r="D192" s="5"/>
      <c r="E192" s="5"/>
      <c r="F192" s="5"/>
      <c r="G192" s="5"/>
      <c r="H192" s="5"/>
      <c r="I192" s="5"/>
      <c r="J192" s="5"/>
      <c r="K192" s="5"/>
      <c r="L192" s="6"/>
    </row>
    <row r="193" spans="1:12" ht="13.5" customHeight="1">
      <c r="A193" s="4"/>
      <c r="B193" s="5" t="s">
        <v>0</v>
      </c>
      <c r="C193" s="5"/>
      <c r="D193" s="5"/>
      <c r="E193" s="5"/>
      <c r="F193" s="5"/>
      <c r="G193" s="5"/>
      <c r="H193" s="5"/>
      <c r="I193" s="5"/>
      <c r="J193" s="5"/>
      <c r="K193" s="5"/>
      <c r="L193" s="6"/>
    </row>
    <row r="194" spans="1:12" ht="13.5" customHeight="1">
      <c r="A194" s="4"/>
      <c r="B194" s="5" t="s">
        <v>1467</v>
      </c>
      <c r="C194" s="5"/>
      <c r="D194" s="5"/>
      <c r="E194" s="5"/>
      <c r="F194" s="5"/>
      <c r="G194" s="5"/>
      <c r="H194" s="5"/>
      <c r="I194" s="5"/>
      <c r="J194" s="5"/>
      <c r="K194" s="5"/>
      <c r="L194" s="6"/>
    </row>
    <row r="195" spans="1:12" ht="13.5" customHeight="1">
      <c r="A195" s="4"/>
      <c r="B195" s="5"/>
      <c r="C195" s="5"/>
      <c r="D195" s="5"/>
      <c r="E195" s="5"/>
      <c r="F195" s="5"/>
      <c r="G195" s="5"/>
      <c r="H195" s="5"/>
      <c r="I195" s="5"/>
      <c r="J195" s="5"/>
      <c r="K195" s="5"/>
      <c r="L195" s="6"/>
    </row>
    <row r="196" spans="1:12" ht="13.5" customHeight="1">
      <c r="A196" s="4"/>
      <c r="B196" s="5"/>
      <c r="C196" s="5"/>
      <c r="D196" s="5"/>
      <c r="E196" s="5"/>
      <c r="F196" s="5"/>
      <c r="G196" s="5"/>
      <c r="H196" s="5"/>
      <c r="I196" s="5"/>
      <c r="J196" s="5"/>
      <c r="K196" s="5"/>
      <c r="L196" s="6"/>
    </row>
    <row r="197" spans="1:12" ht="13.5" customHeight="1">
      <c r="A197" s="4"/>
      <c r="B197" s="5"/>
      <c r="C197" s="5"/>
      <c r="D197" s="5"/>
      <c r="E197" s="5"/>
      <c r="F197" s="5"/>
      <c r="G197" s="5"/>
      <c r="K197" s="5"/>
      <c r="L197" s="6"/>
    </row>
    <row r="198" spans="1:12" ht="13.5" customHeight="1" thickBot="1">
      <c r="A198" s="4"/>
      <c r="B198" s="5"/>
      <c r="C198" s="26" t="s">
        <v>1584</v>
      </c>
      <c r="D198" s="5" t="s">
        <v>1685</v>
      </c>
      <c r="E198" s="5"/>
      <c r="F198" s="341">
        <f>IF(E190="","",(E123*E190))</f>
        <v>-0.09109231391348512</v>
      </c>
      <c r="G198" s="52" t="s">
        <v>167</v>
      </c>
      <c r="H198" t="s">
        <v>861</v>
      </c>
      <c r="K198" s="5"/>
      <c r="L198" s="6"/>
    </row>
    <row r="199" spans="1:12" ht="13.5" customHeight="1" thickBot="1">
      <c r="A199" s="4"/>
      <c r="B199" s="5"/>
      <c r="C199" s="26" t="s">
        <v>1585</v>
      </c>
      <c r="D199" s="5" t="s">
        <v>1587</v>
      </c>
      <c r="E199" s="5"/>
      <c r="F199" s="341">
        <f>IF(E190="","",(E124*E190))</f>
        <v>-0.030405172335183618</v>
      </c>
      <c r="G199" s="5" t="s">
        <v>167</v>
      </c>
      <c r="H199" s="199" t="s">
        <v>1087</v>
      </c>
      <c r="I199" s="38"/>
      <c r="J199" s="39"/>
      <c r="K199" s="5"/>
      <c r="L199" s="6"/>
    </row>
    <row r="200" spans="1:12" ht="13.5" customHeight="1" thickBot="1">
      <c r="A200" s="4"/>
      <c r="B200" s="5"/>
      <c r="C200" s="26" t="s">
        <v>1586</v>
      </c>
      <c r="D200" s="5" t="s">
        <v>1686</v>
      </c>
      <c r="E200" s="5"/>
      <c r="F200" s="341">
        <f>IF(E190="","",(E125*E190))</f>
        <v>0.2334640012723759</v>
      </c>
      <c r="G200" s="5" t="s">
        <v>167</v>
      </c>
      <c r="H200" s="86" t="str">
        <f>IF(F200&gt;=0,"None","Z mut be Positive")</f>
        <v>None</v>
      </c>
      <c r="I200" s="200"/>
      <c r="J200" s="201"/>
      <c r="K200" s="5"/>
      <c r="L200" s="6"/>
    </row>
    <row r="201" spans="1:12" ht="13.5" customHeight="1">
      <c r="A201" s="4"/>
      <c r="B201" s="5"/>
      <c r="C201" s="5"/>
      <c r="D201" s="5"/>
      <c r="E201" s="5"/>
      <c r="F201" s="5"/>
      <c r="G201" s="5"/>
      <c r="H201" s="5"/>
      <c r="I201" s="5"/>
      <c r="J201" s="5"/>
      <c r="K201" s="5"/>
      <c r="L201" s="6"/>
    </row>
    <row r="202" spans="1:12" ht="13.5" customHeight="1" thickBot="1">
      <c r="A202" s="7"/>
      <c r="B202" s="8"/>
      <c r="C202" s="8"/>
      <c r="D202" s="8"/>
      <c r="E202" s="8"/>
      <c r="F202" s="8"/>
      <c r="G202" s="8"/>
      <c r="H202" s="8"/>
      <c r="I202" s="8"/>
      <c r="J202" s="8"/>
      <c r="K202" s="8"/>
      <c r="L202" s="9"/>
    </row>
    <row r="203" ht="13.5" thickBot="1"/>
    <row r="204" spans="1:12" ht="12.75">
      <c r="A204" s="1"/>
      <c r="B204" s="2"/>
      <c r="C204" s="2"/>
      <c r="D204" s="2"/>
      <c r="E204" s="2"/>
      <c r="F204" s="2"/>
      <c r="G204" s="2"/>
      <c r="H204" s="2"/>
      <c r="I204" s="2"/>
      <c r="J204" s="2"/>
      <c r="K204" s="2"/>
      <c r="L204" s="3"/>
    </row>
    <row r="205" spans="1:12" ht="12.75">
      <c r="A205" s="4" t="s">
        <v>1</v>
      </c>
      <c r="B205" s="5"/>
      <c r="C205" s="5"/>
      <c r="D205" s="5"/>
      <c r="E205" s="5"/>
      <c r="F205" s="5"/>
      <c r="G205" s="5"/>
      <c r="H205" s="5"/>
      <c r="I205" s="5"/>
      <c r="J205" s="5"/>
      <c r="K205" s="5"/>
      <c r="L205" s="6"/>
    </row>
    <row r="206" spans="1:12" ht="12.75">
      <c r="A206" s="4"/>
      <c r="B206" s="5"/>
      <c r="C206" s="5"/>
      <c r="D206" s="5"/>
      <c r="E206" s="5"/>
      <c r="F206" s="5"/>
      <c r="G206" s="5"/>
      <c r="H206" s="5"/>
      <c r="I206" s="5"/>
      <c r="J206" s="5"/>
      <c r="K206" s="5"/>
      <c r="L206" s="6"/>
    </row>
    <row r="207" spans="1:12" ht="15.75">
      <c r="A207" s="4"/>
      <c r="B207" s="5"/>
      <c r="C207" s="46"/>
      <c r="D207" s="16"/>
      <c r="E207" s="113"/>
      <c r="F207" s="52"/>
      <c r="G207" s="142"/>
      <c r="H207" s="46"/>
      <c r="I207" s="5"/>
      <c r="J207" s="5"/>
      <c r="K207" s="5"/>
      <c r="L207" s="6"/>
    </row>
    <row r="208" spans="1:12" ht="12.75">
      <c r="A208" s="4"/>
      <c r="B208" s="5"/>
      <c r="C208" s="5"/>
      <c r="D208" s="5"/>
      <c r="E208" s="5"/>
      <c r="F208" s="5"/>
      <c r="G208" s="5"/>
      <c r="H208" s="5"/>
      <c r="I208" s="5"/>
      <c r="J208" s="5"/>
      <c r="K208" s="5"/>
      <c r="L208" s="6"/>
    </row>
    <row r="209" spans="1:12" ht="12.75">
      <c r="A209" s="4"/>
      <c r="B209" s="5"/>
      <c r="C209" s="104" t="s">
        <v>636</v>
      </c>
      <c r="D209" s="5" t="s">
        <v>167</v>
      </c>
      <c r="E209" s="161">
        <f>Rec_Photo!E204</f>
        <v>0.9546048640208002</v>
      </c>
      <c r="F209" s="161">
        <f>Rec_Photo!F204</f>
        <v>0</v>
      </c>
      <c r="G209" s="161">
        <f>Rec_Photo!G204</f>
        <v>0.29787506372274514</v>
      </c>
      <c r="H209" s="5"/>
      <c r="I209" s="167">
        <f>AUX_PT!F198</f>
        <v>-0.09109231391348512</v>
      </c>
      <c r="J209" s="5" t="s">
        <v>167</v>
      </c>
      <c r="K209" s="162">
        <f>Rec_Photo!K204</f>
        <v>0</v>
      </c>
      <c r="L209" s="6" t="s">
        <v>167</v>
      </c>
    </row>
    <row r="210" spans="1:12" ht="12.75">
      <c r="A210" s="4"/>
      <c r="B210" s="5"/>
      <c r="C210" s="104" t="s">
        <v>638</v>
      </c>
      <c r="D210" s="5" t="s">
        <v>1545</v>
      </c>
      <c r="E210" s="161">
        <f>Rec_Photo!E205</f>
        <v>0</v>
      </c>
      <c r="F210" s="161">
        <f>Rec_Photo!F205</f>
        <v>1</v>
      </c>
      <c r="G210" s="161">
        <f>Rec_Photo!G205</f>
        <v>0</v>
      </c>
      <c r="H210" s="5" t="s">
        <v>641</v>
      </c>
      <c r="I210" s="167">
        <f>AUX_PT!F199</f>
        <v>-0.030405172335183618</v>
      </c>
      <c r="J210" s="5" t="s">
        <v>1546</v>
      </c>
      <c r="K210" s="162">
        <f>Rec_Photo!K205</f>
        <v>0</v>
      </c>
      <c r="L210" s="6" t="s">
        <v>167</v>
      </c>
    </row>
    <row r="211" spans="1:12" ht="12.75">
      <c r="A211" s="4"/>
      <c r="B211" s="5"/>
      <c r="C211" s="104" t="s">
        <v>643</v>
      </c>
      <c r="D211" s="5" t="s">
        <v>167</v>
      </c>
      <c r="E211" s="161">
        <f>Rec_Photo!E206</f>
        <v>-0.29787506372274514</v>
      </c>
      <c r="F211" s="161">
        <f>Rec_Photo!F206</f>
        <v>0</v>
      </c>
      <c r="G211" s="161">
        <f>Rec_Photo!G206</f>
        <v>0.9546048640208002</v>
      </c>
      <c r="H211" s="5"/>
      <c r="I211" s="167">
        <f>AUX_PT!F200</f>
        <v>0.2334640012723759</v>
      </c>
      <c r="J211" s="5" t="s">
        <v>167</v>
      </c>
      <c r="K211" s="162">
        <f>Rec_Photo!K206</f>
        <v>-0.25</v>
      </c>
      <c r="L211" s="6" t="s">
        <v>167</v>
      </c>
    </row>
    <row r="212" spans="1:12" ht="12.75">
      <c r="A212" s="4"/>
      <c r="B212" s="5"/>
      <c r="C212" s="5"/>
      <c r="D212" s="5"/>
      <c r="E212" s="5"/>
      <c r="F212" s="5"/>
      <c r="G212" s="5"/>
      <c r="H212" s="5"/>
      <c r="I212" s="5"/>
      <c r="J212" s="5"/>
      <c r="K212" s="5"/>
      <c r="L212" s="6"/>
    </row>
    <row r="213" spans="1:12" ht="15.75">
      <c r="A213" s="4"/>
      <c r="B213" s="5"/>
      <c r="C213" s="46"/>
      <c r="D213" s="16"/>
      <c r="E213" s="113"/>
      <c r="F213" s="52"/>
      <c r="G213" s="142"/>
      <c r="H213" s="46"/>
      <c r="I213" s="5"/>
      <c r="J213" s="5"/>
      <c r="K213" s="5"/>
      <c r="L213" s="6"/>
    </row>
    <row r="214" spans="1:12" ht="12.75">
      <c r="A214" s="4"/>
      <c r="B214" s="5"/>
      <c r="C214" s="46"/>
      <c r="D214" s="113" t="s">
        <v>1184</v>
      </c>
      <c r="E214" s="381">
        <f>IF(I209="","",(E209*I209+F209*I210+G209*I211)+K209)</f>
        <v>-0.01741406168074648</v>
      </c>
      <c r="F214" s="5" t="s">
        <v>167</v>
      </c>
      <c r="G214" s="5" t="s">
        <v>862</v>
      </c>
      <c r="H214" s="46"/>
      <c r="I214" s="5"/>
      <c r="J214" s="5"/>
      <c r="K214" s="5"/>
      <c r="L214" s="6"/>
    </row>
    <row r="215" spans="1:12" ht="13.5" thickBot="1">
      <c r="A215" s="4"/>
      <c r="B215" s="5"/>
      <c r="C215" s="46"/>
      <c r="D215" s="113" t="s">
        <v>1185</v>
      </c>
      <c r="E215" s="381">
        <f>IF(I209="","",(E210*I209+F210*I210+G210*I211)+K210)</f>
        <v>-0.030405172335183618</v>
      </c>
      <c r="F215" s="5" t="s">
        <v>167</v>
      </c>
      <c r="G215" s="117" t="s">
        <v>205</v>
      </c>
      <c r="H215" s="117"/>
      <c r="I215" s="117"/>
      <c r="J215" s="117"/>
      <c r="K215" s="117"/>
      <c r="L215" s="6"/>
    </row>
    <row r="216" spans="1:12" ht="13.5" thickBot="1">
      <c r="A216" s="4"/>
      <c r="B216" s="5"/>
      <c r="C216" s="46"/>
      <c r="D216" s="113" t="s">
        <v>1187</v>
      </c>
      <c r="E216" s="381">
        <f>IF(I209="","",(E211*I209+F211*I210+G211*I211)+K211)</f>
        <v>0</v>
      </c>
      <c r="F216" s="5" t="s">
        <v>167</v>
      </c>
      <c r="G216" s="86" t="str">
        <f>IF(E216="","None",IF(((TRUNC(E216*100000))/100000)=0,"None","Error: Projected Auxillary Point Not on Photo Plane 'Z' must = 0"))</f>
        <v>None</v>
      </c>
      <c r="H216" s="116"/>
      <c r="I216" s="116"/>
      <c r="J216" s="116"/>
      <c r="K216" s="87"/>
      <c r="L216" s="6"/>
    </row>
    <row r="217" spans="1:12" ht="15.75">
      <c r="A217" s="4"/>
      <c r="B217" s="5"/>
      <c r="C217" s="46"/>
      <c r="D217" s="16"/>
      <c r="E217" s="113"/>
      <c r="F217" s="52"/>
      <c r="G217" s="142"/>
      <c r="H217" s="46"/>
      <c r="I217" s="5"/>
      <c r="J217" s="5"/>
      <c r="K217" s="5"/>
      <c r="L217" s="6"/>
    </row>
    <row r="218" spans="1:12" ht="13.5" thickBot="1">
      <c r="A218" s="7"/>
      <c r="B218" s="8"/>
      <c r="C218" s="8"/>
      <c r="D218" s="8"/>
      <c r="E218" s="8"/>
      <c r="F218" s="8"/>
      <c r="G218" s="8"/>
      <c r="H218" s="8"/>
      <c r="I218" s="8"/>
      <c r="J218" s="8"/>
      <c r="K218" s="8"/>
      <c r="L218" s="9"/>
    </row>
    <row r="219" ht="13.5" thickBot="1"/>
    <row r="220" spans="1:12" ht="12.75">
      <c r="A220" s="1"/>
      <c r="B220" s="2"/>
      <c r="C220" s="2"/>
      <c r="D220" s="2"/>
      <c r="E220" s="2"/>
      <c r="F220" s="2"/>
      <c r="G220" s="2"/>
      <c r="H220" s="2"/>
      <c r="I220" s="2"/>
      <c r="J220" s="2"/>
      <c r="K220" s="2"/>
      <c r="L220" s="3"/>
    </row>
    <row r="221" spans="1:12" ht="12.75">
      <c r="A221" s="4" t="s">
        <v>751</v>
      </c>
      <c r="B221" s="5"/>
      <c r="C221" s="5"/>
      <c r="D221" s="5"/>
      <c r="E221" s="5"/>
      <c r="F221" s="5"/>
      <c r="G221" s="5"/>
      <c r="H221" s="5"/>
      <c r="I221" s="5"/>
      <c r="J221" s="5"/>
      <c r="K221" s="5"/>
      <c r="L221" s="6"/>
    </row>
    <row r="222" spans="1:12" ht="12.75">
      <c r="A222" s="4" t="s">
        <v>1357</v>
      </c>
      <c r="B222" s="5"/>
      <c r="C222" s="5"/>
      <c r="D222" s="5"/>
      <c r="E222" s="5"/>
      <c r="F222" s="5"/>
      <c r="G222" s="5"/>
      <c r="H222" s="5"/>
      <c r="I222" s="5"/>
      <c r="J222" s="5"/>
      <c r="K222" s="5"/>
      <c r="L222" s="6"/>
    </row>
    <row r="223" spans="1:12" ht="12.75">
      <c r="A223" s="4"/>
      <c r="B223" s="5"/>
      <c r="C223" s="5"/>
      <c r="D223" s="5"/>
      <c r="E223" s="5"/>
      <c r="F223" s="5"/>
      <c r="G223" s="5"/>
      <c r="H223" s="5"/>
      <c r="I223" s="5"/>
      <c r="J223" s="5"/>
      <c r="K223" s="5"/>
      <c r="L223" s="6"/>
    </row>
    <row r="224" spans="1:12" ht="12.75">
      <c r="A224" s="4"/>
      <c r="B224" s="5"/>
      <c r="C224" s="5"/>
      <c r="D224" s="5"/>
      <c r="E224" s="5"/>
      <c r="F224" s="5"/>
      <c r="G224" s="5"/>
      <c r="H224" s="5"/>
      <c r="I224" s="5"/>
      <c r="J224" s="5"/>
      <c r="K224" s="5"/>
      <c r="L224" s="6"/>
    </row>
    <row r="225" spans="1:12" ht="12.75">
      <c r="A225" s="4"/>
      <c r="B225" s="5"/>
      <c r="C225" s="5"/>
      <c r="D225" s="5"/>
      <c r="E225" s="5"/>
      <c r="F225" s="5"/>
      <c r="G225" s="5"/>
      <c r="H225" s="5"/>
      <c r="I225" s="134" t="s">
        <v>1358</v>
      </c>
      <c r="J225" s="5"/>
      <c r="K225" s="5"/>
      <c r="L225" s="6"/>
    </row>
    <row r="226" spans="1:12" ht="12.75">
      <c r="A226" s="4"/>
      <c r="B226" s="5"/>
      <c r="C226" s="5"/>
      <c r="D226" s="5"/>
      <c r="E226" s="377" t="s">
        <v>420</v>
      </c>
      <c r="F226" s="5"/>
      <c r="G226" s="5"/>
      <c r="H226" s="5"/>
      <c r="I226" s="5"/>
      <c r="J226" s="5"/>
      <c r="K226" s="5"/>
      <c r="L226" s="6"/>
    </row>
    <row r="227" spans="1:12" ht="12.75">
      <c r="A227" s="4"/>
      <c r="B227" s="5"/>
      <c r="C227" s="5"/>
      <c r="D227" s="5"/>
      <c r="E227" s="5"/>
      <c r="F227" s="5"/>
      <c r="G227" s="5"/>
      <c r="H227" s="5"/>
      <c r="I227" s="5"/>
      <c r="J227" s="5"/>
      <c r="K227" s="5"/>
      <c r="L227" s="6"/>
    </row>
    <row r="228" spans="1:12" ht="12.75">
      <c r="A228" s="4"/>
      <c r="B228" s="5"/>
      <c r="C228" s="5"/>
      <c r="D228" s="5"/>
      <c r="E228" s="5"/>
      <c r="F228" s="5"/>
      <c r="G228" s="5"/>
      <c r="H228" s="5"/>
      <c r="I228" s="378" t="s">
        <v>1359</v>
      </c>
      <c r="J228" s="5"/>
      <c r="K228" s="5"/>
      <c r="L228" s="6"/>
    </row>
    <row r="229" spans="1:12" ht="12.75">
      <c r="A229" s="4"/>
      <c r="B229" s="5"/>
      <c r="C229" s="5"/>
      <c r="D229" s="5"/>
      <c r="E229" s="379" t="s">
        <v>421</v>
      </c>
      <c r="F229" s="5"/>
      <c r="G229" s="5"/>
      <c r="H229" s="5"/>
      <c r="I229" s="5"/>
      <c r="J229" s="5"/>
      <c r="K229" s="5"/>
      <c r="L229" s="6"/>
    </row>
    <row r="230" spans="1:12" ht="12.75">
      <c r="A230" s="4"/>
      <c r="B230" s="5"/>
      <c r="C230" s="5"/>
      <c r="D230" s="5"/>
      <c r="E230" s="5"/>
      <c r="F230" s="5"/>
      <c r="G230" s="5"/>
      <c r="H230" s="5"/>
      <c r="I230" s="5"/>
      <c r="J230" s="5"/>
      <c r="K230" s="5"/>
      <c r="L230" s="6"/>
    </row>
    <row r="231" spans="1:12" ht="12.75">
      <c r="A231" s="4"/>
      <c r="B231" s="5"/>
      <c r="C231" s="5"/>
      <c r="D231" s="5"/>
      <c r="E231" s="5"/>
      <c r="F231" s="5"/>
      <c r="G231" s="5"/>
      <c r="H231" s="5"/>
      <c r="I231" s="5"/>
      <c r="J231" s="5"/>
      <c r="K231" s="5"/>
      <c r="L231" s="6"/>
    </row>
    <row r="232" spans="1:12" ht="12.75">
      <c r="A232" s="4"/>
      <c r="B232" s="5"/>
      <c r="C232" s="5"/>
      <c r="D232" s="5"/>
      <c r="E232" s="5"/>
      <c r="F232" s="5"/>
      <c r="G232" s="5"/>
      <c r="H232" s="5"/>
      <c r="I232" s="5"/>
      <c r="J232" s="5"/>
      <c r="K232" s="5"/>
      <c r="L232" s="6"/>
    </row>
    <row r="233" spans="1:12" ht="12.75">
      <c r="A233" s="4"/>
      <c r="B233" s="5"/>
      <c r="C233" s="5"/>
      <c r="D233" s="5"/>
      <c r="E233" s="5"/>
      <c r="F233" s="5"/>
      <c r="G233" s="5"/>
      <c r="H233" s="5"/>
      <c r="I233" s="5"/>
      <c r="J233" s="5"/>
      <c r="K233" s="5"/>
      <c r="L233" s="6"/>
    </row>
    <row r="234" spans="1:12" ht="12.75">
      <c r="A234" s="4"/>
      <c r="B234" s="5"/>
      <c r="C234" s="5"/>
      <c r="D234" s="5"/>
      <c r="E234" s="5"/>
      <c r="F234" s="5"/>
      <c r="G234" s="5"/>
      <c r="H234" s="5"/>
      <c r="I234" s="5"/>
      <c r="J234" s="5"/>
      <c r="K234" s="5"/>
      <c r="L234" s="6"/>
    </row>
    <row r="235" spans="1:12" ht="12.75">
      <c r="A235" s="4"/>
      <c r="B235" s="5"/>
      <c r="C235" s="5"/>
      <c r="D235" s="5"/>
      <c r="E235" s="5"/>
      <c r="F235" s="5"/>
      <c r="G235" s="5"/>
      <c r="H235" s="5"/>
      <c r="I235" s="5"/>
      <c r="J235" s="5"/>
      <c r="K235" s="5"/>
      <c r="L235" s="6"/>
    </row>
    <row r="236" spans="1:12" ht="12.75">
      <c r="A236" s="4"/>
      <c r="B236" s="5"/>
      <c r="C236" s="5"/>
      <c r="D236" s="5"/>
      <c r="E236" s="5"/>
      <c r="F236" s="5"/>
      <c r="G236" s="5"/>
      <c r="H236" s="5"/>
      <c r="I236" s="5"/>
      <c r="J236" s="5"/>
      <c r="K236" s="5"/>
      <c r="L236" s="6"/>
    </row>
    <row r="237" spans="1:12" ht="12.75">
      <c r="A237" s="4"/>
      <c r="B237" s="5"/>
      <c r="C237" s="5"/>
      <c r="D237" s="5"/>
      <c r="E237" s="5"/>
      <c r="F237" s="5"/>
      <c r="G237" s="5"/>
      <c r="H237" s="5"/>
      <c r="I237" s="5"/>
      <c r="J237" s="5"/>
      <c r="K237" s="5"/>
      <c r="L237" s="6"/>
    </row>
    <row r="238" spans="1:12" ht="12.75">
      <c r="A238" s="4"/>
      <c r="B238" s="5"/>
      <c r="C238" s="5"/>
      <c r="D238" s="5"/>
      <c r="E238" s="5"/>
      <c r="F238" s="5"/>
      <c r="G238" s="5"/>
      <c r="H238" s="5"/>
      <c r="I238" s="5"/>
      <c r="J238" s="5"/>
      <c r="K238" s="5"/>
      <c r="L238" s="6"/>
    </row>
    <row r="239" spans="1:12" ht="12.75">
      <c r="A239" s="4"/>
      <c r="B239" s="5"/>
      <c r="C239" s="5"/>
      <c r="D239" s="5"/>
      <c r="E239" s="5"/>
      <c r="F239" s="5"/>
      <c r="G239" s="5"/>
      <c r="H239" s="5"/>
      <c r="I239" s="5"/>
      <c r="J239" s="5"/>
      <c r="K239" s="5"/>
      <c r="L239" s="6"/>
    </row>
    <row r="240" spans="1:12" ht="12.75">
      <c r="A240" s="4"/>
      <c r="B240" s="5"/>
      <c r="C240" s="5"/>
      <c r="D240" s="5"/>
      <c r="E240" s="5"/>
      <c r="F240" s="5"/>
      <c r="G240" s="5"/>
      <c r="H240" s="5"/>
      <c r="I240" s="5"/>
      <c r="J240" s="5"/>
      <c r="K240" s="5"/>
      <c r="L240" s="6"/>
    </row>
    <row r="241" spans="1:12" ht="12.75">
      <c r="A241" s="4"/>
      <c r="B241" s="5"/>
      <c r="C241" s="5"/>
      <c r="D241" s="5"/>
      <c r="E241" s="5"/>
      <c r="F241" s="5"/>
      <c r="G241" s="5"/>
      <c r="H241" s="5"/>
      <c r="I241" s="5"/>
      <c r="J241" s="5"/>
      <c r="K241" s="5"/>
      <c r="L241" s="6"/>
    </row>
    <row r="242" spans="1:12" ht="12.75">
      <c r="A242" s="4"/>
      <c r="B242" s="5"/>
      <c r="C242" s="5"/>
      <c r="D242" s="5"/>
      <c r="E242" s="5"/>
      <c r="F242" s="5"/>
      <c r="G242" s="5"/>
      <c r="H242" s="5"/>
      <c r="I242" s="5"/>
      <c r="J242" s="5"/>
      <c r="K242" s="5"/>
      <c r="L242" s="6"/>
    </row>
    <row r="243" spans="1:12" ht="12.75">
      <c r="A243" s="4"/>
      <c r="B243" s="5"/>
      <c r="C243" s="5"/>
      <c r="D243" s="5"/>
      <c r="E243" s="5"/>
      <c r="F243" s="5"/>
      <c r="G243" s="5"/>
      <c r="H243" s="5"/>
      <c r="I243" s="5"/>
      <c r="J243" s="5"/>
      <c r="K243" s="5"/>
      <c r="L243" s="6"/>
    </row>
    <row r="244" spans="1:12" ht="12.75">
      <c r="A244" s="4"/>
      <c r="B244" s="5"/>
      <c r="C244" s="5"/>
      <c r="D244" s="5"/>
      <c r="E244" s="5"/>
      <c r="F244" s="5"/>
      <c r="G244" s="5"/>
      <c r="H244" s="5"/>
      <c r="I244" s="5"/>
      <c r="J244" s="5"/>
      <c r="K244" s="5"/>
      <c r="L244" s="6"/>
    </row>
    <row r="245" spans="1:12" ht="12.75">
      <c r="A245" s="4"/>
      <c r="B245" s="5"/>
      <c r="C245" s="5"/>
      <c r="D245" s="5"/>
      <c r="E245" s="5"/>
      <c r="F245" s="5"/>
      <c r="G245" s="5"/>
      <c r="H245" s="5"/>
      <c r="I245" s="5"/>
      <c r="J245" s="5"/>
      <c r="K245" s="5"/>
      <c r="L245" s="6"/>
    </row>
    <row r="246" spans="1:12" ht="12.75">
      <c r="A246" s="4"/>
      <c r="B246" s="5"/>
      <c r="C246" s="5"/>
      <c r="D246" s="5"/>
      <c r="E246" s="5"/>
      <c r="F246" s="5"/>
      <c r="G246" s="5"/>
      <c r="H246" s="5"/>
      <c r="I246" s="5"/>
      <c r="J246" s="5"/>
      <c r="K246" s="5"/>
      <c r="L246" s="6"/>
    </row>
    <row r="247" spans="1:12" ht="12.75">
      <c r="A247" s="4"/>
      <c r="B247" s="5"/>
      <c r="C247" s="5"/>
      <c r="D247" s="5"/>
      <c r="E247" s="5"/>
      <c r="F247" s="5"/>
      <c r="G247" s="5"/>
      <c r="H247" s="5"/>
      <c r="I247" s="5"/>
      <c r="J247" s="5"/>
      <c r="K247" s="5"/>
      <c r="L247" s="6"/>
    </row>
    <row r="248" spans="1:12" ht="12.75">
      <c r="A248" s="4"/>
      <c r="B248" s="5"/>
      <c r="C248" s="5"/>
      <c r="D248" s="5"/>
      <c r="E248" s="5"/>
      <c r="F248" s="5"/>
      <c r="G248" s="5"/>
      <c r="H248" s="5"/>
      <c r="I248" s="5"/>
      <c r="J248" s="5"/>
      <c r="K248" s="5"/>
      <c r="L248" s="6"/>
    </row>
    <row r="249" spans="1:12" ht="12.75">
      <c r="A249" s="4"/>
      <c r="B249" s="5"/>
      <c r="C249" s="5"/>
      <c r="D249" s="5"/>
      <c r="E249" s="5"/>
      <c r="F249" s="5"/>
      <c r="G249" s="5"/>
      <c r="H249" s="5"/>
      <c r="I249" s="5"/>
      <c r="J249" s="5"/>
      <c r="K249" s="5"/>
      <c r="L249" s="6"/>
    </row>
    <row r="250" spans="1:12" ht="12.75">
      <c r="A250" s="4"/>
      <c r="B250" s="5"/>
      <c r="C250" s="5"/>
      <c r="D250" s="5"/>
      <c r="E250" s="5"/>
      <c r="F250" s="5"/>
      <c r="G250" s="5"/>
      <c r="H250" s="5"/>
      <c r="I250" s="5"/>
      <c r="J250" s="5"/>
      <c r="K250" s="5"/>
      <c r="L250" s="6"/>
    </row>
    <row r="251" spans="1:12" ht="12.75">
      <c r="A251" s="4"/>
      <c r="B251" s="5"/>
      <c r="C251" s="5"/>
      <c r="D251" s="5"/>
      <c r="E251" s="5"/>
      <c r="F251" s="5"/>
      <c r="G251" s="5"/>
      <c r="H251" s="5"/>
      <c r="I251" s="5"/>
      <c r="J251" s="5"/>
      <c r="K251" s="5"/>
      <c r="L251" s="6"/>
    </row>
    <row r="252" spans="1:12" ht="12.75">
      <c r="A252" s="4"/>
      <c r="B252" s="5"/>
      <c r="C252" s="5"/>
      <c r="D252" s="5"/>
      <c r="E252" s="5"/>
      <c r="F252" s="5"/>
      <c r="G252" s="5"/>
      <c r="H252" s="5"/>
      <c r="I252" s="5"/>
      <c r="J252" s="5"/>
      <c r="K252" s="5"/>
      <c r="L252" s="6"/>
    </row>
    <row r="253" spans="1:12" ht="12.75">
      <c r="A253" s="4"/>
      <c r="B253" s="5"/>
      <c r="C253" s="5"/>
      <c r="D253" s="5"/>
      <c r="E253" s="5"/>
      <c r="F253" s="5"/>
      <c r="G253" s="5"/>
      <c r="H253" s="5"/>
      <c r="I253" s="5"/>
      <c r="J253" s="5"/>
      <c r="K253" s="5"/>
      <c r="L253" s="6"/>
    </row>
    <row r="254" spans="1:12" ht="12.75">
      <c r="A254" s="4"/>
      <c r="B254" s="5"/>
      <c r="C254" s="5"/>
      <c r="D254" s="5"/>
      <c r="E254" s="5"/>
      <c r="F254" s="5"/>
      <c r="G254" s="5"/>
      <c r="H254" s="5"/>
      <c r="I254" s="5"/>
      <c r="J254" s="5"/>
      <c r="K254" s="5"/>
      <c r="L254" s="6"/>
    </row>
    <row r="255" spans="1:12" ht="12.75">
      <c r="A255" s="4"/>
      <c r="B255" s="5"/>
      <c r="C255" s="5"/>
      <c r="D255" s="5"/>
      <c r="E255" s="5"/>
      <c r="F255" s="5"/>
      <c r="G255" s="5"/>
      <c r="H255" s="5"/>
      <c r="I255" s="5"/>
      <c r="J255" s="5"/>
      <c r="K255" s="5"/>
      <c r="L255" s="6"/>
    </row>
    <row r="256" spans="1:12" ht="12.75">
      <c r="A256" s="4"/>
      <c r="B256" s="5"/>
      <c r="C256" s="5"/>
      <c r="D256" s="5"/>
      <c r="E256" s="5"/>
      <c r="F256" s="5"/>
      <c r="G256" s="5"/>
      <c r="H256" s="5"/>
      <c r="I256" s="5"/>
      <c r="J256" s="5"/>
      <c r="K256" s="5"/>
      <c r="L256" s="6"/>
    </row>
    <row r="257" spans="1:12" ht="12.75">
      <c r="A257" s="4"/>
      <c r="B257" s="5"/>
      <c r="C257" s="5"/>
      <c r="D257" s="5"/>
      <c r="E257" s="5"/>
      <c r="F257" s="5"/>
      <c r="G257" s="5"/>
      <c r="H257" s="5"/>
      <c r="I257" s="5"/>
      <c r="J257" s="5"/>
      <c r="K257" s="5"/>
      <c r="L257" s="6"/>
    </row>
    <row r="258" spans="1:12" ht="12.75">
      <c r="A258" s="4"/>
      <c r="B258" s="5"/>
      <c r="C258" s="5"/>
      <c r="D258" s="5"/>
      <c r="E258" s="5"/>
      <c r="F258" s="5"/>
      <c r="G258" s="5"/>
      <c r="H258" s="5"/>
      <c r="I258" s="5"/>
      <c r="J258" s="5"/>
      <c r="K258" s="5"/>
      <c r="L258" s="6"/>
    </row>
    <row r="259" spans="1:12" ht="12.75">
      <c r="A259" s="4"/>
      <c r="B259" s="5"/>
      <c r="C259" s="5"/>
      <c r="D259" s="5"/>
      <c r="E259" s="5"/>
      <c r="F259" s="5"/>
      <c r="G259" s="5"/>
      <c r="H259" s="5"/>
      <c r="I259" s="5"/>
      <c r="J259" s="5"/>
      <c r="K259" s="5"/>
      <c r="L259" s="6"/>
    </row>
    <row r="260" spans="1:12" ht="12.75">
      <c r="A260" s="4"/>
      <c r="B260" s="5"/>
      <c r="C260" s="5"/>
      <c r="D260" s="5"/>
      <c r="E260" s="5"/>
      <c r="F260" s="5"/>
      <c r="G260" s="5"/>
      <c r="H260" s="5"/>
      <c r="I260" s="5"/>
      <c r="J260" s="5"/>
      <c r="K260" s="5"/>
      <c r="L260" s="6"/>
    </row>
    <row r="261" spans="1:12" ht="12.75">
      <c r="A261" s="4"/>
      <c r="B261" s="5"/>
      <c r="C261" s="5"/>
      <c r="D261" s="5"/>
      <c r="E261" s="5"/>
      <c r="F261" s="5"/>
      <c r="G261" s="5"/>
      <c r="H261" s="5"/>
      <c r="I261" s="5"/>
      <c r="J261" s="5"/>
      <c r="K261" s="5"/>
      <c r="L261" s="6"/>
    </row>
    <row r="262" spans="1:12" ht="12.75">
      <c r="A262" s="4"/>
      <c r="B262" s="5"/>
      <c r="C262" s="5"/>
      <c r="D262" s="5"/>
      <c r="E262" s="5"/>
      <c r="F262" s="5"/>
      <c r="G262" s="5"/>
      <c r="H262" s="5"/>
      <c r="I262" s="5"/>
      <c r="J262" s="5"/>
      <c r="K262" s="5"/>
      <c r="L262" s="6"/>
    </row>
    <row r="263" spans="1:12" ht="12.75">
      <c r="A263" s="4"/>
      <c r="B263" s="5"/>
      <c r="C263" s="5"/>
      <c r="D263" s="5"/>
      <c r="E263" s="5"/>
      <c r="F263" s="5"/>
      <c r="G263" s="5"/>
      <c r="H263" s="5"/>
      <c r="I263" s="5"/>
      <c r="J263" s="5"/>
      <c r="K263" s="5"/>
      <c r="L263" s="6"/>
    </row>
    <row r="264" spans="1:12" ht="12.75">
      <c r="A264" s="4"/>
      <c r="B264" s="5"/>
      <c r="C264" s="5"/>
      <c r="D264" s="5"/>
      <c r="E264" s="5"/>
      <c r="F264" s="5"/>
      <c r="G264" s="5"/>
      <c r="H264" s="5"/>
      <c r="I264" s="5"/>
      <c r="J264" s="5"/>
      <c r="K264" s="5"/>
      <c r="L264" s="6"/>
    </row>
    <row r="265" spans="1:12" ht="12.75">
      <c r="A265" s="4" t="s">
        <v>521</v>
      </c>
      <c r="B265" s="5"/>
      <c r="C265" s="5"/>
      <c r="D265" s="5"/>
      <c r="E265" s="5"/>
      <c r="F265" s="5"/>
      <c r="G265" s="5"/>
      <c r="H265" s="5"/>
      <c r="I265" s="5"/>
      <c r="J265" s="5"/>
      <c r="K265" s="5"/>
      <c r="L265" s="6"/>
    </row>
    <row r="266" spans="1:12" ht="12.75">
      <c r="A266" s="4" t="s">
        <v>1360</v>
      </c>
      <c r="B266" s="5"/>
      <c r="C266" s="5"/>
      <c r="D266" s="5"/>
      <c r="E266" s="5"/>
      <c r="F266" s="5"/>
      <c r="G266" s="5"/>
      <c r="H266" s="5"/>
      <c r="I266" s="5"/>
      <c r="J266" s="5"/>
      <c r="K266" s="5"/>
      <c r="L266" s="6"/>
    </row>
    <row r="267" spans="1:12" ht="12.75">
      <c r="A267" s="4"/>
      <c r="B267" s="5"/>
      <c r="C267" s="5"/>
      <c r="D267" s="5"/>
      <c r="E267" s="5"/>
      <c r="F267" s="5"/>
      <c r="G267" s="5"/>
      <c r="H267" s="5"/>
      <c r="I267" s="5"/>
      <c r="J267" s="5"/>
      <c r="K267" s="5"/>
      <c r="L267" s="6"/>
    </row>
    <row r="268" spans="1:12" ht="12.75">
      <c r="A268" s="4"/>
      <c r="B268" s="5"/>
      <c r="C268" s="5"/>
      <c r="D268" s="5"/>
      <c r="E268" s="5"/>
      <c r="F268" s="5"/>
      <c r="G268" s="5"/>
      <c r="H268" s="5"/>
      <c r="I268" s="5"/>
      <c r="J268" s="5"/>
      <c r="K268" s="5"/>
      <c r="L268" s="6"/>
    </row>
    <row r="269" spans="1:12" ht="18">
      <c r="A269" s="4"/>
      <c r="B269" s="5"/>
      <c r="C269" s="5"/>
      <c r="D269" s="5"/>
      <c r="E269" s="764" t="s">
        <v>419</v>
      </c>
      <c r="F269" s="764"/>
      <c r="G269" s="5"/>
      <c r="H269" s="5"/>
      <c r="I269" s="5"/>
      <c r="J269" s="5"/>
      <c r="K269" s="5"/>
      <c r="L269" s="6"/>
    </row>
    <row r="270" spans="1:12" ht="12.75">
      <c r="A270" s="4"/>
      <c r="B270" s="5"/>
      <c r="C270" s="5"/>
      <c r="D270" s="5"/>
      <c r="E270" s="5"/>
      <c r="F270" s="5"/>
      <c r="G270" s="5"/>
      <c r="H270" s="5"/>
      <c r="I270" s="5"/>
      <c r="J270" s="5"/>
      <c r="K270" s="5"/>
      <c r="L270" s="6"/>
    </row>
    <row r="271" spans="1:12" ht="12.75">
      <c r="A271" s="4"/>
      <c r="B271" s="5"/>
      <c r="C271" s="5"/>
      <c r="D271" s="5"/>
      <c r="E271" s="5"/>
      <c r="F271" s="5"/>
      <c r="G271" s="5"/>
      <c r="H271" s="5"/>
      <c r="I271" s="5"/>
      <c r="J271" s="5"/>
      <c r="K271" s="5"/>
      <c r="L271" s="6"/>
    </row>
    <row r="272" spans="1:12" ht="12.75">
      <c r="A272" s="4"/>
      <c r="B272" s="5"/>
      <c r="C272" s="5"/>
      <c r="D272" s="5"/>
      <c r="E272" s="5"/>
      <c r="F272" s="5"/>
      <c r="G272" s="5"/>
      <c r="H272" s="5"/>
      <c r="I272" s="5"/>
      <c r="J272" s="5"/>
      <c r="K272" s="5"/>
      <c r="L272" s="6"/>
    </row>
    <row r="273" spans="1:12" ht="12.75">
      <c r="A273" s="4"/>
      <c r="B273" s="5"/>
      <c r="C273" s="5"/>
      <c r="D273" s="5"/>
      <c r="E273" s="5"/>
      <c r="F273" s="5"/>
      <c r="G273" s="5"/>
      <c r="H273" s="5"/>
      <c r="I273" s="5"/>
      <c r="J273" s="5"/>
      <c r="K273" s="5"/>
      <c r="L273" s="6"/>
    </row>
    <row r="274" spans="1:12" ht="12.75">
      <c r="A274" s="4"/>
      <c r="B274" s="5"/>
      <c r="C274" s="5"/>
      <c r="D274" s="5"/>
      <c r="E274" s="5"/>
      <c r="F274" s="5"/>
      <c r="G274" s="5"/>
      <c r="H274" s="5"/>
      <c r="I274" s="5"/>
      <c r="J274" s="5"/>
      <c r="K274" s="5"/>
      <c r="L274" s="6"/>
    </row>
    <row r="275" spans="1:12" ht="12.75">
      <c r="A275" s="4"/>
      <c r="B275" s="5"/>
      <c r="C275" s="5"/>
      <c r="D275" s="5"/>
      <c r="E275" s="5"/>
      <c r="F275" s="5"/>
      <c r="G275" s="5"/>
      <c r="H275" s="5"/>
      <c r="I275" s="5"/>
      <c r="J275" s="5"/>
      <c r="K275" s="5"/>
      <c r="L275" s="6"/>
    </row>
    <row r="276" spans="1:12" ht="12.75">
      <c r="A276" s="4"/>
      <c r="B276" s="5"/>
      <c r="C276" s="5"/>
      <c r="D276" s="5"/>
      <c r="E276" s="5"/>
      <c r="F276" s="5"/>
      <c r="G276" s="5"/>
      <c r="H276" s="5"/>
      <c r="I276" s="5"/>
      <c r="J276" s="5"/>
      <c r="K276" s="5"/>
      <c r="L276" s="6"/>
    </row>
    <row r="277" spans="1:12" ht="12.75">
      <c r="A277" s="4"/>
      <c r="B277" s="5"/>
      <c r="C277" s="5"/>
      <c r="D277" s="5"/>
      <c r="E277" s="5"/>
      <c r="F277" s="5"/>
      <c r="G277" s="5"/>
      <c r="H277" s="5"/>
      <c r="I277" s="5"/>
      <c r="J277" s="5"/>
      <c r="K277" s="5"/>
      <c r="L277" s="6"/>
    </row>
    <row r="278" spans="1:12" ht="12.75">
      <c r="A278" s="4"/>
      <c r="B278" s="5"/>
      <c r="C278" s="5"/>
      <c r="D278" s="5"/>
      <c r="E278" s="5"/>
      <c r="F278" s="5"/>
      <c r="G278" s="5"/>
      <c r="H278" s="5"/>
      <c r="I278" s="5"/>
      <c r="J278" s="5"/>
      <c r="K278" s="5"/>
      <c r="L278" s="6"/>
    </row>
    <row r="279" spans="1:12" ht="12.75">
      <c r="A279" s="4"/>
      <c r="B279" s="5"/>
      <c r="C279" s="5"/>
      <c r="D279" s="5"/>
      <c r="E279" s="5"/>
      <c r="F279" s="5"/>
      <c r="G279" s="5"/>
      <c r="H279" s="5"/>
      <c r="I279" s="5"/>
      <c r="J279" s="5"/>
      <c r="K279" s="5"/>
      <c r="L279" s="6"/>
    </row>
    <row r="280" spans="1:12" ht="12.75">
      <c r="A280" s="4"/>
      <c r="B280" s="5"/>
      <c r="C280" s="5"/>
      <c r="D280" s="5"/>
      <c r="E280" s="5"/>
      <c r="F280" s="5"/>
      <c r="G280" s="5"/>
      <c r="H280" s="5"/>
      <c r="I280" s="41" t="s">
        <v>418</v>
      </c>
      <c r="J280" s="5"/>
      <c r="K280" s="5"/>
      <c r="L280" s="6"/>
    </row>
    <row r="281" spans="1:12" ht="12.75">
      <c r="A281" s="4"/>
      <c r="B281" s="5"/>
      <c r="C281" s="5"/>
      <c r="D281" s="5"/>
      <c r="E281" s="5"/>
      <c r="F281" s="5"/>
      <c r="G281" s="5"/>
      <c r="H281" s="5" t="s">
        <v>417</v>
      </c>
      <c r="I281" s="5"/>
      <c r="J281" s="5"/>
      <c r="K281" s="5"/>
      <c r="L281" s="6"/>
    </row>
    <row r="282" spans="1:12" ht="12.75">
      <c r="A282" s="4"/>
      <c r="B282" s="5"/>
      <c r="C282" s="5"/>
      <c r="D282" s="5"/>
      <c r="E282" s="5"/>
      <c r="F282" s="5"/>
      <c r="G282" s="5"/>
      <c r="H282" s="5"/>
      <c r="I282" s="5"/>
      <c r="J282" s="5"/>
      <c r="K282" s="5"/>
      <c r="L282" s="6"/>
    </row>
    <row r="283" spans="1:12" ht="12.75">
      <c r="A283" s="4"/>
      <c r="B283" s="5"/>
      <c r="C283" s="5"/>
      <c r="D283" s="5"/>
      <c r="E283" s="5"/>
      <c r="F283" s="5"/>
      <c r="G283" s="5"/>
      <c r="H283" s="5"/>
      <c r="I283" s="5"/>
      <c r="J283" s="5"/>
      <c r="K283" s="5"/>
      <c r="L283" s="6"/>
    </row>
    <row r="284" spans="1:12" ht="12.75">
      <c r="A284" s="4"/>
      <c r="B284" s="5"/>
      <c r="C284" s="5"/>
      <c r="D284" s="5"/>
      <c r="E284" s="5"/>
      <c r="F284" s="5"/>
      <c r="G284" s="5"/>
      <c r="H284" s="5"/>
      <c r="I284" s="5"/>
      <c r="J284" s="5"/>
      <c r="K284" s="5"/>
      <c r="L284" s="6"/>
    </row>
    <row r="285" spans="1:12" ht="12.75">
      <c r="A285" s="4"/>
      <c r="B285" s="5"/>
      <c r="C285" s="5"/>
      <c r="D285" s="5"/>
      <c r="E285" s="5"/>
      <c r="F285" s="5"/>
      <c r="G285" s="5"/>
      <c r="H285" s="5"/>
      <c r="I285" s="5"/>
      <c r="J285" s="5"/>
      <c r="K285" s="5"/>
      <c r="L285" s="6"/>
    </row>
    <row r="286" spans="1:12" ht="12.75">
      <c r="A286" s="4"/>
      <c r="B286" s="5"/>
      <c r="C286" s="5"/>
      <c r="D286" s="5"/>
      <c r="E286" s="5"/>
      <c r="F286" s="5"/>
      <c r="G286" s="5"/>
      <c r="H286" s="5"/>
      <c r="I286" s="5"/>
      <c r="J286" s="5"/>
      <c r="K286" s="5"/>
      <c r="L286" s="6"/>
    </row>
    <row r="287" spans="1:12" ht="12.75">
      <c r="A287" s="4"/>
      <c r="B287" s="5"/>
      <c r="C287" s="5"/>
      <c r="D287" s="5"/>
      <c r="E287" s="5"/>
      <c r="F287" s="5"/>
      <c r="G287" s="5"/>
      <c r="H287" s="5"/>
      <c r="I287" s="5"/>
      <c r="J287" s="5"/>
      <c r="K287" s="5"/>
      <c r="L287" s="6"/>
    </row>
    <row r="288" spans="1:12" ht="12.75">
      <c r="A288" s="4"/>
      <c r="B288" s="5"/>
      <c r="C288" s="5"/>
      <c r="D288" s="5"/>
      <c r="E288" s="5"/>
      <c r="F288" s="5"/>
      <c r="G288" s="5"/>
      <c r="H288" s="5"/>
      <c r="I288" s="5"/>
      <c r="J288" s="5"/>
      <c r="K288" s="5"/>
      <c r="L288" s="6"/>
    </row>
    <row r="289" spans="1:12" ht="12.75">
      <c r="A289" s="4"/>
      <c r="B289" s="5"/>
      <c r="C289" s="5"/>
      <c r="D289" s="5"/>
      <c r="E289" s="5"/>
      <c r="F289" s="5"/>
      <c r="G289" s="5"/>
      <c r="H289" s="5"/>
      <c r="I289" s="5"/>
      <c r="J289" s="5"/>
      <c r="K289" s="5"/>
      <c r="L289" s="6"/>
    </row>
    <row r="290" spans="1:12" ht="12.75">
      <c r="A290" s="4"/>
      <c r="B290" s="5"/>
      <c r="C290" s="5"/>
      <c r="D290" s="5"/>
      <c r="E290" s="5"/>
      <c r="F290" s="5"/>
      <c r="G290" s="5"/>
      <c r="H290" s="5"/>
      <c r="I290" s="5"/>
      <c r="J290" s="5"/>
      <c r="K290" s="5"/>
      <c r="L290" s="6"/>
    </row>
    <row r="291" spans="1:12" ht="12.75">
      <c r="A291" s="4"/>
      <c r="B291" s="5"/>
      <c r="C291" s="5"/>
      <c r="D291" s="5"/>
      <c r="E291" s="5"/>
      <c r="F291" s="5"/>
      <c r="G291" s="5"/>
      <c r="H291" s="5"/>
      <c r="I291" s="5"/>
      <c r="J291" s="5"/>
      <c r="K291" s="5"/>
      <c r="L291" s="6"/>
    </row>
    <row r="292" spans="1:12" ht="12.75">
      <c r="A292" s="4"/>
      <c r="B292" s="5"/>
      <c r="C292" s="5"/>
      <c r="D292" s="5"/>
      <c r="E292" s="5"/>
      <c r="F292" s="5"/>
      <c r="G292" s="5"/>
      <c r="H292" s="5"/>
      <c r="I292" s="5"/>
      <c r="J292" s="5"/>
      <c r="K292" s="5"/>
      <c r="L292" s="6"/>
    </row>
    <row r="293" spans="1:12" ht="12.75">
      <c r="A293" s="4"/>
      <c r="B293" s="5"/>
      <c r="C293" s="5"/>
      <c r="D293" s="5"/>
      <c r="E293" s="5"/>
      <c r="F293" s="5"/>
      <c r="G293" s="5"/>
      <c r="H293" s="5"/>
      <c r="I293" s="5"/>
      <c r="J293" s="5"/>
      <c r="K293" s="5"/>
      <c r="L293" s="6"/>
    </row>
    <row r="294" spans="1:12" ht="12.75">
      <c r="A294" s="4"/>
      <c r="B294" s="5"/>
      <c r="C294" s="5"/>
      <c r="D294" s="5"/>
      <c r="E294" s="5"/>
      <c r="F294" s="5" t="s">
        <v>1361</v>
      </c>
      <c r="G294" s="5"/>
      <c r="H294" s="5"/>
      <c r="I294" s="5"/>
      <c r="J294" s="5"/>
      <c r="K294" s="5"/>
      <c r="L294" s="6"/>
    </row>
    <row r="295" spans="1:12" ht="12.75">
      <c r="A295" s="4"/>
      <c r="B295" s="5"/>
      <c r="C295" s="5"/>
      <c r="D295" s="5"/>
      <c r="E295" s="5"/>
      <c r="F295" s="5"/>
      <c r="G295" s="5"/>
      <c r="H295" s="5"/>
      <c r="I295" s="5"/>
      <c r="J295" s="5"/>
      <c r="K295" s="5"/>
      <c r="L295" s="6"/>
    </row>
    <row r="296" spans="1:12" ht="13.5" thickBot="1">
      <c r="A296" s="7"/>
      <c r="B296" s="8"/>
      <c r="C296" s="8"/>
      <c r="D296" s="8"/>
      <c r="E296" s="8"/>
      <c r="F296" s="8"/>
      <c r="G296" s="8"/>
      <c r="H296" s="8"/>
      <c r="I296" s="8"/>
      <c r="J296" s="8"/>
      <c r="K296" s="8"/>
      <c r="L296" s="9"/>
    </row>
    <row r="298" ht="13.5" thickBot="1"/>
    <row r="299" spans="1:12" ht="12.75">
      <c r="A299" s="1"/>
      <c r="B299" s="2"/>
      <c r="C299" s="2"/>
      <c r="D299" s="2"/>
      <c r="E299" s="2"/>
      <c r="F299" s="2"/>
      <c r="G299" s="2"/>
      <c r="H299" s="2"/>
      <c r="I299" s="2"/>
      <c r="J299" s="2"/>
      <c r="K299" s="2"/>
      <c r="L299" s="3"/>
    </row>
    <row r="300" spans="1:12" ht="12.75">
      <c r="A300" s="10" t="s">
        <v>1362</v>
      </c>
      <c r="B300" s="5"/>
      <c r="C300" s="5"/>
      <c r="D300" s="5"/>
      <c r="E300" s="5"/>
      <c r="F300" s="5"/>
      <c r="G300" s="5"/>
      <c r="H300" s="5"/>
      <c r="I300" s="20" t="s">
        <v>629</v>
      </c>
      <c r="J300" s="5"/>
      <c r="K300" s="5"/>
      <c r="L300" s="6"/>
    </row>
    <row r="301" spans="1:12" ht="12.75">
      <c r="A301" s="4"/>
      <c r="B301" s="5"/>
      <c r="C301" s="5"/>
      <c r="D301" s="5"/>
      <c r="E301" s="5"/>
      <c r="F301" s="5"/>
      <c r="G301" s="5"/>
      <c r="H301" s="5"/>
      <c r="I301" s="5"/>
      <c r="J301" s="5"/>
      <c r="K301" s="5"/>
      <c r="L301" s="6"/>
    </row>
    <row r="302" spans="1:12" ht="12.75">
      <c r="A302" s="4"/>
      <c r="B302" s="5"/>
      <c r="C302" s="5"/>
      <c r="D302" s="5"/>
      <c r="E302" s="5"/>
      <c r="F302" s="5"/>
      <c r="G302" s="5"/>
      <c r="H302" s="5"/>
      <c r="I302" s="5"/>
      <c r="J302" s="5"/>
      <c r="K302" s="5"/>
      <c r="L302" s="6"/>
    </row>
    <row r="303" spans="1:12" ht="12.75">
      <c r="A303" s="4"/>
      <c r="B303" s="5" t="s">
        <v>1363</v>
      </c>
      <c r="C303" s="5"/>
      <c r="D303" s="5"/>
      <c r="E303" s="5"/>
      <c r="F303" s="5"/>
      <c r="G303" s="5"/>
      <c r="H303" s="5"/>
      <c r="I303" s="5"/>
      <c r="J303" s="5"/>
      <c r="K303" s="5"/>
      <c r="L303" s="6"/>
    </row>
    <row r="304" spans="1:12" ht="12.75">
      <c r="A304" s="4"/>
      <c r="B304" s="5"/>
      <c r="C304" s="5"/>
      <c r="D304" s="5"/>
      <c r="E304" s="5"/>
      <c r="F304" s="5"/>
      <c r="G304" s="5"/>
      <c r="H304" s="5"/>
      <c r="I304" s="5"/>
      <c r="J304" s="5"/>
      <c r="K304" s="5"/>
      <c r="L304" s="6"/>
    </row>
    <row r="305" spans="1:12" ht="12.75">
      <c r="A305" s="4"/>
      <c r="B305" s="5"/>
      <c r="C305" s="5" t="str">
        <f aca="true" t="shared" si="1" ref="C305:E307">D214</f>
        <v>X_Ppp  =</v>
      </c>
      <c r="D305" s="380">
        <f t="shared" si="1"/>
        <v>-0.01741406168074648</v>
      </c>
      <c r="E305" s="5" t="str">
        <f t="shared" si="1"/>
        <v>m</v>
      </c>
      <c r="F305" s="5"/>
      <c r="G305" s="5"/>
      <c r="H305" s="134" t="s">
        <v>626</v>
      </c>
      <c r="I305" s="5"/>
      <c r="J305" s="5"/>
      <c r="K305" s="5"/>
      <c r="L305" s="6"/>
    </row>
    <row r="306" spans="1:12" ht="12.75">
      <c r="A306" s="4"/>
      <c r="B306" s="5"/>
      <c r="C306" s="5" t="str">
        <f t="shared" si="1"/>
        <v>Y_Ppp  =</v>
      </c>
      <c r="D306" s="380">
        <f t="shared" si="1"/>
        <v>-0.030405172335183618</v>
      </c>
      <c r="E306" s="5" t="str">
        <f t="shared" si="1"/>
        <v>m</v>
      </c>
      <c r="F306" s="5"/>
      <c r="G306" s="5"/>
      <c r="H306" s="5"/>
      <c r="I306" s="5"/>
      <c r="J306" s="5"/>
      <c r="K306" s="5"/>
      <c r="L306" s="6"/>
    </row>
    <row r="307" spans="1:12" ht="12.75">
      <c r="A307" s="4"/>
      <c r="B307" s="5"/>
      <c r="C307" s="5" t="str">
        <f t="shared" si="1"/>
        <v>Z_Ppp  =</v>
      </c>
      <c r="D307" s="380">
        <f t="shared" si="1"/>
        <v>0</v>
      </c>
      <c r="E307" s="5" t="str">
        <f t="shared" si="1"/>
        <v>m</v>
      </c>
      <c r="F307" s="5"/>
      <c r="G307" s="5"/>
      <c r="H307" s="5"/>
      <c r="I307" s="5"/>
      <c r="J307" s="5"/>
      <c r="K307" s="5"/>
      <c r="L307" s="6"/>
    </row>
    <row r="308" spans="1:12" ht="12.75">
      <c r="A308" s="4"/>
      <c r="B308" s="5"/>
      <c r="C308" s="5"/>
      <c r="D308" s="5"/>
      <c r="E308" s="5"/>
      <c r="F308" s="5"/>
      <c r="G308" s="5"/>
      <c r="H308" s="5"/>
      <c r="I308" s="5"/>
      <c r="J308" s="5"/>
      <c r="K308" s="5"/>
      <c r="L308" s="6"/>
    </row>
    <row r="309" spans="1:12" ht="12.75">
      <c r="A309" s="4"/>
      <c r="B309" s="5" t="s">
        <v>625</v>
      </c>
      <c r="C309" s="5"/>
      <c r="D309" s="5"/>
      <c r="E309" s="5"/>
      <c r="F309" s="5"/>
      <c r="G309" s="5"/>
      <c r="H309" s="5"/>
      <c r="I309" s="384" t="s">
        <v>627</v>
      </c>
      <c r="J309" s="5"/>
      <c r="K309" s="5"/>
      <c r="L309" s="6"/>
    </row>
    <row r="310" spans="1:12" ht="12.75">
      <c r="A310" s="4"/>
      <c r="B310" s="5" t="s">
        <v>624</v>
      </c>
      <c r="C310" s="5"/>
      <c r="D310" s="5"/>
      <c r="E310" s="5"/>
      <c r="F310" s="5"/>
      <c r="G310" s="5"/>
      <c r="H310" s="5"/>
      <c r="I310" s="5"/>
      <c r="J310" s="5"/>
      <c r="K310" s="5"/>
      <c r="L310" s="6"/>
    </row>
    <row r="311" spans="1:12" ht="12.75">
      <c r="A311" s="4"/>
      <c r="B311" s="5"/>
      <c r="C311" s="5"/>
      <c r="D311" s="5"/>
      <c r="E311" s="5"/>
      <c r="F311" s="5"/>
      <c r="G311" s="5"/>
      <c r="H311" s="5"/>
      <c r="I311" s="5"/>
      <c r="J311" s="5"/>
      <c r="K311" s="5"/>
      <c r="L311" s="6"/>
    </row>
    <row r="312" spans="1:12" ht="12.75">
      <c r="A312" s="4"/>
      <c r="B312" s="5"/>
      <c r="C312" s="5"/>
      <c r="D312" s="5"/>
      <c r="E312" s="5"/>
      <c r="F312" s="5"/>
      <c r="G312" s="5"/>
      <c r="H312" s="5"/>
      <c r="I312" s="5"/>
      <c r="J312" s="5"/>
      <c r="K312" s="5"/>
      <c r="L312" s="385" t="s">
        <v>525</v>
      </c>
    </row>
    <row r="313" spans="1:12" ht="12.75">
      <c r="A313" s="4"/>
      <c r="B313" s="5" t="s">
        <v>628</v>
      </c>
      <c r="C313" s="5"/>
      <c r="D313" s="5"/>
      <c r="E313" s="5"/>
      <c r="F313" s="5"/>
      <c r="G313" s="5"/>
      <c r="H313" s="5"/>
      <c r="I313" s="5"/>
      <c r="J313" s="5"/>
      <c r="K313" s="5"/>
      <c r="L313" s="6" t="s">
        <v>630</v>
      </c>
    </row>
    <row r="314" spans="1:12" ht="12.75">
      <c r="A314" s="4"/>
      <c r="B314" s="5" t="s">
        <v>1364</v>
      </c>
      <c r="C314" s="5"/>
      <c r="D314" s="5"/>
      <c r="E314" s="5"/>
      <c r="F314" s="5"/>
      <c r="G314" s="5"/>
      <c r="H314" s="5"/>
      <c r="I314" s="5"/>
      <c r="J314" s="5"/>
      <c r="K314" s="5"/>
      <c r="L314" s="6" t="s">
        <v>524</v>
      </c>
    </row>
    <row r="315" spans="1:12" ht="12.75">
      <c r="A315" s="4"/>
      <c r="B315" s="5"/>
      <c r="C315" s="5"/>
      <c r="D315" s="5"/>
      <c r="E315" s="5"/>
      <c r="F315" s="5"/>
      <c r="G315" s="5"/>
      <c r="H315" s="5"/>
      <c r="I315" s="5"/>
      <c r="J315" s="5"/>
      <c r="K315" s="5"/>
      <c r="L315" s="6"/>
    </row>
    <row r="316" spans="1:12" ht="12.75">
      <c r="A316" s="4"/>
      <c r="B316" s="5" t="s">
        <v>526</v>
      </c>
      <c r="C316" s="5"/>
      <c r="D316" s="5"/>
      <c r="E316" s="5"/>
      <c r="F316" s="5"/>
      <c r="G316" s="5"/>
      <c r="H316" s="5"/>
      <c r="I316" s="5"/>
      <c r="J316" s="5"/>
      <c r="K316" s="5"/>
      <c r="L316" s="6"/>
    </row>
    <row r="317" spans="1:12" ht="12.75">
      <c r="A317" s="4"/>
      <c r="B317" s="5" t="s">
        <v>422</v>
      </c>
      <c r="C317" s="5"/>
      <c r="D317" s="5"/>
      <c r="E317" s="5"/>
      <c r="F317" s="5"/>
      <c r="G317" s="5"/>
      <c r="H317" s="5"/>
      <c r="I317" s="5"/>
      <c r="J317" s="5"/>
      <c r="K317" s="5"/>
      <c r="L317" s="6"/>
    </row>
    <row r="318" spans="1:12" ht="12.75">
      <c r="A318" s="4"/>
      <c r="B318" s="5"/>
      <c r="C318" s="5"/>
      <c r="D318" s="5"/>
      <c r="E318" s="5"/>
      <c r="F318" s="5"/>
      <c r="G318" s="5"/>
      <c r="H318" s="5"/>
      <c r="I318" s="5"/>
      <c r="J318" s="5"/>
      <c r="K318" s="5"/>
      <c r="L318" s="6"/>
    </row>
    <row r="319" spans="1:12" ht="12.75">
      <c r="A319" s="4"/>
      <c r="B319" s="85" t="s">
        <v>90</v>
      </c>
      <c r="C319" s="382"/>
      <c r="D319" s="5"/>
      <c r="E319" s="5"/>
      <c r="F319" s="5"/>
      <c r="G319" s="5"/>
      <c r="H319" s="5"/>
      <c r="I319" s="5"/>
      <c r="J319" s="5"/>
      <c r="K319" s="5"/>
      <c r="L319" s="6"/>
    </row>
    <row r="320" spans="1:12" ht="12.75">
      <c r="A320" s="4"/>
      <c r="B320" s="148"/>
      <c r="C320" s="5"/>
      <c r="D320" s="5"/>
      <c r="E320" s="5"/>
      <c r="F320" s="5"/>
      <c r="G320" s="5"/>
      <c r="H320" s="5"/>
      <c r="I320" s="5"/>
      <c r="J320" s="5"/>
      <c r="K320" s="5"/>
      <c r="L320" s="6"/>
    </row>
    <row r="321" spans="1:12" ht="12.75">
      <c r="A321" s="4"/>
      <c r="B321" s="26" t="s">
        <v>1194</v>
      </c>
      <c r="C321" s="5" t="s">
        <v>91</v>
      </c>
      <c r="D321" s="5"/>
      <c r="E321" s="5"/>
      <c r="F321" s="5"/>
      <c r="G321" s="5"/>
      <c r="H321" s="5"/>
      <c r="I321" s="5"/>
      <c r="J321" s="5"/>
      <c r="K321" s="5"/>
      <c r="L321" s="6"/>
    </row>
    <row r="322" spans="1:12" ht="12.75">
      <c r="A322" s="4"/>
      <c r="B322" s="26"/>
      <c r="C322" s="5" t="s">
        <v>1296</v>
      </c>
      <c r="D322" s="5"/>
      <c r="E322" s="5"/>
      <c r="F322" s="5"/>
      <c r="G322" s="5"/>
      <c r="H322" s="5"/>
      <c r="I322" s="5"/>
      <c r="J322" s="5"/>
      <c r="K322" s="5"/>
      <c r="L322" s="6"/>
    </row>
    <row r="323" spans="1:12" ht="12.75">
      <c r="A323" s="4"/>
      <c r="B323" s="26"/>
      <c r="C323" s="5"/>
      <c r="D323" s="5"/>
      <c r="E323" s="5"/>
      <c r="F323" s="5"/>
      <c r="G323" s="5"/>
      <c r="H323" s="5"/>
      <c r="I323" s="5"/>
      <c r="J323" s="5"/>
      <c r="K323" s="5"/>
      <c r="L323" s="6"/>
    </row>
    <row r="324" spans="1:12" ht="12.75">
      <c r="A324" s="4"/>
      <c r="B324" s="26"/>
      <c r="C324" s="5"/>
      <c r="D324" s="5"/>
      <c r="E324" s="5"/>
      <c r="F324" s="5"/>
      <c r="G324" s="5"/>
      <c r="H324" s="5"/>
      <c r="I324" s="5"/>
      <c r="J324" s="5"/>
      <c r="K324" s="5"/>
      <c r="L324" s="6"/>
    </row>
    <row r="325" spans="1:12" ht="12.75">
      <c r="A325" s="4"/>
      <c r="B325" s="26" t="s">
        <v>237</v>
      </c>
      <c r="C325" s="5" t="s">
        <v>1292</v>
      </c>
      <c r="D325" s="5"/>
      <c r="E325" s="5"/>
      <c r="F325" s="5"/>
      <c r="G325" s="5"/>
      <c r="H325" s="5"/>
      <c r="I325" s="5"/>
      <c r="J325" s="5"/>
      <c r="K325" s="5"/>
      <c r="L325" s="6"/>
    </row>
    <row r="326" spans="1:12" ht="12.75">
      <c r="A326" s="4"/>
      <c r="B326" s="5"/>
      <c r="C326" s="5" t="s">
        <v>1293</v>
      </c>
      <c r="D326" s="5"/>
      <c r="E326" s="5"/>
      <c r="F326" s="5"/>
      <c r="G326" s="5"/>
      <c r="H326" s="5"/>
      <c r="I326" s="5" t="s">
        <v>1365</v>
      </c>
      <c r="J326" s="5"/>
      <c r="K326" s="5"/>
      <c r="L326" s="6"/>
    </row>
    <row r="327" spans="1:12" ht="12.75">
      <c r="A327" s="4"/>
      <c r="B327" s="5"/>
      <c r="C327" s="5" t="s">
        <v>1385</v>
      </c>
      <c r="D327" s="5"/>
      <c r="E327" s="5"/>
      <c r="F327" s="5"/>
      <c r="G327" s="5"/>
      <c r="H327" s="5"/>
      <c r="I327" s="5"/>
      <c r="J327" s="5"/>
      <c r="K327" s="5"/>
      <c r="L327" s="6"/>
    </row>
    <row r="328" spans="1:12" ht="12.75">
      <c r="A328" s="4"/>
      <c r="B328" s="5"/>
      <c r="C328" s="5"/>
      <c r="D328" s="5"/>
      <c r="E328" s="5"/>
      <c r="F328" s="5"/>
      <c r="G328" s="5"/>
      <c r="H328" s="5"/>
      <c r="I328" s="5"/>
      <c r="J328" s="5"/>
      <c r="K328" s="5"/>
      <c r="L328" s="6"/>
    </row>
    <row r="329" spans="1:12" ht="12.75">
      <c r="A329" s="4"/>
      <c r="B329" s="5"/>
      <c r="C329" s="5"/>
      <c r="D329" s="5"/>
      <c r="E329" s="5"/>
      <c r="F329" s="5"/>
      <c r="G329" s="5"/>
      <c r="H329" s="5"/>
      <c r="I329" s="5"/>
      <c r="J329" s="5"/>
      <c r="K329" s="5"/>
      <c r="L329" s="6"/>
    </row>
    <row r="330" spans="1:12" ht="12.75">
      <c r="A330" s="4"/>
      <c r="C330" s="5" t="s">
        <v>19</v>
      </c>
      <c r="F330" s="375">
        <f>IF(E21=FALSE,"",SQRT(D305^2+D306^2))</f>
        <v>0.03503889337512043</v>
      </c>
      <c r="G330" s="5" t="s">
        <v>167</v>
      </c>
      <c r="H330" s="5"/>
      <c r="I330" s="5"/>
      <c r="J330" s="5"/>
      <c r="K330" s="5"/>
      <c r="L330" s="6"/>
    </row>
    <row r="331" spans="1:12" ht="12.75">
      <c r="A331" s="4"/>
      <c r="B331" s="5"/>
      <c r="C331" s="5"/>
      <c r="D331" s="5"/>
      <c r="E331" s="5"/>
      <c r="F331" s="5"/>
      <c r="G331" s="5"/>
      <c r="H331" s="5"/>
      <c r="I331" s="5"/>
      <c r="J331" s="5"/>
      <c r="K331" s="5"/>
      <c r="L331" s="6"/>
    </row>
    <row r="332" spans="1:12" ht="12.75">
      <c r="A332" s="4"/>
      <c r="B332" s="5"/>
      <c r="C332" s="5" t="s">
        <v>1386</v>
      </c>
      <c r="D332" s="5"/>
      <c r="F332" s="375">
        <f>IF(E21=FALSE,"",DEGREES(ACOS(D305/F330)))</f>
        <v>119.80121364640699</v>
      </c>
      <c r="G332" s="5" t="s">
        <v>1388</v>
      </c>
      <c r="H332" s="5"/>
      <c r="I332" s="5"/>
      <c r="J332" s="5"/>
      <c r="K332" s="5"/>
      <c r="L332" s="6"/>
    </row>
    <row r="333" spans="1:12" ht="12.75">
      <c r="A333" s="4"/>
      <c r="B333" s="5"/>
      <c r="C333" s="5"/>
      <c r="D333" s="5"/>
      <c r="F333" s="5"/>
      <c r="G333" s="5"/>
      <c r="H333" s="5"/>
      <c r="I333" s="5"/>
      <c r="J333" s="5"/>
      <c r="K333" s="5"/>
      <c r="L333" s="6"/>
    </row>
    <row r="334" spans="1:12" ht="12.75">
      <c r="A334" s="4"/>
      <c r="B334" s="5"/>
      <c r="C334" s="5" t="s">
        <v>1387</v>
      </c>
      <c r="D334" s="5"/>
      <c r="F334" s="375">
        <f>IF(E21=FALSE,"",DEGREES(ASIN(D306/F330)))</f>
        <v>-60.19878635359301</v>
      </c>
      <c r="G334" s="5" t="s">
        <v>1388</v>
      </c>
      <c r="H334" s="5"/>
      <c r="I334" s="5"/>
      <c r="J334" s="5"/>
      <c r="K334" s="5"/>
      <c r="L334" s="6"/>
    </row>
    <row r="335" spans="1:12" ht="12.75">
      <c r="A335" s="4"/>
      <c r="B335" s="5"/>
      <c r="C335" s="5"/>
      <c r="D335" s="5"/>
      <c r="E335" s="5"/>
      <c r="F335" s="5"/>
      <c r="G335" s="5"/>
      <c r="H335" s="5"/>
      <c r="I335" s="5"/>
      <c r="J335" s="5"/>
      <c r="K335" s="5"/>
      <c r="L335" s="6"/>
    </row>
    <row r="336" spans="1:12" ht="12.75">
      <c r="A336" s="4"/>
      <c r="B336" s="5"/>
      <c r="C336" s="5"/>
      <c r="D336" s="5"/>
      <c r="E336" s="5"/>
      <c r="F336" s="5"/>
      <c r="G336" s="5"/>
      <c r="H336" s="5"/>
      <c r="I336" s="5"/>
      <c r="J336" s="5"/>
      <c r="K336" s="5"/>
      <c r="L336" s="6"/>
    </row>
    <row r="337" spans="1:12" ht="12.75">
      <c r="A337" s="4"/>
      <c r="B337" s="46" t="s">
        <v>28</v>
      </c>
      <c r="C337" s="5"/>
      <c r="D337" s="5"/>
      <c r="E337" s="5"/>
      <c r="F337" s="383">
        <f>IF(E21=FALSE,"",IF(F334&gt;=0,(180-F332),-1*(180-F332)))</f>
        <v>-60.19878635359301</v>
      </c>
      <c r="G337" s="5" t="s">
        <v>1233</v>
      </c>
      <c r="H337" s="5"/>
      <c r="I337" s="5"/>
      <c r="J337" s="5"/>
      <c r="K337" s="5"/>
      <c r="L337" s="6"/>
    </row>
    <row r="338" spans="1:12" ht="12.75">
      <c r="A338" s="4"/>
      <c r="B338" s="22"/>
      <c r="C338" s="5"/>
      <c r="D338" s="5"/>
      <c r="E338" s="5"/>
      <c r="F338" s="386"/>
      <c r="G338" s="5"/>
      <c r="H338" s="5"/>
      <c r="I338" s="5"/>
      <c r="J338" s="5"/>
      <c r="K338" s="5"/>
      <c r="L338" s="6"/>
    </row>
    <row r="339" spans="1:12" ht="12.75">
      <c r="A339" s="4"/>
      <c r="B339" s="22"/>
      <c r="C339" s="5"/>
      <c r="D339" s="5"/>
      <c r="E339" s="5"/>
      <c r="F339" s="386"/>
      <c r="G339" s="5"/>
      <c r="H339" s="5"/>
      <c r="I339" s="5"/>
      <c r="J339" s="5"/>
      <c r="K339" s="5"/>
      <c r="L339" s="6"/>
    </row>
    <row r="340" spans="1:12" ht="12.75">
      <c r="A340" s="4"/>
      <c r="B340" s="46" t="s">
        <v>106</v>
      </c>
      <c r="C340" s="5"/>
      <c r="D340" s="5"/>
      <c r="E340" s="5"/>
      <c r="F340" s="386"/>
      <c r="G340" s="5"/>
      <c r="H340" s="5"/>
      <c r="I340" s="5"/>
      <c r="J340" s="5"/>
      <c r="K340" s="5"/>
      <c r="L340" s="6"/>
    </row>
    <row r="341" spans="1:12" ht="12.75">
      <c r="A341" s="4"/>
      <c r="B341" s="22"/>
      <c r="C341" s="5"/>
      <c r="D341" s="5"/>
      <c r="E341" s="5"/>
      <c r="F341" s="386"/>
      <c r="G341" s="5"/>
      <c r="H341" s="5"/>
      <c r="I341" s="5"/>
      <c r="J341" s="5"/>
      <c r="K341" s="5"/>
      <c r="L341" s="6"/>
    </row>
    <row r="342" spans="1:12" ht="12.75">
      <c r="A342" s="4"/>
      <c r="B342" s="22"/>
      <c r="C342" s="5" t="s">
        <v>1379</v>
      </c>
      <c r="D342" s="5"/>
      <c r="E342" s="5"/>
      <c r="F342" s="386"/>
      <c r="G342" s="5"/>
      <c r="H342" s="5"/>
      <c r="I342" s="5"/>
      <c r="J342" s="5"/>
      <c r="K342" s="5"/>
      <c r="L342" s="6"/>
    </row>
    <row r="343" spans="1:12" ht="12.75">
      <c r="A343" s="4"/>
      <c r="B343" s="22"/>
      <c r="C343" s="5" t="s">
        <v>1291</v>
      </c>
      <c r="D343" s="5"/>
      <c r="E343" s="5"/>
      <c r="F343" s="386"/>
      <c r="G343" s="5"/>
      <c r="H343" s="5"/>
      <c r="I343" s="5"/>
      <c r="J343" s="5"/>
      <c r="K343" s="5"/>
      <c r="L343" s="6"/>
    </row>
    <row r="344" spans="1:12" ht="12.75">
      <c r="A344" s="4"/>
      <c r="B344" s="22"/>
      <c r="C344" s="5"/>
      <c r="D344" s="5"/>
      <c r="E344" s="5"/>
      <c r="F344" s="386"/>
      <c r="G344" s="5"/>
      <c r="H344" s="5"/>
      <c r="I344" s="5"/>
      <c r="J344" s="5"/>
      <c r="K344" s="5"/>
      <c r="L344" s="6"/>
    </row>
    <row r="345" spans="1:12" ht="13.5" thickBot="1">
      <c r="A345" s="4"/>
      <c r="B345" s="22"/>
      <c r="C345" s="5"/>
      <c r="D345" s="5"/>
      <c r="E345" s="5"/>
      <c r="F345" s="386"/>
      <c r="G345" s="5"/>
      <c r="H345" s="5"/>
      <c r="I345" s="5"/>
      <c r="J345" s="5"/>
      <c r="K345" s="5"/>
      <c r="L345" s="6"/>
    </row>
    <row r="346" spans="1:12" ht="13.5" thickBot="1">
      <c r="A346" s="4"/>
      <c r="B346" s="22" t="s">
        <v>1583</v>
      </c>
      <c r="C346" s="5"/>
      <c r="D346" s="5"/>
      <c r="E346" s="5"/>
      <c r="F346" s="387">
        <f>IF(F337="","",IF(F337&gt;=0,F337,360+F337))</f>
        <v>299.801213646407</v>
      </c>
      <c r="G346" s="5" t="s">
        <v>1233</v>
      </c>
      <c r="H346" s="5"/>
      <c r="I346" s="5"/>
      <c r="J346" s="5"/>
      <c r="K346" s="5"/>
      <c r="L346" s="6"/>
    </row>
    <row r="347" spans="1:12" ht="12.75">
      <c r="A347" s="4"/>
      <c r="B347" s="22" t="s">
        <v>8</v>
      </c>
      <c r="C347" s="5"/>
      <c r="D347" s="5"/>
      <c r="E347" s="5"/>
      <c r="F347" s="386"/>
      <c r="G347" s="5"/>
      <c r="H347" s="5"/>
      <c r="I347" s="5"/>
      <c r="J347" s="5"/>
      <c r="K347" s="5"/>
      <c r="L347" s="6"/>
    </row>
    <row r="348" spans="1:12" ht="12.75">
      <c r="A348" s="4"/>
      <c r="B348" s="5"/>
      <c r="C348" s="5"/>
      <c r="D348" s="5"/>
      <c r="E348" s="5"/>
      <c r="F348" s="5"/>
      <c r="G348" s="5"/>
      <c r="H348" s="5"/>
      <c r="I348" s="5"/>
      <c r="J348" s="5"/>
      <c r="K348" s="5"/>
      <c r="L348" s="6"/>
    </row>
    <row r="349" spans="1:12" ht="13.5" thickBot="1">
      <c r="A349" s="7"/>
      <c r="B349" s="8"/>
      <c r="C349" s="8"/>
      <c r="D349" s="8"/>
      <c r="E349" s="8"/>
      <c r="F349" s="8"/>
      <c r="G349" s="8"/>
      <c r="H349" s="8"/>
      <c r="I349" s="8"/>
      <c r="J349" s="8"/>
      <c r="K349" s="8"/>
      <c r="L349" s="9"/>
    </row>
    <row r="350" ht="13.5" thickBot="1"/>
    <row r="351" spans="1:12" ht="12.75">
      <c r="A351" s="1"/>
      <c r="B351" s="2"/>
      <c r="C351" s="2"/>
      <c r="D351" s="2"/>
      <c r="E351" s="2"/>
      <c r="F351" s="2"/>
      <c r="G351" s="2"/>
      <c r="H351" s="2"/>
      <c r="I351" s="2"/>
      <c r="J351" s="2"/>
      <c r="K351" s="2"/>
      <c r="L351" s="3"/>
    </row>
    <row r="352" spans="1:12" ht="12.75">
      <c r="A352" s="4" t="s">
        <v>89</v>
      </c>
      <c r="B352" s="5"/>
      <c r="C352" s="5"/>
      <c r="D352" s="5"/>
      <c r="E352" s="5"/>
      <c r="F352" s="5"/>
      <c r="G352" s="5"/>
      <c r="H352" s="5"/>
      <c r="I352" s="5"/>
      <c r="J352" s="5"/>
      <c r="K352" s="5"/>
      <c r="L352" s="6"/>
    </row>
    <row r="353" spans="1:12" ht="12.75">
      <c r="A353" s="4"/>
      <c r="B353" s="5"/>
      <c r="C353" s="5"/>
      <c r="D353" s="5"/>
      <c r="E353" s="5"/>
      <c r="F353" s="5"/>
      <c r="G353" s="5"/>
      <c r="H353" s="5"/>
      <c r="I353" s="5"/>
      <c r="J353" s="5"/>
      <c r="K353" s="5"/>
      <c r="L353" s="6"/>
    </row>
    <row r="354" spans="1:12" ht="12.75">
      <c r="A354" s="4"/>
      <c r="B354" s="5"/>
      <c r="C354" s="5"/>
      <c r="D354" s="5"/>
      <c r="E354" s="5"/>
      <c r="F354" s="5"/>
      <c r="G354" s="5"/>
      <c r="H354" s="5"/>
      <c r="I354" s="5"/>
      <c r="J354" s="5"/>
      <c r="K354" s="5"/>
      <c r="L354" s="6"/>
    </row>
    <row r="355" spans="1:12" ht="12.75">
      <c r="A355" s="4"/>
      <c r="B355" s="5"/>
      <c r="C355" s="5"/>
      <c r="D355" s="5"/>
      <c r="E355" s="5"/>
      <c r="F355" s="5"/>
      <c r="G355" s="5"/>
      <c r="H355" s="5"/>
      <c r="I355" s="5"/>
      <c r="J355" s="5"/>
      <c r="K355" s="5"/>
      <c r="L355" s="6"/>
    </row>
    <row r="356" spans="1:12" ht="12.75">
      <c r="A356" s="4"/>
      <c r="B356" s="5"/>
      <c r="C356" s="5"/>
      <c r="D356" s="5"/>
      <c r="E356" s="5"/>
      <c r="F356" s="5"/>
      <c r="G356" s="5"/>
      <c r="H356" s="5"/>
      <c r="I356" s="5"/>
      <c r="J356" s="5"/>
      <c r="K356" s="5"/>
      <c r="L356" s="6"/>
    </row>
    <row r="357" spans="1:12" ht="12.75">
      <c r="A357" s="4"/>
      <c r="B357" s="5" t="s">
        <v>29</v>
      </c>
      <c r="C357" s="5"/>
      <c r="D357" s="5"/>
      <c r="E357" s="5"/>
      <c r="F357" s="5"/>
      <c r="G357" s="5"/>
      <c r="H357" s="5"/>
      <c r="I357" s="5"/>
      <c r="J357" s="5"/>
      <c r="K357" s="5"/>
      <c r="L357" s="6"/>
    </row>
    <row r="358" spans="1:12" ht="12.75">
      <c r="A358" s="4"/>
      <c r="B358" s="5" t="s">
        <v>30</v>
      </c>
      <c r="C358" s="5"/>
      <c r="D358" s="5"/>
      <c r="E358" s="5"/>
      <c r="F358" s="5"/>
      <c r="G358" s="5"/>
      <c r="H358" s="5"/>
      <c r="I358" s="5"/>
      <c r="J358" s="5"/>
      <c r="K358" s="5"/>
      <c r="L358" s="6"/>
    </row>
    <row r="359" spans="1:12" ht="12.75">
      <c r="A359" s="4"/>
      <c r="B359" s="5" t="s">
        <v>104</v>
      </c>
      <c r="C359" s="5"/>
      <c r="D359" s="5"/>
      <c r="E359" s="5"/>
      <c r="F359" s="5"/>
      <c r="G359" s="5"/>
      <c r="H359" s="5"/>
      <c r="I359" s="5"/>
      <c r="J359" s="5"/>
      <c r="K359" s="5"/>
      <c r="L359" s="6"/>
    </row>
    <row r="360" spans="1:12" ht="12.75">
      <c r="A360" s="4"/>
      <c r="B360" s="5" t="s">
        <v>13</v>
      </c>
      <c r="C360" s="5"/>
      <c r="D360" s="5"/>
      <c r="E360" s="5"/>
      <c r="F360" s="5"/>
      <c r="G360" s="5"/>
      <c r="H360" s="5"/>
      <c r="I360" s="5"/>
      <c r="J360" s="5"/>
      <c r="K360" s="5"/>
      <c r="L360" s="6"/>
    </row>
    <row r="361" spans="1:12" ht="12.75">
      <c r="A361" s="4"/>
      <c r="B361" s="5" t="s">
        <v>14</v>
      </c>
      <c r="C361" s="5"/>
      <c r="D361" s="5"/>
      <c r="E361" s="5"/>
      <c r="F361" s="5"/>
      <c r="G361" s="5"/>
      <c r="H361" s="5"/>
      <c r="I361" s="5"/>
      <c r="J361" s="5"/>
      <c r="K361" s="5"/>
      <c r="L361" s="6"/>
    </row>
    <row r="362" spans="1:12" ht="12.75">
      <c r="A362" s="4"/>
      <c r="B362" s="5"/>
      <c r="C362" s="5"/>
      <c r="D362" s="5"/>
      <c r="E362" s="460"/>
      <c r="G362" s="5"/>
      <c r="H362" s="5"/>
      <c r="I362" s="5"/>
      <c r="J362" s="5"/>
      <c r="K362" s="5"/>
      <c r="L362" s="6"/>
    </row>
    <row r="363" spans="1:12" ht="12.75">
      <c r="A363" s="4"/>
      <c r="B363" s="5"/>
      <c r="C363" s="5"/>
      <c r="D363" s="5"/>
      <c r="E363" s="5"/>
      <c r="F363" s="5"/>
      <c r="G363" s="5"/>
      <c r="H363" s="5"/>
      <c r="I363" s="5"/>
      <c r="J363" s="5"/>
      <c r="K363" s="5"/>
      <c r="L363" s="6"/>
    </row>
    <row r="364" spans="1:12" ht="12.75">
      <c r="A364" s="4"/>
      <c r="B364" s="5"/>
      <c r="C364" s="5"/>
      <c r="D364" s="5"/>
      <c r="E364" s="5"/>
      <c r="F364" s="5"/>
      <c r="G364" s="5"/>
      <c r="H364" s="5"/>
      <c r="I364" s="5"/>
      <c r="J364" s="5"/>
      <c r="K364" s="5"/>
      <c r="L364" s="6"/>
    </row>
    <row r="365" spans="1:12" ht="12.75">
      <c r="A365" s="4"/>
      <c r="B365" s="5"/>
      <c r="C365" s="5"/>
      <c r="D365" s="5"/>
      <c r="E365" s="5"/>
      <c r="F365" s="5"/>
      <c r="G365" s="5"/>
      <c r="H365" s="5"/>
      <c r="I365" s="5"/>
      <c r="J365" s="5"/>
      <c r="K365" s="5"/>
      <c r="L365" s="6"/>
    </row>
    <row r="366" spans="1:12" ht="12.75">
      <c r="A366" s="4"/>
      <c r="B366" s="5"/>
      <c r="C366" s="5"/>
      <c r="D366" s="5"/>
      <c r="E366" s="5"/>
      <c r="F366" s="5"/>
      <c r="G366" s="5"/>
      <c r="H366" s="5"/>
      <c r="I366" s="5"/>
      <c r="J366" s="5"/>
      <c r="K366" s="5"/>
      <c r="L366" s="6"/>
    </row>
    <row r="367" spans="1:12" ht="12.75">
      <c r="A367" s="4"/>
      <c r="B367" s="5"/>
      <c r="C367" s="5"/>
      <c r="D367" s="5"/>
      <c r="E367" s="5"/>
      <c r="F367" s="5"/>
      <c r="G367" s="5"/>
      <c r="H367" s="5"/>
      <c r="I367" s="5"/>
      <c r="J367" s="5"/>
      <c r="K367" s="5"/>
      <c r="L367" s="6"/>
    </row>
    <row r="368" spans="1:12" ht="12.75">
      <c r="A368" s="4"/>
      <c r="B368" s="5" t="s">
        <v>32</v>
      </c>
      <c r="C368" s="5"/>
      <c r="D368" s="5"/>
      <c r="E368" s="5"/>
      <c r="F368" s="5"/>
      <c r="G368" s="5"/>
      <c r="H368" s="5"/>
      <c r="I368" s="5"/>
      <c r="J368" s="5"/>
      <c r="K368" s="5"/>
      <c r="L368" s="6"/>
    </row>
    <row r="369" spans="1:12" ht="12.75">
      <c r="A369" s="4"/>
      <c r="B369" s="5"/>
      <c r="C369" s="5"/>
      <c r="D369" s="5"/>
      <c r="E369" s="5"/>
      <c r="F369" s="5"/>
      <c r="G369" s="5"/>
      <c r="H369" s="5"/>
      <c r="I369" s="5"/>
      <c r="J369" s="5"/>
      <c r="K369" s="5"/>
      <c r="L369" s="6"/>
    </row>
    <row r="370" spans="1:12" ht="12.75">
      <c r="A370" s="4"/>
      <c r="B370" s="5" t="s">
        <v>12</v>
      </c>
      <c r="C370" s="5" t="s">
        <v>1402</v>
      </c>
      <c r="D370" s="5"/>
      <c r="E370" s="5"/>
      <c r="F370" s="5"/>
      <c r="G370" s="5"/>
      <c r="H370" s="5"/>
      <c r="I370" s="5"/>
      <c r="J370" s="5"/>
      <c r="K370" s="5"/>
      <c r="L370" s="6"/>
    </row>
    <row r="371" spans="1:12" ht="12.75">
      <c r="A371" s="4"/>
      <c r="C371" s="5" t="s">
        <v>1464</v>
      </c>
      <c r="D371" s="5"/>
      <c r="E371" s="5"/>
      <c r="F371" s="5"/>
      <c r="G371" s="378"/>
      <c r="H371" s="5"/>
      <c r="I371" s="5"/>
      <c r="J371" s="5"/>
      <c r="K371" s="5"/>
      <c r="L371" s="6"/>
    </row>
    <row r="372" spans="1:12" ht="12.75">
      <c r="A372" s="4"/>
      <c r="D372" s="5"/>
      <c r="E372" s="5"/>
      <c r="F372" s="5"/>
      <c r="G372" s="378" t="s">
        <v>1501</v>
      </c>
      <c r="H372" s="5"/>
      <c r="I372" s="5"/>
      <c r="J372" s="5"/>
      <c r="K372" s="5"/>
      <c r="L372" s="6"/>
    </row>
    <row r="373" spans="1:12" ht="13.5" thickBot="1">
      <c r="A373" s="4"/>
      <c r="B373" s="5"/>
      <c r="C373" s="5"/>
      <c r="D373" s="5"/>
      <c r="E373" s="22"/>
      <c r="F373" s="5"/>
      <c r="G373" s="378" t="s">
        <v>890</v>
      </c>
      <c r="H373" s="5"/>
      <c r="I373" s="5"/>
      <c r="J373" s="5"/>
      <c r="K373" s="5"/>
      <c r="L373" s="6"/>
    </row>
    <row r="374" spans="1:12" ht="13.5" thickBot="1">
      <c r="A374" s="4"/>
      <c r="B374" s="5" t="s">
        <v>105</v>
      </c>
      <c r="C374" s="387">
        <f>IF(E21=FALSE,"0",IF(F346-SPH_REC!G140&lt;0,360+(F346-SPH_REC!G140),F346-SPH_REC!G140))</f>
        <v>21.311213646406998</v>
      </c>
      <c r="D374" s="5" t="s">
        <v>1233</v>
      </c>
      <c r="E374" s="5"/>
      <c r="F374" s="5"/>
      <c r="G374" s="5"/>
      <c r="H374" s="5"/>
      <c r="I374" s="5"/>
      <c r="J374" s="5"/>
      <c r="K374" s="5"/>
      <c r="L374" s="6"/>
    </row>
    <row r="375" spans="1:12" ht="12.75">
      <c r="A375" s="4"/>
      <c r="B375" s="5"/>
      <c r="C375" s="5"/>
      <c r="D375" s="5"/>
      <c r="E375" s="5"/>
      <c r="F375" s="5"/>
      <c r="G375" s="5"/>
      <c r="H375" s="5"/>
      <c r="I375" s="5"/>
      <c r="J375" s="5"/>
      <c r="K375" s="5"/>
      <c r="L375" s="6"/>
    </row>
    <row r="376" spans="1:12" ht="12.75">
      <c r="A376" s="4"/>
      <c r="B376" s="5"/>
      <c r="C376" s="5"/>
      <c r="D376" s="5"/>
      <c r="E376" s="5"/>
      <c r="F376" s="5"/>
      <c r="G376" s="5"/>
      <c r="H376" s="5"/>
      <c r="I376" s="5"/>
      <c r="J376" s="5"/>
      <c r="K376" s="5"/>
      <c r="L376" s="6"/>
    </row>
    <row r="377" spans="1:12" ht="12.75">
      <c r="A377" s="4"/>
      <c r="B377" s="5" t="s">
        <v>15</v>
      </c>
      <c r="C377" s="5"/>
      <c r="D377" s="5"/>
      <c r="E377" s="5"/>
      <c r="F377" s="5"/>
      <c r="G377" s="5"/>
      <c r="H377" s="5"/>
      <c r="I377" s="5"/>
      <c r="J377" s="5"/>
      <c r="K377" s="5"/>
      <c r="L377" s="6"/>
    </row>
    <row r="378" spans="1:12" ht="12.75">
      <c r="A378" s="4"/>
      <c r="B378" s="5" t="s">
        <v>1465</v>
      </c>
      <c r="C378" s="5"/>
      <c r="D378" s="5"/>
      <c r="E378" s="5"/>
      <c r="F378" s="5"/>
      <c r="G378" s="5"/>
      <c r="H378" s="5"/>
      <c r="I378" s="5"/>
      <c r="J378" s="5"/>
      <c r="K378" s="5"/>
      <c r="L378" s="6"/>
    </row>
    <row r="379" spans="1:12" ht="12.75">
      <c r="A379" s="4"/>
      <c r="B379" s="5"/>
      <c r="C379" s="5"/>
      <c r="D379" s="5"/>
      <c r="E379" s="5"/>
      <c r="F379" s="5"/>
      <c r="G379" s="5"/>
      <c r="H379" s="5"/>
      <c r="I379" s="5"/>
      <c r="J379" s="5"/>
      <c r="K379" s="5"/>
      <c r="L379" s="6"/>
    </row>
    <row r="380" spans="1:12" ht="12.75">
      <c r="A380" s="4"/>
      <c r="B380" s="5"/>
      <c r="C380" s="5"/>
      <c r="D380" s="5"/>
      <c r="E380" s="5"/>
      <c r="F380" s="5"/>
      <c r="G380" s="5"/>
      <c r="H380" s="5"/>
      <c r="I380" s="5"/>
      <c r="J380" s="5"/>
      <c r="K380" s="5"/>
      <c r="L380" s="6"/>
    </row>
    <row r="381" spans="1:12" ht="12.75">
      <c r="A381" s="4"/>
      <c r="B381" s="5"/>
      <c r="C381" s="5"/>
      <c r="D381" s="5"/>
      <c r="E381" s="5"/>
      <c r="F381" s="5"/>
      <c r="G381" s="5"/>
      <c r="H381" s="5"/>
      <c r="I381" s="5"/>
      <c r="J381" s="5"/>
      <c r="K381" s="5"/>
      <c r="L381" s="6"/>
    </row>
    <row r="382" spans="1:12" ht="12.75">
      <c r="A382" s="4"/>
      <c r="B382" s="5" t="s">
        <v>1403</v>
      </c>
      <c r="C382" s="5"/>
      <c r="D382" s="5"/>
      <c r="E382" s="5"/>
      <c r="F382" s="5"/>
      <c r="G382" s="5"/>
      <c r="H382" s="5"/>
      <c r="I382" s="5"/>
      <c r="J382" s="5"/>
      <c r="K382" s="5"/>
      <c r="L382" s="6"/>
    </row>
    <row r="383" spans="1:12" ht="12.75">
      <c r="A383" s="4"/>
      <c r="B383" s="5" t="s">
        <v>1468</v>
      </c>
      <c r="C383" s="5"/>
      <c r="D383" s="5"/>
      <c r="E383" s="5"/>
      <c r="F383" s="5"/>
      <c r="G383" s="5"/>
      <c r="H383" s="5"/>
      <c r="I383" s="5"/>
      <c r="J383" s="5"/>
      <c r="K383" s="5"/>
      <c r="L383" s="6"/>
    </row>
    <row r="384" spans="1:12" ht="12.75">
      <c r="A384" s="4"/>
      <c r="C384" s="5"/>
      <c r="D384" s="5"/>
      <c r="E384" s="5"/>
      <c r="F384" s="5"/>
      <c r="G384" s="5"/>
      <c r="H384" s="5"/>
      <c r="I384" s="5"/>
      <c r="J384" s="5"/>
      <c r="K384" s="5"/>
      <c r="L384" s="6"/>
    </row>
    <row r="385" spans="1:12" ht="12.75">
      <c r="A385" s="4"/>
      <c r="B385" s="5"/>
      <c r="C385" s="5"/>
      <c r="D385" s="5"/>
      <c r="E385" s="5"/>
      <c r="F385" s="5"/>
      <c r="G385" s="5"/>
      <c r="H385" s="5"/>
      <c r="I385" s="5"/>
      <c r="J385" s="5"/>
      <c r="K385" s="5"/>
      <c r="L385" s="6"/>
    </row>
    <row r="386" spans="1:12" ht="12.75">
      <c r="A386" s="4"/>
      <c r="B386" s="5"/>
      <c r="C386" s="5"/>
      <c r="D386" s="5"/>
      <c r="E386" s="5"/>
      <c r="F386" s="5"/>
      <c r="G386" s="5"/>
      <c r="H386" s="5"/>
      <c r="I386" s="5"/>
      <c r="J386" s="5"/>
      <c r="K386" s="5"/>
      <c r="L386" s="6"/>
    </row>
    <row r="387" spans="1:12" ht="12.75">
      <c r="A387" s="4"/>
      <c r="B387" s="5"/>
      <c r="C387" s="5"/>
      <c r="D387" s="5"/>
      <c r="E387" s="5"/>
      <c r="F387" s="5"/>
      <c r="G387" s="5"/>
      <c r="H387" s="5"/>
      <c r="I387" s="5"/>
      <c r="J387" s="5"/>
      <c r="K387" s="5"/>
      <c r="L387" s="6"/>
    </row>
    <row r="388" spans="1:12" ht="12.75">
      <c r="A388" s="4"/>
      <c r="B388" s="5"/>
      <c r="C388" s="5"/>
      <c r="D388" s="5"/>
      <c r="E388" s="5"/>
      <c r="F388" s="5"/>
      <c r="G388" s="5"/>
      <c r="H388" s="5"/>
      <c r="I388" s="5"/>
      <c r="J388" s="5"/>
      <c r="K388" s="5"/>
      <c r="L388" s="6"/>
    </row>
    <row r="389" spans="1:12" ht="12.75">
      <c r="A389" s="4"/>
      <c r="B389" s="5"/>
      <c r="C389" s="5"/>
      <c r="D389" s="5"/>
      <c r="E389" s="5"/>
      <c r="F389" s="5"/>
      <c r="G389" s="5"/>
      <c r="H389" s="5"/>
      <c r="I389" s="5"/>
      <c r="J389" s="5"/>
      <c r="K389" s="5"/>
      <c r="L389" s="6"/>
    </row>
    <row r="390" spans="1:12" ht="12.75">
      <c r="A390" s="4"/>
      <c r="B390" s="5"/>
      <c r="C390" s="5"/>
      <c r="D390" s="5"/>
      <c r="E390" s="5"/>
      <c r="F390" s="5"/>
      <c r="G390" s="5"/>
      <c r="H390" s="5"/>
      <c r="I390" s="5"/>
      <c r="J390" s="5"/>
      <c r="K390" s="5"/>
      <c r="L390" s="6"/>
    </row>
    <row r="391" spans="1:12" ht="12.75">
      <c r="A391" s="4"/>
      <c r="B391" s="5"/>
      <c r="C391" s="5"/>
      <c r="D391" s="5"/>
      <c r="E391" s="5"/>
      <c r="F391" s="5"/>
      <c r="G391" s="5"/>
      <c r="H391" s="5"/>
      <c r="I391" s="5"/>
      <c r="J391" s="5"/>
      <c r="K391" s="5"/>
      <c r="L391" s="6"/>
    </row>
    <row r="392" spans="1:12" ht="12.75">
      <c r="A392" s="4"/>
      <c r="B392" s="5"/>
      <c r="C392" s="5"/>
      <c r="D392" s="5"/>
      <c r="E392" s="5"/>
      <c r="F392" s="5"/>
      <c r="G392" s="5"/>
      <c r="H392" s="5"/>
      <c r="I392" s="5"/>
      <c r="J392" s="5"/>
      <c r="K392" s="5"/>
      <c r="L392" s="6"/>
    </row>
    <row r="393" spans="1:12" ht="12.75">
      <c r="A393" s="4"/>
      <c r="B393" s="5"/>
      <c r="C393" s="5"/>
      <c r="D393" s="5"/>
      <c r="E393" s="5"/>
      <c r="F393" s="5"/>
      <c r="G393" s="5"/>
      <c r="H393" s="5"/>
      <c r="I393" s="5"/>
      <c r="J393" s="5"/>
      <c r="K393" s="5"/>
      <c r="L393" s="6"/>
    </row>
    <row r="394" spans="1:12" ht="12.75">
      <c r="A394" s="4"/>
      <c r="B394" s="5"/>
      <c r="C394" s="5"/>
      <c r="D394" s="5"/>
      <c r="E394" s="5"/>
      <c r="F394" s="5"/>
      <c r="G394" s="5"/>
      <c r="H394" s="5"/>
      <c r="I394" s="5"/>
      <c r="J394" s="5"/>
      <c r="K394" s="5"/>
      <c r="L394" s="6"/>
    </row>
    <row r="395" spans="1:12" ht="12.75">
      <c r="A395" s="4"/>
      <c r="B395" s="5"/>
      <c r="C395" s="5"/>
      <c r="D395" s="5"/>
      <c r="E395" s="5"/>
      <c r="F395" s="5"/>
      <c r="G395" s="5"/>
      <c r="H395" s="5"/>
      <c r="I395" s="5"/>
      <c r="J395" s="5"/>
      <c r="K395" s="5"/>
      <c r="L395" s="6"/>
    </row>
    <row r="396" spans="1:12" ht="12.75">
      <c r="A396" s="4"/>
      <c r="B396" s="5"/>
      <c r="C396" s="5"/>
      <c r="D396" s="5"/>
      <c r="E396" s="5"/>
      <c r="F396" s="5"/>
      <c r="G396" s="5"/>
      <c r="H396" s="5"/>
      <c r="I396" s="5"/>
      <c r="J396" s="5"/>
      <c r="K396" s="5"/>
      <c r="L396" s="6"/>
    </row>
    <row r="397" spans="1:12" ht="12.75">
      <c r="A397" s="4"/>
      <c r="B397" s="5" t="s">
        <v>1404</v>
      </c>
      <c r="C397" s="5"/>
      <c r="D397" s="5"/>
      <c r="E397" s="5"/>
      <c r="F397" s="5"/>
      <c r="G397" s="5"/>
      <c r="H397" s="5"/>
      <c r="I397" s="5"/>
      <c r="J397" s="5"/>
      <c r="K397" s="5"/>
      <c r="L397" s="6"/>
    </row>
    <row r="398" spans="1:12" ht="12.75">
      <c r="A398" s="4"/>
      <c r="B398" s="5" t="s">
        <v>1589</v>
      </c>
      <c r="C398" s="5"/>
      <c r="D398" s="5"/>
      <c r="E398" s="5"/>
      <c r="F398" s="5"/>
      <c r="G398" s="5"/>
      <c r="H398" s="5"/>
      <c r="I398" s="5"/>
      <c r="J398" s="5"/>
      <c r="K398" s="5"/>
      <c r="L398" s="6"/>
    </row>
    <row r="399" spans="1:12" ht="12.75">
      <c r="A399" s="4"/>
      <c r="B399" s="5"/>
      <c r="C399" s="5"/>
      <c r="D399" s="5"/>
      <c r="E399" s="5"/>
      <c r="F399" s="5"/>
      <c r="G399" s="5"/>
      <c r="H399" s="5"/>
      <c r="I399" s="5"/>
      <c r="J399" s="5"/>
      <c r="K399" s="5"/>
      <c r="L399" s="6"/>
    </row>
    <row r="400" spans="1:12" ht="12.75">
      <c r="A400" s="4"/>
      <c r="C400" s="5"/>
      <c r="D400" s="5"/>
      <c r="E400" s="5"/>
      <c r="F400" s="5"/>
      <c r="G400" s="5"/>
      <c r="H400" s="5"/>
      <c r="I400" s="5"/>
      <c r="J400" s="5"/>
      <c r="K400" s="5"/>
      <c r="L400" s="6"/>
    </row>
    <row r="401" spans="1:12" ht="12.75">
      <c r="A401" s="4"/>
      <c r="C401" s="5"/>
      <c r="D401" s="5"/>
      <c r="E401" s="5"/>
      <c r="F401" s="5"/>
      <c r="G401" s="5"/>
      <c r="H401" s="5"/>
      <c r="I401" s="5"/>
      <c r="J401" s="5"/>
      <c r="K401" s="5"/>
      <c r="L401" s="6"/>
    </row>
    <row r="402" spans="1:12" ht="12.75">
      <c r="A402" s="4"/>
      <c r="C402" s="5"/>
      <c r="D402" s="5"/>
      <c r="E402" s="5"/>
      <c r="F402" s="5"/>
      <c r="G402" s="5"/>
      <c r="H402" s="5"/>
      <c r="I402" s="5"/>
      <c r="J402" s="5"/>
      <c r="K402" s="5"/>
      <c r="L402" s="6"/>
    </row>
    <row r="403" spans="1:12" ht="12.75">
      <c r="A403" s="4"/>
      <c r="B403" t="s">
        <v>1405</v>
      </c>
      <c r="C403" s="5"/>
      <c r="D403" s="5"/>
      <c r="E403" s="5"/>
      <c r="F403" s="5"/>
      <c r="G403" s="5"/>
      <c r="H403" s="5"/>
      <c r="I403" s="5"/>
      <c r="J403" s="5"/>
      <c r="K403" s="5"/>
      <c r="L403" s="6"/>
    </row>
    <row r="404" spans="1:12" ht="12.75">
      <c r="A404" s="4"/>
      <c r="B404" t="s">
        <v>1590</v>
      </c>
      <c r="C404" s="5"/>
      <c r="D404" s="5"/>
      <c r="E404" s="5"/>
      <c r="F404" s="5"/>
      <c r="G404" s="5"/>
      <c r="H404" s="5"/>
      <c r="I404" s="5"/>
      <c r="J404" s="5"/>
      <c r="K404" s="5"/>
      <c r="L404" s="6"/>
    </row>
    <row r="405" spans="1:12" ht="12.75">
      <c r="A405" s="4"/>
      <c r="B405" s="5" t="s">
        <v>1591</v>
      </c>
      <c r="C405" s="5"/>
      <c r="D405" s="5"/>
      <c r="E405" s="5"/>
      <c r="F405" s="5"/>
      <c r="G405" s="5"/>
      <c r="H405" s="5"/>
      <c r="I405" s="5"/>
      <c r="J405" s="5"/>
      <c r="K405" s="5"/>
      <c r="L405" s="6"/>
    </row>
    <row r="406" spans="1:12" ht="12.75">
      <c r="A406" s="4"/>
      <c r="B406" s="5" t="s">
        <v>1592</v>
      </c>
      <c r="C406" s="5"/>
      <c r="D406" s="5"/>
      <c r="E406" s="5"/>
      <c r="F406" s="5"/>
      <c r="G406" s="5"/>
      <c r="H406" s="5"/>
      <c r="I406" s="5"/>
      <c r="J406" s="5"/>
      <c r="K406" s="5"/>
      <c r="L406" s="6"/>
    </row>
    <row r="407" spans="1:12" ht="12.75">
      <c r="A407" s="4"/>
      <c r="B407" s="5" t="s">
        <v>1406</v>
      </c>
      <c r="C407" s="5"/>
      <c r="D407" s="5"/>
      <c r="E407" s="5"/>
      <c r="F407" s="5"/>
      <c r="G407" s="5"/>
      <c r="H407" s="5"/>
      <c r="I407" s="5"/>
      <c r="J407" s="5"/>
      <c r="K407" s="5"/>
      <c r="L407" s="6"/>
    </row>
    <row r="408" spans="1:12" ht="12.75">
      <c r="A408" s="4"/>
      <c r="C408" s="5"/>
      <c r="D408" s="5"/>
      <c r="E408" s="5"/>
      <c r="F408" s="5"/>
      <c r="G408" s="5"/>
      <c r="H408" s="5"/>
      <c r="I408" s="5"/>
      <c r="J408" s="5"/>
      <c r="K408" s="5"/>
      <c r="L408" s="6"/>
    </row>
    <row r="409" spans="1:12" ht="12.75">
      <c r="A409" s="4"/>
      <c r="B409" s="5"/>
      <c r="C409" s="5"/>
      <c r="D409" s="5"/>
      <c r="E409" s="5"/>
      <c r="F409" s="5"/>
      <c r="G409" s="5"/>
      <c r="H409" s="5"/>
      <c r="I409" s="5"/>
      <c r="J409" s="5"/>
      <c r="K409" s="5"/>
      <c r="L409" s="6"/>
    </row>
    <row r="410" spans="1:12" ht="12.75">
      <c r="A410" s="4"/>
      <c r="B410" s="5"/>
      <c r="C410" s="5"/>
      <c r="D410" s="5"/>
      <c r="E410" s="5"/>
      <c r="F410" s="5"/>
      <c r="G410" s="5"/>
      <c r="H410" s="5"/>
      <c r="I410" s="5"/>
      <c r="J410" s="5"/>
      <c r="K410" s="5"/>
      <c r="L410" s="6"/>
    </row>
    <row r="411" spans="1:12" ht="12.75">
      <c r="A411" s="4"/>
      <c r="C411" s="5"/>
      <c r="D411" s="5"/>
      <c r="E411" s="5"/>
      <c r="F411" s="5"/>
      <c r="G411" s="5"/>
      <c r="H411" s="5"/>
      <c r="I411" s="5"/>
      <c r="J411" s="5"/>
      <c r="K411" s="5"/>
      <c r="L411" s="6"/>
    </row>
    <row r="412" spans="1:12" ht="12.75">
      <c r="A412" s="4"/>
      <c r="C412" s="5"/>
      <c r="D412" s="5"/>
      <c r="E412" s="5"/>
      <c r="F412" s="5"/>
      <c r="G412" s="5"/>
      <c r="H412" s="5"/>
      <c r="I412" s="5"/>
      <c r="J412" s="5"/>
      <c r="K412" s="5"/>
      <c r="L412" s="6"/>
    </row>
    <row r="413" spans="1:12" ht="12.75">
      <c r="A413" s="4"/>
      <c r="B413" s="5" t="s">
        <v>318</v>
      </c>
      <c r="C413" s="5"/>
      <c r="D413" s="5"/>
      <c r="E413" s="5"/>
      <c r="F413" s="5"/>
      <c r="G413" s="5"/>
      <c r="H413" s="5"/>
      <c r="I413" s="5"/>
      <c r="J413" s="5"/>
      <c r="K413" s="5"/>
      <c r="L413" s="6"/>
    </row>
    <row r="414" spans="1:12" ht="12.75">
      <c r="A414" s="4"/>
      <c r="B414" s="5" t="s">
        <v>1051</v>
      </c>
      <c r="C414" s="5"/>
      <c r="D414" s="5"/>
      <c r="E414" s="5"/>
      <c r="F414" s="5"/>
      <c r="G414" s="5"/>
      <c r="H414" s="5"/>
      <c r="I414" s="5"/>
      <c r="J414" s="5"/>
      <c r="K414" s="5"/>
      <c r="L414" s="6"/>
    </row>
    <row r="415" spans="1:12" ht="12.75">
      <c r="A415" s="4"/>
      <c r="B415" s="5" t="s">
        <v>1349</v>
      </c>
      <c r="C415" s="5"/>
      <c r="D415" s="5"/>
      <c r="E415" s="5"/>
      <c r="F415" s="5"/>
      <c r="G415" s="5"/>
      <c r="H415" s="5"/>
      <c r="I415" s="5"/>
      <c r="J415" s="5"/>
      <c r="K415" s="5"/>
      <c r="L415" s="6"/>
    </row>
    <row r="416" spans="1:12" ht="12.75">
      <c r="A416" s="4"/>
      <c r="C416" s="5"/>
      <c r="D416" s="5"/>
      <c r="E416" s="5"/>
      <c r="F416" s="5"/>
      <c r="G416" s="5"/>
      <c r="H416" s="5"/>
      <c r="I416" s="5"/>
      <c r="J416" s="5"/>
      <c r="K416" s="5"/>
      <c r="L416" s="6"/>
    </row>
    <row r="417" spans="1:12" ht="12.75">
      <c r="A417" s="4"/>
      <c r="C417" s="5"/>
      <c r="D417" s="5"/>
      <c r="E417" s="5"/>
      <c r="F417" s="5"/>
      <c r="G417" s="5"/>
      <c r="H417" s="5"/>
      <c r="I417" s="5"/>
      <c r="J417" s="5"/>
      <c r="K417" s="5"/>
      <c r="L417" s="6"/>
    </row>
    <row r="418" spans="1:12" ht="12.75">
      <c r="A418" s="4"/>
      <c r="C418" s="5"/>
      <c r="D418" s="5"/>
      <c r="E418" s="5"/>
      <c r="F418" s="5"/>
      <c r="G418" s="5"/>
      <c r="H418" s="5"/>
      <c r="I418" s="5"/>
      <c r="J418" s="5"/>
      <c r="K418" s="5"/>
      <c r="L418" s="6"/>
    </row>
    <row r="419" spans="1:12" ht="12.75">
      <c r="A419" s="4"/>
      <c r="C419" s="5"/>
      <c r="D419" s="5"/>
      <c r="E419" s="5"/>
      <c r="F419" s="5"/>
      <c r="G419" s="5"/>
      <c r="H419" s="5"/>
      <c r="I419" s="5"/>
      <c r="J419" s="5"/>
      <c r="K419" s="5"/>
      <c r="L419" s="6"/>
    </row>
    <row r="420" spans="1:12" ht="12.75">
      <c r="A420" s="4"/>
      <c r="C420" s="5"/>
      <c r="D420" s="5"/>
      <c r="E420" s="5"/>
      <c r="F420" s="5"/>
      <c r="G420" s="5"/>
      <c r="H420" s="5"/>
      <c r="I420" s="5"/>
      <c r="J420" s="5"/>
      <c r="K420" s="5"/>
      <c r="L420" s="6"/>
    </row>
    <row r="421" spans="1:12" ht="12.75">
      <c r="A421" s="4"/>
      <c r="C421" s="5"/>
      <c r="D421" s="5"/>
      <c r="E421" s="5"/>
      <c r="F421" s="5"/>
      <c r="G421" s="5"/>
      <c r="H421" s="5"/>
      <c r="I421" s="5"/>
      <c r="J421" s="5"/>
      <c r="K421" s="5"/>
      <c r="L421" s="6"/>
    </row>
    <row r="422" spans="1:12" ht="12.75">
      <c r="A422" s="4"/>
      <c r="C422" s="5"/>
      <c r="D422" s="5"/>
      <c r="E422" s="5"/>
      <c r="F422" s="5"/>
      <c r="G422" s="5"/>
      <c r="H422" s="5"/>
      <c r="I422" s="5"/>
      <c r="J422" s="5"/>
      <c r="K422" s="5"/>
      <c r="L422" s="6"/>
    </row>
    <row r="423" spans="1:12" ht="12.75">
      <c r="A423" s="4"/>
      <c r="C423" s="5"/>
      <c r="D423" s="5"/>
      <c r="E423" s="5"/>
      <c r="F423" s="5"/>
      <c r="G423" s="5"/>
      <c r="H423" s="5"/>
      <c r="I423" s="5"/>
      <c r="J423" s="5"/>
      <c r="K423" s="5"/>
      <c r="L423" s="6"/>
    </row>
    <row r="424" spans="1:12" ht="12.75">
      <c r="A424" s="4"/>
      <c r="C424" s="5"/>
      <c r="D424" s="5"/>
      <c r="E424" s="5"/>
      <c r="F424" s="5"/>
      <c r="G424" s="5"/>
      <c r="H424" s="5"/>
      <c r="I424" s="5"/>
      <c r="J424" s="5"/>
      <c r="K424" s="5"/>
      <c r="L424" s="6"/>
    </row>
    <row r="425" spans="1:12" ht="12.75">
      <c r="A425" s="4"/>
      <c r="C425" s="5"/>
      <c r="D425" s="5"/>
      <c r="E425" s="5"/>
      <c r="F425" s="5"/>
      <c r="G425" s="5"/>
      <c r="H425" s="5"/>
      <c r="I425" s="5"/>
      <c r="J425" s="5"/>
      <c r="K425" s="5"/>
      <c r="L425" s="6"/>
    </row>
    <row r="426" spans="1:12" ht="12.75">
      <c r="A426" s="4"/>
      <c r="C426" s="5"/>
      <c r="D426" s="5"/>
      <c r="E426" s="5"/>
      <c r="F426" s="5"/>
      <c r="G426" s="5"/>
      <c r="H426" s="5"/>
      <c r="I426" s="5"/>
      <c r="J426" s="5"/>
      <c r="K426" s="5"/>
      <c r="L426" s="6"/>
    </row>
    <row r="427" spans="1:12" ht="12.75">
      <c r="A427" s="4"/>
      <c r="C427" s="5"/>
      <c r="D427" s="5"/>
      <c r="E427" s="5"/>
      <c r="F427" s="5"/>
      <c r="G427" s="5"/>
      <c r="H427" s="5"/>
      <c r="I427" s="5"/>
      <c r="J427" s="5"/>
      <c r="K427" s="5"/>
      <c r="L427" s="6"/>
    </row>
    <row r="428" spans="1:12" ht="12.75">
      <c r="A428" s="4"/>
      <c r="C428" s="5"/>
      <c r="D428" s="5"/>
      <c r="E428" s="5"/>
      <c r="F428" s="5"/>
      <c r="G428" s="5"/>
      <c r="H428" s="5"/>
      <c r="I428" s="5"/>
      <c r="J428" s="5"/>
      <c r="K428" s="5"/>
      <c r="L428" s="6"/>
    </row>
    <row r="429" spans="1:12" ht="12.75">
      <c r="A429" s="4"/>
      <c r="C429" s="5"/>
      <c r="D429" s="5"/>
      <c r="E429" s="5"/>
      <c r="F429" s="5"/>
      <c r="G429" s="5"/>
      <c r="H429" s="5"/>
      <c r="I429" s="5"/>
      <c r="J429" s="5"/>
      <c r="K429" s="5"/>
      <c r="L429" s="6"/>
    </row>
    <row r="430" spans="1:12" ht="12.75">
      <c r="A430" s="4"/>
      <c r="C430" s="5"/>
      <c r="D430" s="5"/>
      <c r="E430" s="5"/>
      <c r="F430" s="5"/>
      <c r="G430" s="5"/>
      <c r="H430" s="5"/>
      <c r="I430" s="5"/>
      <c r="J430" s="5"/>
      <c r="K430" s="5"/>
      <c r="L430" s="6"/>
    </row>
    <row r="431" spans="1:12" ht="12.75">
      <c r="A431" s="4"/>
      <c r="C431" s="5"/>
      <c r="D431" s="5"/>
      <c r="E431" s="5"/>
      <c r="F431" s="5"/>
      <c r="G431" s="5"/>
      <c r="H431" s="5"/>
      <c r="I431" s="5"/>
      <c r="J431" s="5"/>
      <c r="K431" s="5"/>
      <c r="L431" s="6"/>
    </row>
    <row r="432" spans="1:12" ht="12.75">
      <c r="A432" s="4"/>
      <c r="C432" s="5"/>
      <c r="D432" s="5"/>
      <c r="E432" s="5"/>
      <c r="F432" s="5"/>
      <c r="G432" s="5"/>
      <c r="H432" s="5"/>
      <c r="I432" s="5"/>
      <c r="J432" s="5"/>
      <c r="K432" s="5"/>
      <c r="L432" s="6"/>
    </row>
    <row r="433" spans="1:12" ht="12.75">
      <c r="A433" s="4"/>
      <c r="C433" s="5"/>
      <c r="D433" s="5"/>
      <c r="E433" s="5"/>
      <c r="F433" s="5"/>
      <c r="G433" s="5"/>
      <c r="H433" s="5"/>
      <c r="I433" s="5"/>
      <c r="J433" s="5"/>
      <c r="K433" s="5"/>
      <c r="L433" s="6"/>
    </row>
    <row r="434" spans="1:12" ht="12.75">
      <c r="A434" s="4"/>
      <c r="B434" s="5"/>
      <c r="C434" s="5"/>
      <c r="D434" s="5"/>
      <c r="E434" s="5"/>
      <c r="F434" s="5"/>
      <c r="G434" s="5"/>
      <c r="H434" s="5"/>
      <c r="I434" s="5"/>
      <c r="J434" s="5"/>
      <c r="K434" s="5"/>
      <c r="L434" s="6"/>
    </row>
    <row r="435" spans="1:12" ht="12.75">
      <c r="A435" s="4"/>
      <c r="B435" s="5"/>
      <c r="C435" s="5"/>
      <c r="D435" s="5"/>
      <c r="E435" s="5"/>
      <c r="F435" s="5"/>
      <c r="G435" s="5"/>
      <c r="H435" s="5"/>
      <c r="I435" s="5"/>
      <c r="J435" s="5"/>
      <c r="K435" s="5"/>
      <c r="L435" s="6"/>
    </row>
    <row r="436" spans="1:12" ht="13.5" thickBot="1">
      <c r="A436" s="7"/>
      <c r="B436" s="8"/>
      <c r="C436" s="8"/>
      <c r="D436" s="8"/>
      <c r="E436" s="8"/>
      <c r="F436" s="8"/>
      <c r="G436" s="8"/>
      <c r="H436" s="8"/>
      <c r="I436" s="8"/>
      <c r="J436" s="8"/>
      <c r="K436" s="8"/>
      <c r="L436" s="9"/>
    </row>
    <row r="438" ht="13.5" thickBot="1"/>
    <row r="439" spans="1:12" ht="12.75">
      <c r="A439" s="1"/>
      <c r="B439" s="2"/>
      <c r="C439" s="2"/>
      <c r="D439" s="2"/>
      <c r="E439" s="2"/>
      <c r="F439" s="2"/>
      <c r="G439" s="2"/>
      <c r="H439" s="2"/>
      <c r="I439" s="2"/>
      <c r="J439" s="2"/>
      <c r="K439" s="2"/>
      <c r="L439" s="3"/>
    </row>
    <row r="440" spans="1:12" ht="12.75">
      <c r="A440" s="4" t="s">
        <v>1041</v>
      </c>
      <c r="B440" s="5"/>
      <c r="C440" s="5"/>
      <c r="D440" s="5"/>
      <c r="E440" s="5"/>
      <c r="F440" s="5"/>
      <c r="G440" s="5"/>
      <c r="H440" s="5"/>
      <c r="I440" s="5"/>
      <c r="J440" s="5"/>
      <c r="K440" s="5"/>
      <c r="L440" s="6"/>
    </row>
    <row r="441" spans="1:12" ht="12.75">
      <c r="A441" s="4"/>
      <c r="B441" s="5"/>
      <c r="C441" s="5"/>
      <c r="D441" s="5"/>
      <c r="E441" s="5"/>
      <c r="F441" s="5"/>
      <c r="G441" s="5"/>
      <c r="H441" s="5"/>
      <c r="I441" s="5"/>
      <c r="J441" s="5"/>
      <c r="K441" s="5"/>
      <c r="L441" s="6"/>
    </row>
    <row r="442" spans="1:12" ht="13.5" customHeight="1">
      <c r="A442" s="14"/>
      <c r="B442" s="5" t="s">
        <v>543</v>
      </c>
      <c r="C442" s="5"/>
      <c r="D442" s="5"/>
      <c r="E442" s="5"/>
      <c r="F442" s="5"/>
      <c r="G442" s="5"/>
      <c r="H442" s="5"/>
      <c r="I442" s="5"/>
      <c r="J442" s="5"/>
      <c r="K442" s="5"/>
      <c r="L442" s="6"/>
    </row>
    <row r="443" spans="1:12" ht="13.5" customHeight="1">
      <c r="A443" s="14"/>
      <c r="B443" s="5"/>
      <c r="C443" s="5" t="s">
        <v>1285</v>
      </c>
      <c r="D443" s="5"/>
      <c r="E443" s="5"/>
      <c r="F443" s="5"/>
      <c r="G443" s="5"/>
      <c r="H443" s="5"/>
      <c r="I443" s="5"/>
      <c r="J443" s="5"/>
      <c r="K443" s="5"/>
      <c r="L443" s="6"/>
    </row>
    <row r="444" spans="1:12" ht="13.5" customHeight="1">
      <c r="A444" s="14"/>
      <c r="B444" s="5"/>
      <c r="C444" s="5" t="s">
        <v>1115</v>
      </c>
      <c r="D444" s="5"/>
      <c r="E444" s="5"/>
      <c r="F444" s="5"/>
      <c r="G444" s="5"/>
      <c r="H444" s="5"/>
      <c r="I444" s="5"/>
      <c r="J444" s="5"/>
      <c r="K444" s="5"/>
      <c r="L444" s="6"/>
    </row>
    <row r="445" spans="1:12" ht="13.5" customHeight="1">
      <c r="A445" s="14"/>
      <c r="B445" s="5"/>
      <c r="C445" s="5" t="s">
        <v>1213</v>
      </c>
      <c r="D445" s="5"/>
      <c r="E445" s="5"/>
      <c r="F445" s="5"/>
      <c r="G445" s="5"/>
      <c r="H445" s="5"/>
      <c r="I445" s="5"/>
      <c r="J445" s="5"/>
      <c r="K445" s="5"/>
      <c r="L445" s="6"/>
    </row>
    <row r="446" spans="1:12" ht="13.5" customHeight="1">
      <c r="A446" s="14"/>
      <c r="B446" s="5"/>
      <c r="C446" s="5" t="s">
        <v>1308</v>
      </c>
      <c r="D446" s="5"/>
      <c r="E446" s="5"/>
      <c r="F446" s="5"/>
      <c r="G446" s="5"/>
      <c r="H446" s="5"/>
      <c r="I446" s="5"/>
      <c r="J446" s="5"/>
      <c r="K446" s="5"/>
      <c r="L446" s="6"/>
    </row>
    <row r="447" spans="1:12" ht="13.5" customHeight="1">
      <c r="A447" s="14"/>
      <c r="B447" s="5"/>
      <c r="C447" s="5"/>
      <c r="D447" s="5"/>
      <c r="E447" s="5"/>
      <c r="F447" s="5"/>
      <c r="G447" s="5"/>
      <c r="H447" s="5"/>
      <c r="I447" s="5"/>
      <c r="J447" s="5"/>
      <c r="K447" s="5"/>
      <c r="L447" s="6"/>
    </row>
    <row r="448" spans="1:12" ht="13.5" customHeight="1">
      <c r="A448" s="14"/>
      <c r="B448" s="5"/>
      <c r="C448" s="5"/>
      <c r="D448" s="5"/>
      <c r="E448" s="5"/>
      <c r="F448" s="5"/>
      <c r="G448" s="5"/>
      <c r="H448" s="5"/>
      <c r="I448" s="5"/>
      <c r="J448" s="5"/>
      <c r="K448" s="5"/>
      <c r="L448" s="6"/>
    </row>
    <row r="449" spans="1:12" ht="13.5" customHeight="1">
      <c r="A449" s="14"/>
      <c r="B449" s="5"/>
      <c r="C449" s="5"/>
      <c r="D449" s="5"/>
      <c r="E449" s="5"/>
      <c r="F449" s="5"/>
      <c r="G449" s="5"/>
      <c r="H449" s="5"/>
      <c r="I449" s="5"/>
      <c r="J449" s="5"/>
      <c r="K449" s="5"/>
      <c r="L449" s="6"/>
    </row>
    <row r="450" spans="1:12" ht="13.5" customHeight="1">
      <c r="A450" s="14"/>
      <c r="B450" s="5"/>
      <c r="C450" s="5"/>
      <c r="D450" s="5" t="s">
        <v>478</v>
      </c>
      <c r="E450" s="5"/>
      <c r="F450" s="5"/>
      <c r="G450" s="5"/>
      <c r="H450" s="5"/>
      <c r="I450" s="5"/>
      <c r="J450" s="5"/>
      <c r="K450" s="5"/>
      <c r="L450" s="6"/>
    </row>
    <row r="451" spans="1:12" ht="13.5" customHeight="1">
      <c r="A451" s="14"/>
      <c r="B451" s="5"/>
      <c r="C451" s="5"/>
      <c r="D451" s="5"/>
      <c r="E451" s="5"/>
      <c r="F451" s="5"/>
      <c r="G451" s="5"/>
      <c r="H451" s="5"/>
      <c r="I451" s="5"/>
      <c r="J451" s="5"/>
      <c r="K451" s="5"/>
      <c r="L451" s="6"/>
    </row>
    <row r="452" spans="1:12" ht="13.5" customHeight="1">
      <c r="A452" s="14"/>
      <c r="B452" s="5"/>
      <c r="C452" s="5"/>
      <c r="D452" s="5" t="s">
        <v>523</v>
      </c>
      <c r="E452" s="5"/>
      <c r="F452" s="5"/>
      <c r="G452" s="5"/>
      <c r="H452" s="5"/>
      <c r="I452" s="5"/>
      <c r="J452" s="5"/>
      <c r="K452" s="5"/>
      <c r="L452" s="6"/>
    </row>
    <row r="453" spans="1:12" ht="13.5" customHeight="1">
      <c r="A453" s="14"/>
      <c r="B453" s="5"/>
      <c r="C453" s="5"/>
      <c r="D453" s="5"/>
      <c r="E453" s="5"/>
      <c r="F453" s="5"/>
      <c r="G453" s="5"/>
      <c r="H453" s="5"/>
      <c r="I453" s="5"/>
      <c r="J453" s="5"/>
      <c r="K453" s="5"/>
      <c r="L453" s="6"/>
    </row>
    <row r="454" spans="1:12" ht="13.5" customHeight="1">
      <c r="A454" s="14"/>
      <c r="B454" s="5"/>
      <c r="C454" s="5"/>
      <c r="D454" s="5"/>
      <c r="E454" s="41" t="s">
        <v>522</v>
      </c>
      <c r="F454" s="5"/>
      <c r="G454" s="5"/>
      <c r="H454" s="5"/>
      <c r="I454" s="5"/>
      <c r="J454" s="5"/>
      <c r="K454" s="5"/>
      <c r="L454" s="6"/>
    </row>
    <row r="455" spans="1:12" ht="13.5" customHeight="1">
      <c r="A455" s="14"/>
      <c r="B455" s="5"/>
      <c r="C455" s="5"/>
      <c r="D455" s="5"/>
      <c r="E455" s="5"/>
      <c r="F455" s="5"/>
      <c r="G455" s="5"/>
      <c r="H455" s="5"/>
      <c r="I455" s="5"/>
      <c r="J455" s="5"/>
      <c r="K455" s="5"/>
      <c r="L455" s="6"/>
    </row>
    <row r="456" spans="1:12" ht="13.5" customHeight="1">
      <c r="A456" s="14"/>
      <c r="B456" s="5"/>
      <c r="C456" s="5"/>
      <c r="D456" s="5"/>
      <c r="E456" s="137" t="s">
        <v>1797</v>
      </c>
      <c r="F456" s="5"/>
      <c r="G456" s="5"/>
      <c r="H456" s="5"/>
      <c r="I456" s="5"/>
      <c r="J456" s="5"/>
      <c r="K456" s="5"/>
      <c r="L456" s="6"/>
    </row>
    <row r="457" spans="1:12" ht="13.5" customHeight="1">
      <c r="A457" s="14"/>
      <c r="B457" s="5"/>
      <c r="C457" s="5"/>
      <c r="D457" s="5"/>
      <c r="E457" s="5"/>
      <c r="F457" s="5"/>
      <c r="G457" s="5"/>
      <c r="H457" s="5"/>
      <c r="I457" s="5"/>
      <c r="J457" s="5"/>
      <c r="K457" s="5"/>
      <c r="L457" s="6"/>
    </row>
    <row r="458" spans="1:12" ht="13.5" customHeight="1">
      <c r="A458" s="14"/>
      <c r="B458" s="5"/>
      <c r="C458" s="5"/>
      <c r="D458" s="5"/>
      <c r="E458" s="5"/>
      <c r="F458" s="5"/>
      <c r="G458" s="5"/>
      <c r="H458" s="5"/>
      <c r="I458" s="5"/>
      <c r="J458" s="5"/>
      <c r="K458" s="5"/>
      <c r="L458" s="6"/>
    </row>
    <row r="459" spans="1:12" ht="13.5" customHeight="1">
      <c r="A459" s="14"/>
      <c r="B459" s="5"/>
      <c r="C459" s="5"/>
      <c r="D459" s="22" t="s">
        <v>1694</v>
      </c>
      <c r="E459" s="5"/>
      <c r="F459" s="5"/>
      <c r="G459" s="5"/>
      <c r="H459" s="5"/>
      <c r="I459" s="5"/>
      <c r="J459" s="5"/>
      <c r="K459" s="5"/>
      <c r="L459" s="6"/>
    </row>
    <row r="460" spans="1:12" ht="13.5" customHeight="1">
      <c r="A460" s="14"/>
      <c r="B460" s="5"/>
      <c r="C460" s="5"/>
      <c r="D460" s="5"/>
      <c r="E460" s="5"/>
      <c r="F460" s="5"/>
      <c r="G460" s="5"/>
      <c r="H460" s="5"/>
      <c r="I460" s="5"/>
      <c r="J460" s="5"/>
      <c r="K460" s="5"/>
      <c r="L460" s="6"/>
    </row>
    <row r="461" spans="1:12" ht="13.5" customHeight="1">
      <c r="A461" s="14"/>
      <c r="B461" s="5"/>
      <c r="C461" s="5"/>
      <c r="D461" s="5"/>
      <c r="E461" s="5"/>
      <c r="F461" s="5"/>
      <c r="G461" s="5"/>
      <c r="H461" s="5"/>
      <c r="I461" s="5"/>
      <c r="J461" s="5"/>
      <c r="K461" s="5"/>
      <c r="L461" s="6"/>
    </row>
    <row r="462" spans="1:12" ht="13.5" customHeight="1">
      <c r="A462" s="14"/>
      <c r="B462" s="5"/>
      <c r="C462" s="5"/>
      <c r="D462" s="5"/>
      <c r="E462" s="5"/>
      <c r="F462" s="5"/>
      <c r="G462" s="5"/>
      <c r="H462" s="5"/>
      <c r="I462" s="5"/>
      <c r="J462" s="5"/>
      <c r="K462" s="5"/>
      <c r="L462" s="6"/>
    </row>
    <row r="463" spans="1:12" ht="13.5" customHeight="1">
      <c r="A463" s="14"/>
      <c r="B463" s="5"/>
      <c r="C463" s="5"/>
      <c r="D463" s="5"/>
      <c r="E463" s="137" t="s">
        <v>1603</v>
      </c>
      <c r="F463" s="5"/>
      <c r="G463" s="5"/>
      <c r="H463" s="5"/>
      <c r="I463" s="5"/>
      <c r="J463" s="5"/>
      <c r="K463" s="5"/>
      <c r="L463" s="6"/>
    </row>
    <row r="464" spans="1:12" ht="13.5" customHeight="1">
      <c r="A464" s="14"/>
      <c r="B464" s="5"/>
      <c r="C464" s="5"/>
      <c r="D464" s="5"/>
      <c r="E464" s="5"/>
      <c r="F464" s="5"/>
      <c r="G464" s="5"/>
      <c r="H464" s="5"/>
      <c r="I464" s="5"/>
      <c r="J464" s="5"/>
      <c r="K464" s="5"/>
      <c r="L464" s="6"/>
    </row>
    <row r="465" spans="1:12" ht="13.5" customHeight="1">
      <c r="A465" s="14"/>
      <c r="B465" s="5"/>
      <c r="C465" s="5"/>
      <c r="D465" s="5"/>
      <c r="E465" s="5"/>
      <c r="F465" s="5"/>
      <c r="G465" s="5"/>
      <c r="H465" s="5"/>
      <c r="I465" s="5"/>
      <c r="J465" s="5"/>
      <c r="K465" s="5"/>
      <c r="L465" s="6"/>
    </row>
    <row r="466" spans="1:12" ht="13.5" customHeight="1">
      <c r="A466" s="14"/>
      <c r="B466" s="5"/>
      <c r="C466" s="5"/>
      <c r="D466" s="5"/>
      <c r="E466" s="5" t="s">
        <v>1604</v>
      </c>
      <c r="F466" s="5"/>
      <c r="G466" s="5"/>
      <c r="H466" s="5"/>
      <c r="I466" s="5"/>
      <c r="J466" s="5"/>
      <c r="K466" s="5"/>
      <c r="L466" s="6"/>
    </row>
    <row r="467" spans="1:12" ht="13.5" customHeight="1">
      <c r="A467" s="14"/>
      <c r="B467" s="5"/>
      <c r="C467" s="5"/>
      <c r="D467" s="5"/>
      <c r="E467" s="5"/>
      <c r="F467" s="5"/>
      <c r="G467" s="5"/>
      <c r="H467" s="5"/>
      <c r="I467" s="5"/>
      <c r="J467" s="5"/>
      <c r="K467" s="5"/>
      <c r="L467" s="6"/>
    </row>
    <row r="468" spans="1:12" ht="13.5" customHeight="1">
      <c r="A468" s="14"/>
      <c r="B468" s="5"/>
      <c r="C468" s="5"/>
      <c r="D468" s="140" t="s">
        <v>1605</v>
      </c>
      <c r="E468" s="5"/>
      <c r="F468" s="5"/>
      <c r="G468" s="5"/>
      <c r="H468" s="5"/>
      <c r="I468" s="5"/>
      <c r="J468" s="5"/>
      <c r="K468" s="5"/>
      <c r="L468" s="6"/>
    </row>
    <row r="469" spans="1:12" ht="13.5" customHeight="1">
      <c r="A469" s="4"/>
      <c r="B469" s="5"/>
      <c r="C469" s="5"/>
      <c r="D469" s="5"/>
      <c r="E469" s="5"/>
      <c r="F469" s="5"/>
      <c r="G469" s="5"/>
      <c r="H469" s="5"/>
      <c r="I469" s="5"/>
      <c r="J469" s="5"/>
      <c r="K469" s="5"/>
      <c r="L469" s="6"/>
    </row>
    <row r="470" spans="1:12" ht="13.5" customHeight="1">
      <c r="A470" s="4"/>
      <c r="B470" s="138" t="s">
        <v>742</v>
      </c>
      <c r="C470" s="5"/>
      <c r="D470" s="5"/>
      <c r="E470" s="5"/>
      <c r="F470" s="5"/>
      <c r="G470" s="5"/>
      <c r="H470" s="5"/>
      <c r="I470" s="5"/>
      <c r="J470" s="5"/>
      <c r="K470" s="5"/>
      <c r="L470" s="6"/>
    </row>
    <row r="471" spans="1:12" ht="13.5" customHeight="1">
      <c r="A471" s="4"/>
      <c r="B471" s="110"/>
      <c r="C471" s="139" t="s">
        <v>743</v>
      </c>
      <c r="D471" s="5"/>
      <c r="E471" s="5"/>
      <c r="F471" s="5"/>
      <c r="G471" s="5"/>
      <c r="H471" s="5"/>
      <c r="I471" s="5"/>
      <c r="J471" s="5"/>
      <c r="K471" s="5"/>
      <c r="L471" s="6"/>
    </row>
    <row r="472" spans="1:12" ht="13.5" customHeight="1">
      <c r="A472" s="4"/>
      <c r="B472" s="5"/>
      <c r="C472" s="5"/>
      <c r="D472" s="5"/>
      <c r="E472" s="5"/>
      <c r="F472" s="5"/>
      <c r="G472" s="5"/>
      <c r="H472" s="5"/>
      <c r="I472" s="5"/>
      <c r="J472" s="5"/>
      <c r="K472" s="5"/>
      <c r="L472" s="6"/>
    </row>
    <row r="473" spans="1:12" ht="12.75">
      <c r="A473" s="4"/>
      <c r="B473" s="5"/>
      <c r="C473" s="5"/>
      <c r="D473" s="5"/>
      <c r="E473" s="5"/>
      <c r="F473" s="5"/>
      <c r="G473" s="5"/>
      <c r="H473" s="5"/>
      <c r="I473" s="5"/>
      <c r="J473" s="5"/>
      <c r="K473" s="5"/>
      <c r="L473" s="6"/>
    </row>
    <row r="474" spans="1:12" ht="12.75">
      <c r="A474" s="4"/>
      <c r="B474" s="5" t="s">
        <v>1747</v>
      </c>
      <c r="C474" s="5"/>
      <c r="D474" s="5"/>
      <c r="E474" s="5"/>
      <c r="F474" s="5"/>
      <c r="G474" s="5"/>
      <c r="H474" s="5"/>
      <c r="I474" s="5"/>
      <c r="J474" s="5"/>
      <c r="K474" s="5"/>
      <c r="L474" s="6"/>
    </row>
    <row r="475" spans="1:12" ht="12.75">
      <c r="A475" s="4"/>
      <c r="B475" s="5"/>
      <c r="C475" s="5"/>
      <c r="D475" s="5"/>
      <c r="E475" s="5"/>
      <c r="F475" s="5"/>
      <c r="G475" s="5"/>
      <c r="H475" s="5"/>
      <c r="I475" s="5"/>
      <c r="J475" s="5"/>
      <c r="K475" s="5"/>
      <c r="L475" s="6"/>
    </row>
    <row r="476" spans="1:12" ht="12.75">
      <c r="A476" s="4"/>
      <c r="B476" s="5"/>
      <c r="C476" s="5" t="s">
        <v>1748</v>
      </c>
      <c r="D476" s="5"/>
      <c r="E476" s="5"/>
      <c r="F476" s="5"/>
      <c r="G476" s="5"/>
      <c r="H476" s="5"/>
      <c r="I476" s="5"/>
      <c r="J476" s="5"/>
      <c r="K476" s="5"/>
      <c r="L476" s="6"/>
    </row>
    <row r="477" spans="1:12" ht="12.75">
      <c r="A477" s="4"/>
      <c r="B477" s="5"/>
      <c r="C477" s="5" t="s">
        <v>1775</v>
      </c>
      <c r="D477" s="5"/>
      <c r="E477" s="5"/>
      <c r="F477" s="5"/>
      <c r="G477" s="5"/>
      <c r="H477" s="5"/>
      <c r="I477" s="5"/>
      <c r="J477" s="5"/>
      <c r="K477" s="5"/>
      <c r="L477" s="6"/>
    </row>
    <row r="478" spans="1:12" ht="12.75">
      <c r="A478" s="4"/>
      <c r="B478" s="5"/>
      <c r="C478" s="5" t="s">
        <v>757</v>
      </c>
      <c r="D478" s="5"/>
      <c r="E478" s="5"/>
      <c r="F478" s="5"/>
      <c r="G478" s="5"/>
      <c r="H478" s="5"/>
      <c r="I478" s="5"/>
      <c r="J478" s="5"/>
      <c r="K478" s="5"/>
      <c r="L478" s="6"/>
    </row>
    <row r="479" spans="1:12" ht="12.75">
      <c r="A479" s="4"/>
      <c r="B479" s="5"/>
      <c r="C479" s="5" t="s">
        <v>575</v>
      </c>
      <c r="D479" s="5"/>
      <c r="E479" s="5"/>
      <c r="F479" s="5"/>
      <c r="G479" s="5"/>
      <c r="H479" s="5"/>
      <c r="I479" s="5"/>
      <c r="J479" s="5"/>
      <c r="K479" s="5"/>
      <c r="L479" s="6"/>
    </row>
    <row r="480" spans="1:12" ht="12.75">
      <c r="A480" s="4"/>
      <c r="B480" s="5"/>
      <c r="C480" s="5"/>
      <c r="D480" s="5"/>
      <c r="E480" s="5"/>
      <c r="F480" s="5"/>
      <c r="G480" s="5"/>
      <c r="H480" s="5"/>
      <c r="I480" s="5"/>
      <c r="J480" s="5"/>
      <c r="K480" s="5"/>
      <c r="L480" s="6"/>
    </row>
    <row r="481" spans="1:12" ht="12.75">
      <c r="A481" s="4"/>
      <c r="B481" s="5"/>
      <c r="C481" s="5"/>
      <c r="D481" s="5"/>
      <c r="E481" s="5"/>
      <c r="F481" s="5"/>
      <c r="G481" s="5"/>
      <c r="H481" s="5"/>
      <c r="I481" s="5"/>
      <c r="J481" s="5"/>
      <c r="K481" s="5"/>
      <c r="L481" s="6"/>
    </row>
    <row r="482" spans="1:12" ht="12.75">
      <c r="A482" s="4"/>
      <c r="B482" s="5"/>
      <c r="C482" s="5"/>
      <c r="D482" s="5"/>
      <c r="E482" s="5"/>
      <c r="F482" s="5"/>
      <c r="G482" s="5"/>
      <c r="H482" s="5"/>
      <c r="I482" s="5"/>
      <c r="J482" s="5"/>
      <c r="K482" s="5"/>
      <c r="L482" s="6"/>
    </row>
    <row r="483" spans="1:12" ht="12.75">
      <c r="A483" s="4"/>
      <c r="B483" s="5"/>
      <c r="C483" s="5"/>
      <c r="D483" s="5"/>
      <c r="E483" s="5"/>
      <c r="F483" s="5"/>
      <c r="G483" s="5"/>
      <c r="H483" s="5"/>
      <c r="I483" s="5"/>
      <c r="J483" s="5"/>
      <c r="K483" s="5"/>
      <c r="L483" s="6"/>
    </row>
    <row r="484" spans="1:12" ht="12.75">
      <c r="A484" s="4"/>
      <c r="B484" s="5"/>
      <c r="C484" s="5"/>
      <c r="D484" s="5"/>
      <c r="E484" s="5"/>
      <c r="F484" s="5"/>
      <c r="G484" s="5"/>
      <c r="H484" s="5"/>
      <c r="I484" s="5"/>
      <c r="J484" s="5"/>
      <c r="K484" s="5"/>
      <c r="L484" s="6"/>
    </row>
    <row r="485" spans="1:12" ht="12.75">
      <c r="A485" s="4"/>
      <c r="B485" s="5" t="s">
        <v>1329</v>
      </c>
      <c r="C485" s="5"/>
      <c r="D485" s="5"/>
      <c r="E485" s="5"/>
      <c r="F485" s="5"/>
      <c r="G485" s="5"/>
      <c r="H485" s="5"/>
      <c r="I485" s="5"/>
      <c r="J485" s="5"/>
      <c r="K485" s="5"/>
      <c r="L485" s="6"/>
    </row>
    <row r="486" spans="1:12" ht="12.75">
      <c r="A486" s="4"/>
      <c r="B486" s="5"/>
      <c r="C486" s="5"/>
      <c r="D486" s="5"/>
      <c r="E486" s="5"/>
      <c r="F486" s="5"/>
      <c r="G486" s="5"/>
      <c r="H486" s="5"/>
      <c r="I486" s="5"/>
      <c r="J486" s="5"/>
      <c r="K486" s="5"/>
      <c r="L486" s="6"/>
    </row>
    <row r="487" spans="1:12" ht="12.75">
      <c r="A487" s="4"/>
      <c r="B487" s="5"/>
      <c r="C487" s="266">
        <f>Rec_Photo!E204</f>
        <v>0.9546048640208002</v>
      </c>
      <c r="D487" s="266">
        <f>Rec_Photo!F204</f>
        <v>0</v>
      </c>
      <c r="E487" s="266">
        <f>Rec_Photo!G204</f>
        <v>0.29787506372274514</v>
      </c>
      <c r="F487" s="5"/>
      <c r="G487" s="5"/>
      <c r="H487" s="5"/>
      <c r="I487" s="5"/>
      <c r="J487" s="5"/>
      <c r="K487" s="5"/>
      <c r="L487" s="6"/>
    </row>
    <row r="488" spans="1:12" ht="12.75">
      <c r="A488" s="4"/>
      <c r="B488" s="5"/>
      <c r="C488" s="266">
        <f>Rec_Photo!E205</f>
        <v>0</v>
      </c>
      <c r="D488" s="266">
        <f>Rec_Photo!F205</f>
        <v>1</v>
      </c>
      <c r="E488" s="266">
        <f>Rec_Photo!G205</f>
        <v>0</v>
      </c>
      <c r="F488" s="5"/>
      <c r="G488" s="5"/>
      <c r="H488" s="5"/>
      <c r="I488" s="5"/>
      <c r="J488" s="5"/>
      <c r="K488" s="5"/>
      <c r="L488" s="6"/>
    </row>
    <row r="489" spans="1:12" ht="12.75">
      <c r="A489" s="4"/>
      <c r="B489" s="5"/>
      <c r="C489" s="266">
        <f>Rec_Photo!E206</f>
        <v>-0.29787506372274514</v>
      </c>
      <c r="D489" s="266">
        <f>Rec_Photo!F206</f>
        <v>0</v>
      </c>
      <c r="E489" s="266">
        <f>Rec_Photo!G206</f>
        <v>0.9546048640208002</v>
      </c>
      <c r="F489" s="5"/>
      <c r="G489" s="5"/>
      <c r="H489" s="5"/>
      <c r="I489" s="5"/>
      <c r="J489" s="5"/>
      <c r="K489" s="5"/>
      <c r="L489" s="6"/>
    </row>
    <row r="490" spans="1:12" ht="12.75">
      <c r="A490" s="4"/>
      <c r="B490" s="5"/>
      <c r="C490" s="5"/>
      <c r="D490" s="5"/>
      <c r="E490" s="5"/>
      <c r="F490" s="5"/>
      <c r="G490" s="5"/>
      <c r="H490" s="5"/>
      <c r="I490" s="5"/>
      <c r="J490" s="5"/>
      <c r="K490" s="5"/>
      <c r="L490" s="6"/>
    </row>
    <row r="491" spans="1:12" ht="12.75">
      <c r="A491" s="4"/>
      <c r="B491" s="5"/>
      <c r="C491" s="5"/>
      <c r="D491" s="5"/>
      <c r="E491" s="5"/>
      <c r="F491" s="5"/>
      <c r="G491" s="5"/>
      <c r="H491" s="5"/>
      <c r="I491" s="5"/>
      <c r="J491" s="5"/>
      <c r="K491" s="5"/>
      <c r="L491" s="6"/>
    </row>
    <row r="492" spans="1:12" ht="12.75">
      <c r="A492" s="4"/>
      <c r="B492" s="5"/>
      <c r="C492" s="5"/>
      <c r="D492" s="5"/>
      <c r="E492" s="5"/>
      <c r="F492" s="5"/>
      <c r="G492" s="5"/>
      <c r="H492" s="5"/>
      <c r="I492" s="5"/>
      <c r="J492" s="5"/>
      <c r="K492" s="5"/>
      <c r="L492" s="6"/>
    </row>
    <row r="493" spans="1:12" ht="12.75">
      <c r="A493" s="4"/>
      <c r="B493" s="5"/>
      <c r="C493" s="5"/>
      <c r="D493" s="5"/>
      <c r="E493" s="5"/>
      <c r="F493" s="5"/>
      <c r="G493" s="5"/>
      <c r="H493" s="5"/>
      <c r="I493" s="5"/>
      <c r="J493" s="5"/>
      <c r="K493" s="5"/>
      <c r="L493" s="6"/>
    </row>
    <row r="494" spans="1:12" ht="12.75">
      <c r="A494" s="4"/>
      <c r="B494" s="5" t="s">
        <v>1330</v>
      </c>
      <c r="C494" s="5"/>
      <c r="D494" s="5"/>
      <c r="E494" s="5"/>
      <c r="F494" s="5"/>
      <c r="G494" s="5"/>
      <c r="H494" s="5"/>
      <c r="I494" s="5"/>
      <c r="J494" s="5"/>
      <c r="K494" s="5"/>
      <c r="L494" s="6"/>
    </row>
    <row r="495" spans="1:12" ht="12.75">
      <c r="A495" s="4"/>
      <c r="B495" s="5"/>
      <c r="C495" s="5"/>
      <c r="D495" s="5"/>
      <c r="E495" s="5"/>
      <c r="F495" s="5"/>
      <c r="G495" s="5"/>
      <c r="H495" s="5"/>
      <c r="I495" s="5"/>
      <c r="J495" s="5"/>
      <c r="K495" s="5"/>
      <c r="L495" s="6"/>
    </row>
    <row r="496" spans="1:12" ht="12.75">
      <c r="A496" s="4"/>
      <c r="B496" s="5"/>
      <c r="C496" s="5"/>
      <c r="D496" s="5"/>
      <c r="E496" s="5"/>
      <c r="F496" s="5"/>
      <c r="G496" s="5"/>
      <c r="H496" s="5"/>
      <c r="I496" s="5"/>
      <c r="J496" s="5"/>
      <c r="K496" s="5"/>
      <c r="L496" s="6"/>
    </row>
    <row r="497" spans="1:12" ht="12.75">
      <c r="A497" s="4"/>
      <c r="B497" s="22" t="s">
        <v>560</v>
      </c>
      <c r="C497" s="5" t="s">
        <v>561</v>
      </c>
      <c r="D497" s="5"/>
      <c r="E497" s="5"/>
      <c r="F497" s="5"/>
      <c r="G497" s="5"/>
      <c r="H497" s="5"/>
      <c r="I497" s="5"/>
      <c r="J497" s="5"/>
      <c r="K497" s="5"/>
      <c r="L497" s="6"/>
    </row>
    <row r="498" spans="1:12" ht="12.75">
      <c r="A498" s="4"/>
      <c r="B498" s="5"/>
      <c r="C498" s="5"/>
      <c r="D498" s="5"/>
      <c r="E498" s="5"/>
      <c r="F498" s="5"/>
      <c r="G498" s="5"/>
      <c r="H498" s="5"/>
      <c r="I498" s="5"/>
      <c r="J498" s="5"/>
      <c r="K498" s="5"/>
      <c r="L498" s="6"/>
    </row>
    <row r="499" spans="1:12" ht="12.75">
      <c r="A499" s="4"/>
      <c r="B499" s="5" t="s">
        <v>562</v>
      </c>
      <c r="C499" s="5"/>
      <c r="D499" s="5"/>
      <c r="E499" s="5" t="s">
        <v>794</v>
      </c>
      <c r="F499" s="5"/>
      <c r="G499" s="5"/>
      <c r="H499" s="5"/>
      <c r="I499" s="5"/>
      <c r="J499" s="5"/>
      <c r="K499" s="5"/>
      <c r="L499" s="6"/>
    </row>
    <row r="500" spans="1:12" ht="12.75">
      <c r="A500" s="4"/>
      <c r="B500" s="5" t="s">
        <v>693</v>
      </c>
      <c r="C500" s="5"/>
      <c r="D500" s="5"/>
      <c r="E500" s="5" t="s">
        <v>1725</v>
      </c>
      <c r="F500" s="5"/>
      <c r="G500" s="5"/>
      <c r="H500" s="5"/>
      <c r="I500" s="5"/>
      <c r="J500" s="5"/>
      <c r="K500" s="5"/>
      <c r="L500" s="6"/>
    </row>
    <row r="501" spans="1:12" ht="12.75">
      <c r="A501" s="4"/>
      <c r="B501" s="5"/>
      <c r="C501" s="5"/>
      <c r="D501" s="5"/>
      <c r="E501" s="5" t="s">
        <v>674</v>
      </c>
      <c r="F501" s="5"/>
      <c r="G501" s="5"/>
      <c r="H501" s="5"/>
      <c r="I501" s="5"/>
      <c r="J501" s="5"/>
      <c r="K501" s="5"/>
      <c r="L501" s="6"/>
    </row>
    <row r="502" spans="1:12" ht="12.75">
      <c r="A502" s="4"/>
      <c r="B502" s="5"/>
      <c r="C502" s="5"/>
      <c r="D502" s="5"/>
      <c r="E502" s="5"/>
      <c r="F502" s="5"/>
      <c r="G502" s="5"/>
      <c r="H502" s="5"/>
      <c r="I502" s="5"/>
      <c r="J502" s="5"/>
      <c r="K502" s="5"/>
      <c r="L502" s="6"/>
    </row>
    <row r="503" spans="1:12" ht="12.75">
      <c r="A503" s="4"/>
      <c r="B503" s="5" t="s">
        <v>675</v>
      </c>
      <c r="C503" s="5"/>
      <c r="D503" s="5"/>
      <c r="E503" s="5"/>
      <c r="F503" s="5"/>
      <c r="G503" s="5"/>
      <c r="H503" s="5"/>
      <c r="I503" s="5"/>
      <c r="J503" s="5"/>
      <c r="K503" s="5"/>
      <c r="L503" s="6"/>
    </row>
    <row r="504" spans="1:12" ht="12.75">
      <c r="A504" s="4"/>
      <c r="B504" s="5" t="s">
        <v>576</v>
      </c>
      <c r="C504" s="5"/>
      <c r="D504" s="5"/>
      <c r="E504" s="5" t="s">
        <v>577</v>
      </c>
      <c r="F504" s="80" t="s">
        <v>578</v>
      </c>
      <c r="G504" s="81" t="s">
        <v>579</v>
      </c>
      <c r="H504" s="82">
        <v>0</v>
      </c>
      <c r="I504" s="5"/>
      <c r="J504" s="5"/>
      <c r="K504" s="5"/>
      <c r="L504" s="6"/>
    </row>
    <row r="505" spans="1:12" ht="12.75">
      <c r="A505" s="4"/>
      <c r="B505" s="5"/>
      <c r="C505" s="5"/>
      <c r="D505" s="5"/>
      <c r="E505" s="5"/>
      <c r="F505" s="173" t="s">
        <v>580</v>
      </c>
      <c r="G505" s="82" t="s">
        <v>578</v>
      </c>
      <c r="H505" s="82">
        <v>0</v>
      </c>
      <c r="I505" s="5"/>
      <c r="J505" s="5"/>
      <c r="K505" s="5"/>
      <c r="L505" s="6"/>
    </row>
    <row r="506" spans="1:12" ht="12.75">
      <c r="A506" s="4"/>
      <c r="B506" s="5"/>
      <c r="C506" s="5"/>
      <c r="D506" s="5"/>
      <c r="E506" s="5"/>
      <c r="F506" s="80">
        <v>0</v>
      </c>
      <c r="G506" s="82">
        <v>0</v>
      </c>
      <c r="H506" s="82">
        <v>1</v>
      </c>
      <c r="I506" s="5"/>
      <c r="J506" s="5"/>
      <c r="K506" s="5"/>
      <c r="L506" s="6"/>
    </row>
    <row r="507" spans="1:12" ht="12.75">
      <c r="A507" s="4"/>
      <c r="B507" s="5"/>
      <c r="C507" s="5"/>
      <c r="D507" s="5"/>
      <c r="E507" s="5"/>
      <c r="F507" s="5"/>
      <c r="G507" s="5"/>
      <c r="H507" s="5"/>
      <c r="I507" s="5"/>
      <c r="J507" s="5"/>
      <c r="K507" s="5"/>
      <c r="L507" s="6"/>
    </row>
    <row r="508" spans="1:12" ht="12.75">
      <c r="A508" s="4"/>
      <c r="B508" s="5"/>
      <c r="C508" s="5"/>
      <c r="D508" s="5"/>
      <c r="E508" s="5"/>
      <c r="F508" s="5"/>
      <c r="G508" s="5"/>
      <c r="H508" s="5"/>
      <c r="I508" s="5"/>
      <c r="J508" s="5"/>
      <c r="K508" s="5"/>
      <c r="L508" s="6"/>
    </row>
    <row r="509" spans="1:12" ht="12.75">
      <c r="A509" s="4"/>
      <c r="B509" s="5" t="s">
        <v>481</v>
      </c>
      <c r="C509" s="5"/>
      <c r="D509" s="5"/>
      <c r="E509" s="5"/>
      <c r="F509" s="5"/>
      <c r="G509" s="5"/>
      <c r="H509" s="5"/>
      <c r="I509" s="5"/>
      <c r="J509" s="5"/>
      <c r="K509" s="5"/>
      <c r="L509" s="6"/>
    </row>
    <row r="510" spans="1:12" ht="12.75">
      <c r="A510" s="4"/>
      <c r="B510" s="5" t="s">
        <v>482</v>
      </c>
      <c r="C510" s="5"/>
      <c r="D510" s="5"/>
      <c r="E510" s="5"/>
      <c r="F510" s="5"/>
      <c r="G510" s="5"/>
      <c r="H510" s="5"/>
      <c r="I510" s="5"/>
      <c r="J510" s="5"/>
      <c r="K510" s="5"/>
      <c r="L510" s="6"/>
    </row>
    <row r="511" spans="1:12" ht="12.75">
      <c r="A511" s="4"/>
      <c r="B511" s="5" t="s">
        <v>384</v>
      </c>
      <c r="C511" s="5"/>
      <c r="D511" s="5"/>
      <c r="E511" s="5"/>
      <c r="F511" s="5"/>
      <c r="G511" s="5"/>
      <c r="H511" s="5"/>
      <c r="I511" s="5"/>
      <c r="J511" s="5"/>
      <c r="K511" s="5"/>
      <c r="L511" s="6"/>
    </row>
    <row r="512" spans="1:12" ht="12.75">
      <c r="A512" s="4"/>
      <c r="B512" s="5" t="s">
        <v>385</v>
      </c>
      <c r="C512" s="5"/>
      <c r="D512" s="5"/>
      <c r="E512" s="5"/>
      <c r="F512" s="5"/>
      <c r="G512" s="5"/>
      <c r="H512" s="5"/>
      <c r="I512" s="5"/>
      <c r="J512" s="5"/>
      <c r="K512" s="5"/>
      <c r="L512" s="6"/>
    </row>
    <row r="513" spans="1:12" ht="12.75">
      <c r="A513" s="4"/>
      <c r="B513" s="5" t="s">
        <v>386</v>
      </c>
      <c r="C513" s="5"/>
      <c r="D513" s="5"/>
      <c r="E513" s="5"/>
      <c r="F513" s="5"/>
      <c r="G513" s="5"/>
      <c r="H513" s="5"/>
      <c r="I513" s="5"/>
      <c r="J513" s="5"/>
      <c r="K513" s="5"/>
      <c r="L513" s="6"/>
    </row>
    <row r="514" spans="1:12" ht="12.75">
      <c r="A514" s="4"/>
      <c r="B514" s="5" t="s">
        <v>288</v>
      </c>
      <c r="C514" s="5"/>
      <c r="D514" s="5"/>
      <c r="E514" s="5"/>
      <c r="F514" s="5"/>
      <c r="G514" s="5"/>
      <c r="H514" s="5"/>
      <c r="I514" s="5"/>
      <c r="J514" s="5"/>
      <c r="K514" s="5"/>
      <c r="L514" s="6"/>
    </row>
    <row r="515" spans="1:12" ht="12.75">
      <c r="A515" s="4"/>
      <c r="B515" s="5"/>
      <c r="C515" s="5"/>
      <c r="D515" s="5"/>
      <c r="E515" s="5"/>
      <c r="F515" s="5"/>
      <c r="G515" s="5"/>
      <c r="H515" s="5"/>
      <c r="I515" s="5"/>
      <c r="J515" s="5"/>
      <c r="K515" s="5"/>
      <c r="L515" s="6"/>
    </row>
    <row r="516" spans="1:12" ht="12.75">
      <c r="A516" s="4"/>
      <c r="B516" s="20" t="s">
        <v>289</v>
      </c>
      <c r="C516" s="5"/>
      <c r="D516" s="388">
        <f>C374</f>
        <v>21.311213646406998</v>
      </c>
      <c r="E516" s="5" t="s">
        <v>1233</v>
      </c>
      <c r="F516" s="5"/>
      <c r="G516" s="5" t="s">
        <v>290</v>
      </c>
      <c r="H516" s="5"/>
      <c r="I516" s="92">
        <f>COS(RADIANS(D516))</f>
        <v>0.9316201160089929</v>
      </c>
      <c r="J516" s="92">
        <f>SIN(RADIANS(D516))</f>
        <v>0.3634335695108401</v>
      </c>
      <c r="K516" s="92">
        <v>0</v>
      </c>
      <c r="L516" s="6"/>
    </row>
    <row r="517" spans="1:12" ht="12.75">
      <c r="A517" s="4"/>
      <c r="B517" s="5"/>
      <c r="C517" s="5"/>
      <c r="D517" s="5"/>
      <c r="E517" s="5"/>
      <c r="F517" s="5"/>
      <c r="G517" s="5"/>
      <c r="H517" s="5"/>
      <c r="I517" s="92">
        <f>-SIN(RADIANS(D516))</f>
        <v>-0.3634335695108401</v>
      </c>
      <c r="J517" s="92">
        <f>COS(RADIANS(D516))</f>
        <v>0.9316201160089929</v>
      </c>
      <c r="K517" s="92">
        <v>0</v>
      </c>
      <c r="L517" s="6"/>
    </row>
    <row r="518" spans="1:12" ht="12.75">
      <c r="A518" s="4"/>
      <c r="B518" s="131"/>
      <c r="C518" s="5"/>
      <c r="D518" s="5"/>
      <c r="E518" s="5"/>
      <c r="F518" s="5"/>
      <c r="G518" s="5"/>
      <c r="H518" s="5"/>
      <c r="I518" s="92">
        <v>0</v>
      </c>
      <c r="J518" s="92">
        <v>0</v>
      </c>
      <c r="K518" s="92">
        <v>1</v>
      </c>
      <c r="L518" s="6"/>
    </row>
    <row r="519" spans="1:12" ht="12.75">
      <c r="A519" s="4"/>
      <c r="B519" s="5"/>
      <c r="C519" s="5"/>
      <c r="D519" s="5"/>
      <c r="E519" s="5"/>
      <c r="F519" s="5"/>
      <c r="G519" s="5"/>
      <c r="H519" s="5"/>
      <c r="I519" s="5"/>
      <c r="J519" s="5"/>
      <c r="K519" s="5"/>
      <c r="L519" s="6"/>
    </row>
    <row r="520" spans="1:12" ht="13.5" thickBot="1">
      <c r="A520" s="7"/>
      <c r="B520" s="8"/>
      <c r="C520" s="8"/>
      <c r="D520" s="8"/>
      <c r="E520" s="8"/>
      <c r="F520" s="8"/>
      <c r="G520" s="8"/>
      <c r="H520" s="8"/>
      <c r="I520" s="8"/>
      <c r="J520" s="8"/>
      <c r="K520" s="8"/>
      <c r="L520" s="9"/>
    </row>
    <row r="521" ht="13.5" thickBot="1"/>
    <row r="522" spans="1:12" ht="12.75">
      <c r="A522" s="1"/>
      <c r="B522" s="2"/>
      <c r="C522" s="2"/>
      <c r="D522" s="2"/>
      <c r="E522" s="2"/>
      <c r="F522" s="2"/>
      <c r="G522" s="2"/>
      <c r="H522" s="2"/>
      <c r="I522" s="2"/>
      <c r="J522" s="2"/>
      <c r="K522" s="2"/>
      <c r="L522" s="3"/>
    </row>
    <row r="523" spans="1:12" ht="12.75">
      <c r="A523" s="4" t="s">
        <v>1398</v>
      </c>
      <c r="B523" s="5"/>
      <c r="C523" s="5"/>
      <c r="D523" s="5"/>
      <c r="E523" s="5"/>
      <c r="F523" s="5"/>
      <c r="G523" s="5"/>
      <c r="H523" s="5"/>
      <c r="I523" s="5"/>
      <c r="J523" s="5"/>
      <c r="K523" s="5"/>
      <c r="L523" s="6"/>
    </row>
    <row r="524" spans="1:12" ht="12.75">
      <c r="A524" s="4"/>
      <c r="B524" s="5"/>
      <c r="C524" s="5"/>
      <c r="D524" s="5"/>
      <c r="E524" s="5"/>
      <c r="F524" s="5"/>
      <c r="G524" s="5"/>
      <c r="H524" s="5"/>
      <c r="I524" s="5"/>
      <c r="J524" s="5"/>
      <c r="K524" s="5"/>
      <c r="L524" s="6"/>
    </row>
    <row r="525" spans="1:12" ht="12.75">
      <c r="A525" s="4"/>
      <c r="B525" s="5" t="s">
        <v>1651</v>
      </c>
      <c r="C525" s="5"/>
      <c r="D525" s="5"/>
      <c r="E525" s="5"/>
      <c r="F525" s="5"/>
      <c r="G525" s="5"/>
      <c r="H525" s="5"/>
      <c r="I525" s="5"/>
      <c r="J525" s="5"/>
      <c r="K525" s="5"/>
      <c r="L525" s="6"/>
    </row>
    <row r="526" spans="1:12" ht="12.75">
      <c r="A526" s="4"/>
      <c r="B526" s="5"/>
      <c r="C526" s="5"/>
      <c r="D526" s="5"/>
      <c r="E526" s="5"/>
      <c r="F526" s="5"/>
      <c r="G526" s="5"/>
      <c r="H526" s="5"/>
      <c r="I526" s="5"/>
      <c r="J526" s="5"/>
      <c r="K526" s="5"/>
      <c r="L526" s="6"/>
    </row>
    <row r="527" spans="1:12" ht="12.75">
      <c r="A527" s="4"/>
      <c r="B527" s="5"/>
      <c r="C527" s="5"/>
      <c r="D527" s="5"/>
      <c r="E527" s="5"/>
      <c r="F527" s="5"/>
      <c r="G527" s="5"/>
      <c r="H527" s="5"/>
      <c r="I527" s="5"/>
      <c r="J527" s="5"/>
      <c r="K527" s="5"/>
      <c r="L527" s="6"/>
    </row>
    <row r="528" spans="1:12" ht="12.75">
      <c r="A528" s="4"/>
      <c r="B528" s="5"/>
      <c r="C528" s="5" t="s">
        <v>1399</v>
      </c>
      <c r="D528" s="5"/>
      <c r="E528" s="5"/>
      <c r="F528" s="5"/>
      <c r="G528" s="5" t="s">
        <v>1400</v>
      </c>
      <c r="H528" s="5"/>
      <c r="I528" s="5"/>
      <c r="J528" s="5"/>
      <c r="K528" s="5"/>
      <c r="L528" s="6"/>
    </row>
    <row r="529" spans="1:12" ht="12.75">
      <c r="A529" s="4"/>
      <c r="B529" s="5"/>
      <c r="C529" s="91">
        <f aca="true" t="shared" si="2" ref="C529:E531">I516</f>
        <v>0.9316201160089929</v>
      </c>
      <c r="D529" s="91">
        <f t="shared" si="2"/>
        <v>0.3634335695108401</v>
      </c>
      <c r="E529" s="91">
        <f t="shared" si="2"/>
        <v>0</v>
      </c>
      <c r="F529" s="5"/>
      <c r="G529" s="90">
        <f aca="true" t="shared" si="3" ref="G529:I531">C487</f>
        <v>0.9546048640208002</v>
      </c>
      <c r="H529" s="90">
        <f t="shared" si="3"/>
        <v>0</v>
      </c>
      <c r="I529" s="90">
        <f t="shared" si="3"/>
        <v>0.29787506372274514</v>
      </c>
      <c r="J529" s="5"/>
      <c r="K529" s="5"/>
      <c r="L529" s="6"/>
    </row>
    <row r="530" spans="1:12" ht="12.75">
      <c r="A530" s="4"/>
      <c r="B530" s="5"/>
      <c r="C530" s="91">
        <f t="shared" si="2"/>
        <v>-0.3634335695108401</v>
      </c>
      <c r="D530" s="91">
        <f t="shared" si="2"/>
        <v>0.9316201160089929</v>
      </c>
      <c r="E530" s="91">
        <f t="shared" si="2"/>
        <v>0</v>
      </c>
      <c r="F530" s="5" t="s">
        <v>789</v>
      </c>
      <c r="G530" s="90">
        <f t="shared" si="3"/>
        <v>0</v>
      </c>
      <c r="H530" s="90">
        <f t="shared" si="3"/>
        <v>1</v>
      </c>
      <c r="I530" s="90">
        <f t="shared" si="3"/>
        <v>0</v>
      </c>
      <c r="J530" s="5"/>
      <c r="K530" s="5"/>
      <c r="L530" s="6"/>
    </row>
    <row r="531" spans="1:12" ht="12.75">
      <c r="A531" s="4"/>
      <c r="B531" s="5"/>
      <c r="C531" s="91">
        <f t="shared" si="2"/>
        <v>0</v>
      </c>
      <c r="D531" s="91">
        <f t="shared" si="2"/>
        <v>0</v>
      </c>
      <c r="E531" s="91">
        <f t="shared" si="2"/>
        <v>1</v>
      </c>
      <c r="F531" s="5"/>
      <c r="G531" s="90">
        <f t="shared" si="3"/>
        <v>-0.29787506372274514</v>
      </c>
      <c r="H531" s="90">
        <f t="shared" si="3"/>
        <v>0</v>
      </c>
      <c r="I531" s="90">
        <f t="shared" si="3"/>
        <v>0.9546048640208002</v>
      </c>
      <c r="J531" s="5"/>
      <c r="K531" s="5"/>
      <c r="L531" s="6"/>
    </row>
    <row r="532" spans="1:12" ht="12.75">
      <c r="A532" s="4"/>
      <c r="B532" s="5"/>
      <c r="C532" s="5"/>
      <c r="D532" s="5"/>
      <c r="E532" s="5"/>
      <c r="F532" s="5"/>
      <c r="G532" s="5"/>
      <c r="H532" s="5"/>
      <c r="I532" s="5"/>
      <c r="J532" s="5"/>
      <c r="K532" s="5"/>
      <c r="L532" s="6"/>
    </row>
    <row r="533" spans="1:12" ht="12.75">
      <c r="A533" s="4"/>
      <c r="B533" s="5"/>
      <c r="C533" s="5"/>
      <c r="D533" s="5"/>
      <c r="E533" s="5"/>
      <c r="F533" s="5"/>
      <c r="G533" s="5"/>
      <c r="H533" s="5"/>
      <c r="I533" s="5"/>
      <c r="J533" s="5"/>
      <c r="K533" s="5"/>
      <c r="L533" s="6"/>
    </row>
    <row r="534" spans="1:12" ht="12.75">
      <c r="A534" s="4"/>
      <c r="B534" s="5"/>
      <c r="C534" s="5"/>
      <c r="D534" s="5"/>
      <c r="E534" s="5"/>
      <c r="F534" s="5"/>
      <c r="G534" s="5"/>
      <c r="H534" s="5"/>
      <c r="I534" s="5"/>
      <c r="J534" s="5"/>
      <c r="K534" s="5"/>
      <c r="L534" s="6"/>
    </row>
    <row r="535" spans="1:12" ht="12.75">
      <c r="A535" s="4"/>
      <c r="B535" s="5"/>
      <c r="C535" s="5"/>
      <c r="D535" s="5"/>
      <c r="E535" s="5"/>
      <c r="F535" s="5"/>
      <c r="G535" s="5"/>
      <c r="H535" s="5"/>
      <c r="I535" s="5"/>
      <c r="J535" s="5"/>
      <c r="K535" s="5"/>
      <c r="L535" s="6"/>
    </row>
    <row r="536" spans="1:12" ht="12.75">
      <c r="A536" s="4"/>
      <c r="B536" s="5"/>
      <c r="C536" s="5"/>
      <c r="D536" s="5"/>
      <c r="E536" s="15" t="s">
        <v>520</v>
      </c>
      <c r="F536" s="15"/>
      <c r="G536" s="15"/>
      <c r="H536" s="5"/>
      <c r="I536" s="5"/>
      <c r="J536" s="5"/>
      <c r="K536" s="5"/>
      <c r="L536" s="6"/>
    </row>
    <row r="537" spans="1:12" ht="12.75">
      <c r="A537" s="4"/>
      <c r="B537" s="5"/>
      <c r="C537" s="5"/>
      <c r="D537" s="5"/>
      <c r="E537" s="169">
        <f aca="true" t="shared" si="4" ref="E537:G539">$C529*G$529+$D529*G$530+$E529*G$531</f>
        <v>0.8893290941618068</v>
      </c>
      <c r="F537" s="169">
        <f t="shared" si="4"/>
        <v>0.3634335695108401</v>
      </c>
      <c r="G537" s="169">
        <f t="shared" si="4"/>
        <v>0.27750640142156996</v>
      </c>
      <c r="H537" s="5"/>
      <c r="I537" s="5"/>
      <c r="J537" s="5"/>
      <c r="K537" s="5"/>
      <c r="L537" s="6"/>
    </row>
    <row r="538" spans="1:12" ht="12.75">
      <c r="A538" s="4"/>
      <c r="B538" s="5"/>
      <c r="C538" s="5"/>
      <c r="D538" s="5"/>
      <c r="E538" s="169">
        <f t="shared" si="4"/>
        <v>-0.34693545320348956</v>
      </c>
      <c r="F538" s="169">
        <f t="shared" si="4"/>
        <v>0.9316201160089929</v>
      </c>
      <c r="G538" s="169">
        <f t="shared" si="4"/>
        <v>-0.10825779767702622</v>
      </c>
      <c r="H538" s="5"/>
      <c r="I538" s="5"/>
      <c r="J538" s="5"/>
      <c r="K538" s="5"/>
      <c r="L538" s="6"/>
    </row>
    <row r="539" spans="1:12" ht="12.75">
      <c r="A539" s="4"/>
      <c r="B539" s="5"/>
      <c r="C539" s="5"/>
      <c r="D539" s="5"/>
      <c r="E539" s="169">
        <f t="shared" si="4"/>
        <v>-0.29787506372274514</v>
      </c>
      <c r="F539" s="169">
        <f t="shared" si="4"/>
        <v>0</v>
      </c>
      <c r="G539" s="169">
        <f t="shared" si="4"/>
        <v>0.9546048640208002</v>
      </c>
      <c r="H539" s="5"/>
      <c r="I539" s="5"/>
      <c r="J539" s="5"/>
      <c r="K539" s="5"/>
      <c r="L539" s="6"/>
    </row>
    <row r="540" spans="1:12" ht="12.75">
      <c r="A540" s="4"/>
      <c r="B540" s="5"/>
      <c r="C540" s="5"/>
      <c r="D540" s="5"/>
      <c r="E540" s="5"/>
      <c r="F540" s="5"/>
      <c r="G540" s="5"/>
      <c r="H540" s="5"/>
      <c r="I540" s="5"/>
      <c r="J540" s="5"/>
      <c r="K540" s="5"/>
      <c r="L540" s="6"/>
    </row>
    <row r="541" spans="1:12" ht="12.75">
      <c r="A541" s="4"/>
      <c r="B541" s="5"/>
      <c r="C541" s="5"/>
      <c r="D541" s="5"/>
      <c r="E541" s="5"/>
      <c r="F541" s="5"/>
      <c r="G541" s="5"/>
      <c r="H541" s="5"/>
      <c r="I541" s="5"/>
      <c r="J541" s="5"/>
      <c r="K541" s="5"/>
      <c r="L541" s="6"/>
    </row>
    <row r="542" spans="1:12" ht="12.75">
      <c r="A542" s="4"/>
      <c r="B542" s="5"/>
      <c r="C542" s="5"/>
      <c r="D542" s="5"/>
      <c r="E542" s="5"/>
      <c r="F542" s="5"/>
      <c r="G542" s="5"/>
      <c r="H542" s="5"/>
      <c r="I542" s="5"/>
      <c r="J542" s="5"/>
      <c r="K542" s="5"/>
      <c r="L542" s="6"/>
    </row>
    <row r="543" spans="1:12" ht="12.75">
      <c r="A543" s="4"/>
      <c r="B543" s="5"/>
      <c r="C543" s="5"/>
      <c r="D543" s="5"/>
      <c r="E543" s="5"/>
      <c r="F543" s="5"/>
      <c r="G543" s="5"/>
      <c r="H543" s="5"/>
      <c r="I543" s="5"/>
      <c r="J543" s="5"/>
      <c r="K543" s="5"/>
      <c r="L543" s="6"/>
    </row>
    <row r="544" spans="1:12" ht="12.75">
      <c r="A544" s="4"/>
      <c r="B544" s="5"/>
      <c r="C544" s="5"/>
      <c r="D544" s="5"/>
      <c r="E544" s="5"/>
      <c r="F544" s="5"/>
      <c r="G544" s="5"/>
      <c r="H544" s="5"/>
      <c r="I544" s="5"/>
      <c r="J544" s="5"/>
      <c r="K544" s="5"/>
      <c r="L544" s="6"/>
    </row>
    <row r="545" spans="1:12" ht="13.5" thickBot="1">
      <c r="A545" s="7"/>
      <c r="B545" s="8"/>
      <c r="C545" s="8"/>
      <c r="D545" s="8"/>
      <c r="E545" s="8"/>
      <c r="F545" s="8"/>
      <c r="G545" s="8"/>
      <c r="H545" s="8"/>
      <c r="I545" s="8"/>
      <c r="J545" s="8"/>
      <c r="K545" s="8"/>
      <c r="L545" s="9"/>
    </row>
    <row r="551" spans="1:4" ht="15.75">
      <c r="A551" s="225" t="s">
        <v>655</v>
      </c>
      <c r="B551" s="226"/>
      <c r="C551" s="226"/>
      <c r="D551" s="226"/>
    </row>
    <row r="552" ht="13.5" thickBot="1"/>
    <row r="553" spans="2:4" ht="15.75">
      <c r="B553" s="219" t="s">
        <v>656</v>
      </c>
      <c r="C553" s="219" t="s">
        <v>657</v>
      </c>
      <c r="D553" s="223" t="s">
        <v>656</v>
      </c>
    </row>
    <row r="554" spans="2:4" ht="16.5" thickBot="1">
      <c r="B554" s="220" t="s">
        <v>658</v>
      </c>
      <c r="C554" s="228"/>
      <c r="D554" s="224" t="s">
        <v>659</v>
      </c>
    </row>
    <row r="555" spans="2:4" ht="16.5" thickBot="1">
      <c r="B555" s="230">
        <v>1</v>
      </c>
      <c r="C555" s="288" t="str">
        <f>IF(H150="None","None","Error")</f>
        <v>None</v>
      </c>
      <c r="D555" s="239">
        <f>IF(C555="None",0,1)</f>
        <v>0</v>
      </c>
    </row>
    <row r="556" spans="2:4" ht="16.5" thickBot="1">
      <c r="B556" s="230">
        <v>2</v>
      </c>
      <c r="C556" s="288" t="str">
        <f>IF(H200="None","None","Error")</f>
        <v>None</v>
      </c>
      <c r="D556" s="239">
        <f>IF(C556="None",0,1)</f>
        <v>0</v>
      </c>
    </row>
    <row r="557" spans="2:4" ht="16.5" thickBot="1">
      <c r="B557" s="230">
        <v>3</v>
      </c>
      <c r="C557" s="288" t="str">
        <f>IF(G216="None","None","Error")</f>
        <v>None</v>
      </c>
      <c r="D557" s="239">
        <f>IF(C557="None",0,1)</f>
        <v>0</v>
      </c>
    </row>
    <row r="558" ht="13.5" thickBot="1"/>
    <row r="559" spans="2:4" ht="16.5" thickBot="1">
      <c r="B559" s="234" t="s">
        <v>660</v>
      </c>
      <c r="C559" s="235"/>
      <c r="D559" s="236">
        <f>SUM(D555:D557)</f>
        <v>0</v>
      </c>
    </row>
  </sheetData>
  <sheetProtection password="CFF3" sheet="1" objects="1" scenarios="1"/>
  <mergeCells count="1">
    <mergeCell ref="E269:F269"/>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6"/>
  <dimension ref="A1:M252"/>
  <sheetViews>
    <sheetView workbookViewId="0" topLeftCell="A1">
      <selection activeCell="A1" sqref="A1"/>
    </sheetView>
  </sheetViews>
  <sheetFormatPr defaultColWidth="9.00390625" defaultRowHeight="12.75"/>
  <cols>
    <col min="1" max="1" width="4.25390625" style="0" customWidth="1"/>
    <col min="2" max="2" width="11.375" style="0" customWidth="1"/>
    <col min="3" max="3" width="13.00390625" style="0" customWidth="1"/>
    <col min="4" max="4" width="11.375" style="0" customWidth="1"/>
    <col min="5" max="5" width="11.75390625" style="0" customWidth="1"/>
    <col min="6" max="6" width="12.25390625" style="0" customWidth="1"/>
    <col min="7" max="7" width="14.875" style="0" customWidth="1"/>
    <col min="8" max="8" width="11.875" style="0" customWidth="1"/>
    <col min="9" max="9" width="11.375" style="0" customWidth="1"/>
    <col min="10" max="10" width="12.625" style="0" customWidth="1"/>
    <col min="11" max="11" width="14.375" style="0" customWidth="1"/>
    <col min="12" max="12" width="11.375" style="0" customWidth="1"/>
    <col min="13" max="13" width="16.375" style="0" bestFit="1" customWidth="1"/>
    <col min="14" max="16384" width="11.375" style="0" customWidth="1"/>
  </cols>
  <sheetData>
    <row r="1" spans="1:12" ht="23.25">
      <c r="A1" s="458" t="s">
        <v>343</v>
      </c>
      <c r="B1" s="298"/>
      <c r="C1" s="298"/>
      <c r="D1" s="298"/>
      <c r="E1" s="298"/>
      <c r="F1" s="298"/>
      <c r="G1" s="298"/>
      <c r="H1" s="298"/>
      <c r="I1" s="298"/>
      <c r="J1" s="298"/>
      <c r="K1" s="298"/>
      <c r="L1" s="298"/>
    </row>
    <row r="2" spans="1:10" ht="15" customHeight="1">
      <c r="A2" s="472"/>
      <c r="B2" s="202"/>
      <c r="C2" s="202"/>
      <c r="D2" s="202"/>
      <c r="E2" s="202"/>
      <c r="F2" s="202"/>
      <c r="G2" s="202"/>
      <c r="H2" s="202"/>
      <c r="I2" s="202"/>
      <c r="J2" s="202"/>
    </row>
    <row r="3" spans="1:12" ht="21" customHeight="1">
      <c r="A3" s="491" t="s">
        <v>950</v>
      </c>
      <c r="B3" s="298"/>
      <c r="C3" s="298"/>
      <c r="D3" s="298"/>
      <c r="E3" s="298"/>
      <c r="F3" s="298"/>
      <c r="G3" s="298"/>
      <c r="H3" s="298"/>
      <c r="I3" s="298"/>
      <c r="J3" s="298"/>
      <c r="K3" s="298"/>
      <c r="L3" s="298"/>
    </row>
    <row r="4" spans="1:12" ht="18.75" customHeight="1">
      <c r="A4" s="492" t="s">
        <v>947</v>
      </c>
      <c r="B4" s="298"/>
      <c r="C4" s="298"/>
      <c r="D4" s="298"/>
      <c r="E4" s="298"/>
      <c r="F4" s="298"/>
      <c r="G4" s="298"/>
      <c r="H4" s="298"/>
      <c r="I4" s="298"/>
      <c r="J4" s="298"/>
      <c r="K4" s="298"/>
      <c r="L4" s="298"/>
    </row>
    <row r="5" spans="1:12" ht="15" customHeight="1">
      <c r="A5" s="458"/>
      <c r="B5" s="298"/>
      <c r="C5" s="298"/>
      <c r="D5" s="298"/>
      <c r="E5" s="298"/>
      <c r="F5" s="298"/>
      <c r="G5" s="298"/>
      <c r="H5" s="298"/>
      <c r="I5" s="298"/>
      <c r="J5" s="298"/>
      <c r="K5" s="298"/>
      <c r="L5" s="298"/>
    </row>
    <row r="6" spans="1:10" ht="15" customHeight="1">
      <c r="A6" s="472"/>
      <c r="B6" s="202"/>
      <c r="C6" s="202"/>
      <c r="D6" s="202"/>
      <c r="E6" s="202"/>
      <c r="F6" s="202"/>
      <c r="G6" s="202"/>
      <c r="H6" s="202"/>
      <c r="I6" s="202"/>
      <c r="J6" s="202"/>
    </row>
    <row r="7" ht="18">
      <c r="A7" s="12" t="s">
        <v>200</v>
      </c>
    </row>
    <row r="8" ht="18">
      <c r="A8" s="12" t="s">
        <v>1515</v>
      </c>
    </row>
    <row r="9" ht="18">
      <c r="A9" s="12" t="s">
        <v>1698</v>
      </c>
    </row>
    <row r="10" ht="13.5" customHeight="1">
      <c r="A10" s="12"/>
    </row>
    <row r="11" spans="2:8" ht="13.5" customHeight="1" thickBot="1">
      <c r="B11" s="5"/>
      <c r="C11" s="46"/>
      <c r="D11" s="16"/>
      <c r="E11" s="113"/>
      <c r="F11" s="52"/>
      <c r="G11" s="142"/>
      <c r="H11" s="46"/>
    </row>
    <row r="12" spans="1:12" ht="13.5" customHeight="1">
      <c r="A12" s="1"/>
      <c r="B12" s="2"/>
      <c r="C12" s="149"/>
      <c r="D12" s="179"/>
      <c r="E12" s="180"/>
      <c r="F12" s="151"/>
      <c r="G12" s="181"/>
      <c r="H12" s="149"/>
      <c r="I12" s="2"/>
      <c r="J12" s="2"/>
      <c r="K12" s="2"/>
      <c r="L12" s="3"/>
    </row>
    <row r="13" spans="1:12" ht="18">
      <c r="A13" s="13" t="s">
        <v>705</v>
      </c>
      <c r="B13" s="5"/>
      <c r="C13" s="46"/>
      <c r="D13" s="16"/>
      <c r="E13" s="113"/>
      <c r="F13" s="52"/>
      <c r="G13" s="142"/>
      <c r="H13" s="46"/>
      <c r="I13" s="5"/>
      <c r="J13" s="5"/>
      <c r="K13" s="5"/>
      <c r="L13" s="6"/>
    </row>
    <row r="14" spans="1:12" ht="18">
      <c r="A14" s="13" t="s">
        <v>1758</v>
      </c>
      <c r="B14" s="5"/>
      <c r="C14" s="46"/>
      <c r="D14" s="16"/>
      <c r="E14" s="113"/>
      <c r="F14" s="52"/>
      <c r="G14" s="142"/>
      <c r="H14" s="46"/>
      <c r="I14" s="5"/>
      <c r="J14" s="5"/>
      <c r="K14" s="5"/>
      <c r="L14" s="6"/>
    </row>
    <row r="15" spans="1:12" ht="13.5" customHeight="1">
      <c r="A15" s="13"/>
      <c r="B15" s="5"/>
      <c r="C15" s="46"/>
      <c r="D15" s="16"/>
      <c r="E15" s="113"/>
      <c r="F15" s="52"/>
      <c r="G15" s="142"/>
      <c r="H15" s="46"/>
      <c r="I15" s="5"/>
      <c r="J15" s="5"/>
      <c r="K15" s="5"/>
      <c r="L15" s="6"/>
    </row>
    <row r="16" spans="1:12" ht="13.5" customHeight="1">
      <c r="A16" s="13"/>
      <c r="B16" s="5"/>
      <c r="C16" s="46" t="s">
        <v>304</v>
      </c>
      <c r="D16" s="16"/>
      <c r="E16" s="113"/>
      <c r="F16" s="161">
        <f>AUX_PT!E537</f>
        <v>0.8893290941618068</v>
      </c>
      <c r="G16" s="161">
        <f>AUX_PT!F537</f>
        <v>0.3634335695108401</v>
      </c>
      <c r="H16" s="161">
        <f>AUX_PT!G537</f>
        <v>0.27750640142156996</v>
      </c>
      <c r="I16" s="5"/>
      <c r="J16" s="5"/>
      <c r="K16" s="5"/>
      <c r="L16" s="6"/>
    </row>
    <row r="17" spans="1:12" ht="13.5" customHeight="1">
      <c r="A17" s="13"/>
      <c r="B17" s="5"/>
      <c r="C17" s="46" t="s">
        <v>1331</v>
      </c>
      <c r="D17" s="16"/>
      <c r="E17" s="113"/>
      <c r="F17" s="161">
        <f>AUX_PT!E538</f>
        <v>-0.34693545320348956</v>
      </c>
      <c r="G17" s="161">
        <f>AUX_PT!F538</f>
        <v>0.9316201160089929</v>
      </c>
      <c r="H17" s="161">
        <f>AUX_PT!G538</f>
        <v>-0.10825779767702622</v>
      </c>
      <c r="I17" s="5"/>
      <c r="J17" s="5"/>
      <c r="K17" s="5"/>
      <c r="L17" s="6"/>
    </row>
    <row r="18" spans="1:12" ht="13.5" customHeight="1">
      <c r="A18" s="13"/>
      <c r="B18" s="5"/>
      <c r="C18" s="46" t="s">
        <v>752</v>
      </c>
      <c r="D18" s="16"/>
      <c r="E18" s="113"/>
      <c r="F18" s="161">
        <f>AUX_PT!E539</f>
        <v>-0.29787506372274514</v>
      </c>
      <c r="G18" s="161">
        <f>AUX_PT!F539</f>
        <v>0</v>
      </c>
      <c r="H18" s="161">
        <f>AUX_PT!G539</f>
        <v>0.9546048640208002</v>
      </c>
      <c r="I18" s="5"/>
      <c r="J18" s="5"/>
      <c r="K18" s="5"/>
      <c r="L18" s="6"/>
    </row>
    <row r="19" spans="1:12" ht="13.5" customHeight="1">
      <c r="A19" s="13"/>
      <c r="B19" s="5"/>
      <c r="C19" s="46"/>
      <c r="D19" s="16"/>
      <c r="E19" s="113"/>
      <c r="F19" s="399"/>
      <c r="G19" s="399"/>
      <c r="H19" s="399"/>
      <c r="I19" s="5"/>
      <c r="J19" s="5"/>
      <c r="K19" s="5"/>
      <c r="L19" s="6"/>
    </row>
    <row r="20" spans="1:12" ht="13.5" customHeight="1" thickBot="1">
      <c r="A20" s="13"/>
      <c r="B20" s="5"/>
      <c r="C20" s="46"/>
      <c r="D20" s="16"/>
      <c r="E20" s="113"/>
      <c r="F20" s="123"/>
      <c r="G20" s="429" t="s">
        <v>753</v>
      </c>
      <c r="H20" s="123"/>
      <c r="I20" s="5"/>
      <c r="J20" s="5"/>
      <c r="K20" s="5"/>
      <c r="L20" s="6"/>
    </row>
    <row r="21" spans="1:12" ht="15.75" customHeight="1" thickBot="1">
      <c r="A21" s="13"/>
      <c r="B21" s="5"/>
      <c r="C21" s="46"/>
      <c r="D21" s="16"/>
      <c r="E21" s="113"/>
      <c r="F21" s="123"/>
      <c r="G21" s="400" t="s">
        <v>324</v>
      </c>
      <c r="H21" s="401"/>
      <c r="I21" s="401"/>
      <c r="J21" s="402"/>
      <c r="K21" s="5"/>
      <c r="L21" s="6"/>
    </row>
    <row r="22" spans="1:12" ht="15.75" customHeight="1" thickBot="1">
      <c r="A22" s="13"/>
      <c r="B22" s="5"/>
      <c r="C22" s="46"/>
      <c r="D22" s="16"/>
      <c r="G22" s="765" t="str">
        <f>IF(AND(F16&lt;&gt;"#REF",G16&lt;&gt;"#REF",H16&lt;&gt;"#REF",F17&lt;&gt;"#REF",G17&lt;&gt;"#REF",H17&lt;&gt;"#REF",F18&lt;&gt;"#REF",G18&lt;&gt;"#REF",H18&lt;&gt;"#REF"),"None","ERROR - Not Referencing Composite Rotation Matrix")</f>
        <v>None</v>
      </c>
      <c r="H22" s="766"/>
      <c r="I22" s="766"/>
      <c r="J22" s="767"/>
      <c r="K22" s="5"/>
      <c r="L22" s="6"/>
    </row>
    <row r="23" spans="1:12" ht="16.5" customHeight="1" thickBot="1">
      <c r="A23" s="13"/>
      <c r="B23" s="5"/>
      <c r="C23" s="46"/>
      <c r="D23" s="16"/>
      <c r="E23" s="113"/>
      <c r="F23" s="123"/>
      <c r="G23" s="765" t="str">
        <f>IF(AND(F16&lt;&gt;"",G16&lt;&gt;"",H16&lt;&gt;"",F17&lt;&gt;"",G17&lt;&gt;"",H17&lt;&gt;"",F18&lt;&gt;"",G18&lt;&gt;"",H18&lt;&gt;""),"None","ERROR - Not Referencing Composite Rotation Matrix")</f>
        <v>None</v>
      </c>
      <c r="H23" s="766"/>
      <c r="I23" s="766"/>
      <c r="J23" s="767"/>
      <c r="K23" s="5"/>
      <c r="L23" s="6"/>
    </row>
    <row r="24" spans="1:12" ht="13.5" customHeight="1">
      <c r="A24" s="13"/>
      <c r="B24" s="5"/>
      <c r="C24" s="46"/>
      <c r="D24" s="16"/>
      <c r="E24" s="113"/>
      <c r="F24" s="123"/>
      <c r="G24" s="123"/>
      <c r="H24" s="123"/>
      <c r="I24" s="5"/>
      <c r="J24" s="5"/>
      <c r="K24" s="5"/>
      <c r="L24" s="6"/>
    </row>
    <row r="25" spans="1:12" s="60" customFormat="1" ht="13.5" customHeight="1">
      <c r="A25" s="393"/>
      <c r="B25" s="392"/>
      <c r="C25" s="392"/>
      <c r="D25" s="16" t="s">
        <v>321</v>
      </c>
      <c r="E25" s="394"/>
      <c r="F25" s="395"/>
      <c r="G25" s="395"/>
      <c r="H25" s="395"/>
      <c r="I25" s="392"/>
      <c r="J25" s="392"/>
      <c r="K25" s="392"/>
      <c r="L25" s="396"/>
    </row>
    <row r="26" spans="1:12" s="60" customFormat="1" ht="13.5" customHeight="1">
      <c r="A26" s="393"/>
      <c r="B26" s="392"/>
      <c r="C26" s="392"/>
      <c r="D26" s="392" t="s">
        <v>1332</v>
      </c>
      <c r="E26" s="394"/>
      <c r="F26" s="395"/>
      <c r="G26" s="395"/>
      <c r="H26" s="395"/>
      <c r="I26" s="392"/>
      <c r="J26" s="392"/>
      <c r="K26" s="392"/>
      <c r="L26" s="396"/>
    </row>
    <row r="27" spans="1:12" s="60" customFormat="1" ht="13.5" customHeight="1">
      <c r="A27" s="393"/>
      <c r="B27" s="392"/>
      <c r="C27" s="392"/>
      <c r="D27" s="392" t="s">
        <v>1045</v>
      </c>
      <c r="E27" s="394"/>
      <c r="F27" s="395"/>
      <c r="G27" s="395"/>
      <c r="H27" s="395"/>
      <c r="I27" s="392"/>
      <c r="J27" s="392"/>
      <c r="K27" s="392"/>
      <c r="L27" s="396"/>
    </row>
    <row r="28" spans="1:12" s="60" customFormat="1" ht="13.5" customHeight="1">
      <c r="A28" s="393"/>
      <c r="B28" s="392"/>
      <c r="C28" s="392"/>
      <c r="D28" s="392" t="s">
        <v>323</v>
      </c>
      <c r="E28" s="394"/>
      <c r="F28" s="395"/>
      <c r="G28" s="395"/>
      <c r="H28" s="395"/>
      <c r="I28" s="392"/>
      <c r="J28" s="392"/>
      <c r="K28" s="392"/>
      <c r="L28" s="396"/>
    </row>
    <row r="29" spans="1:12" s="60" customFormat="1" ht="13.5" customHeight="1">
      <c r="A29" s="393"/>
      <c r="B29" s="392"/>
      <c r="C29" s="392"/>
      <c r="D29" s="392" t="s">
        <v>322</v>
      </c>
      <c r="E29" s="394"/>
      <c r="F29" s="395"/>
      <c r="G29" s="395"/>
      <c r="H29" s="395"/>
      <c r="I29" s="392"/>
      <c r="J29" s="392"/>
      <c r="K29" s="392"/>
      <c r="L29" s="396"/>
    </row>
    <row r="30" spans="1:12" s="60" customFormat="1" ht="13.5" customHeight="1">
      <c r="A30" s="393"/>
      <c r="B30" s="392"/>
      <c r="C30" s="392"/>
      <c r="D30" s="392"/>
      <c r="E30" s="394"/>
      <c r="F30" s="397"/>
      <c r="G30" s="398"/>
      <c r="H30" s="392"/>
      <c r="I30" s="392"/>
      <c r="J30" s="392"/>
      <c r="K30" s="392"/>
      <c r="L30" s="396"/>
    </row>
    <row r="31" spans="1:12" ht="13.5" customHeight="1">
      <c r="A31" s="4"/>
      <c r="B31" s="5"/>
      <c r="C31" s="46"/>
      <c r="D31" s="16"/>
      <c r="E31" s="113"/>
      <c r="F31" s="52"/>
      <c r="G31" s="142"/>
      <c r="H31" s="46"/>
      <c r="I31" s="5"/>
      <c r="J31" s="5"/>
      <c r="K31" s="5"/>
      <c r="L31" s="6"/>
    </row>
    <row r="32" spans="1:12" ht="13.5" customHeight="1">
      <c r="A32" s="4"/>
      <c r="B32" s="5" t="s">
        <v>1749</v>
      </c>
      <c r="C32" s="46"/>
      <c r="D32" s="16"/>
      <c r="E32" s="113"/>
      <c r="F32" s="52"/>
      <c r="G32" s="142"/>
      <c r="H32" s="46"/>
      <c r="I32" s="5"/>
      <c r="J32" s="5"/>
      <c r="K32" s="5"/>
      <c r="L32" s="6"/>
    </row>
    <row r="33" spans="1:12" ht="13.5" customHeight="1">
      <c r="A33" s="4"/>
      <c r="B33" s="5" t="s">
        <v>1757</v>
      </c>
      <c r="C33" s="46"/>
      <c r="D33" s="16"/>
      <c r="E33" s="113"/>
      <c r="F33" s="52"/>
      <c r="G33" s="142"/>
      <c r="H33" s="46"/>
      <c r="I33" s="15" t="s">
        <v>240</v>
      </c>
      <c r="J33" s="15"/>
      <c r="K33" s="15"/>
      <c r="L33" s="6"/>
    </row>
    <row r="34" spans="1:12" ht="13.5" customHeight="1">
      <c r="A34" s="4"/>
      <c r="B34" s="5" t="s">
        <v>241</v>
      </c>
      <c r="C34" s="46"/>
      <c r="D34" s="16"/>
      <c r="E34" s="113"/>
      <c r="F34" s="52"/>
      <c r="G34" s="142"/>
      <c r="H34" s="46"/>
      <c r="I34" s="15" t="s">
        <v>326</v>
      </c>
      <c r="J34" s="15"/>
      <c r="K34" s="15"/>
      <c r="L34" s="6"/>
    </row>
    <row r="35" spans="1:12" ht="13.5" customHeight="1">
      <c r="A35" s="4"/>
      <c r="B35" s="5"/>
      <c r="C35" s="46"/>
      <c r="D35" s="16"/>
      <c r="E35" s="113"/>
      <c r="F35" s="52"/>
      <c r="G35" s="142"/>
      <c r="H35" s="46"/>
      <c r="I35" s="26" t="s">
        <v>725</v>
      </c>
      <c r="J35" s="152">
        <f>Rec_Photo!G80</f>
        <v>-0.07446876593068605</v>
      </c>
      <c r="K35" s="52" t="s">
        <v>167</v>
      </c>
      <c r="L35" s="6"/>
    </row>
    <row r="36" spans="1:12" ht="13.5" customHeight="1">
      <c r="A36" s="4"/>
      <c r="B36" s="5" t="s">
        <v>1195</v>
      </c>
      <c r="C36" s="46"/>
      <c r="D36" s="16"/>
      <c r="E36" s="113"/>
      <c r="F36" s="52"/>
      <c r="G36" s="142"/>
      <c r="H36" s="46"/>
      <c r="I36" s="26" t="s">
        <v>812</v>
      </c>
      <c r="J36" s="152">
        <f>Rec_Photo!G81</f>
        <v>9.354615035242412E-17</v>
      </c>
      <c r="K36" s="5" t="s">
        <v>167</v>
      </c>
      <c r="L36" s="6"/>
    </row>
    <row r="37" spans="1:12" ht="13.5" customHeight="1">
      <c r="A37" s="4"/>
      <c r="B37" s="5" t="s">
        <v>64</v>
      </c>
      <c r="C37" s="46"/>
      <c r="D37" s="16"/>
      <c r="E37" s="113"/>
      <c r="F37" s="52"/>
      <c r="G37" s="142"/>
      <c r="H37" s="46"/>
      <c r="I37" s="26" t="s">
        <v>813</v>
      </c>
      <c r="J37" s="152">
        <f>Rec_Photo!G82</f>
        <v>0.23865121600520012</v>
      </c>
      <c r="K37" s="5" t="s">
        <v>167</v>
      </c>
      <c r="L37" s="6"/>
    </row>
    <row r="38" spans="1:12" ht="13.5" customHeight="1">
      <c r="A38" s="4"/>
      <c r="B38" s="5"/>
      <c r="C38" s="46"/>
      <c r="D38" s="16"/>
      <c r="E38" s="113"/>
      <c r="F38" s="52"/>
      <c r="G38" s="142"/>
      <c r="H38" s="46"/>
      <c r="L38" s="6"/>
    </row>
    <row r="39" spans="1:12" ht="13.5" customHeight="1">
      <c r="A39" s="4"/>
      <c r="B39" s="5"/>
      <c r="C39" s="46"/>
      <c r="D39" s="16"/>
      <c r="E39" s="113"/>
      <c r="F39" s="52"/>
      <c r="G39" s="142"/>
      <c r="H39" s="46"/>
      <c r="I39" s="5"/>
      <c r="J39" s="5"/>
      <c r="K39" s="5"/>
      <c r="L39" s="6"/>
    </row>
    <row r="40" spans="1:12" ht="13.5" customHeight="1">
      <c r="A40" s="4"/>
      <c r="B40" s="5" t="s">
        <v>1614</v>
      </c>
      <c r="C40" s="46"/>
      <c r="D40" s="16"/>
      <c r="E40" s="113"/>
      <c r="F40" s="52"/>
      <c r="G40" s="142"/>
      <c r="H40" s="46"/>
      <c r="I40" s="5"/>
      <c r="J40" s="5"/>
      <c r="K40" s="5"/>
      <c r="L40" s="6"/>
    </row>
    <row r="41" spans="1:12" ht="13.5" customHeight="1">
      <c r="A41" s="4"/>
      <c r="B41" s="5"/>
      <c r="C41" s="46"/>
      <c r="D41" s="16"/>
      <c r="E41" s="113"/>
      <c r="F41" s="52"/>
      <c r="G41" s="142"/>
      <c r="H41" s="46"/>
      <c r="I41" s="5"/>
      <c r="J41" s="5"/>
      <c r="K41" s="5"/>
      <c r="L41" s="6"/>
    </row>
    <row r="42" spans="1:12" ht="13.5" customHeight="1">
      <c r="A42" s="4"/>
      <c r="B42" s="5" t="s">
        <v>1615</v>
      </c>
      <c r="C42" s="5"/>
      <c r="D42" s="15" t="s">
        <v>640</v>
      </c>
      <c r="E42" s="15"/>
      <c r="F42" s="15"/>
      <c r="G42" s="5"/>
      <c r="H42" s="5" t="s">
        <v>1616</v>
      </c>
      <c r="I42" s="5"/>
      <c r="J42" s="5" t="s">
        <v>1544</v>
      </c>
      <c r="K42" s="5"/>
      <c r="L42" s="6"/>
    </row>
    <row r="43" spans="1:12" ht="13.5" customHeight="1">
      <c r="A43" s="4"/>
      <c r="B43" s="5"/>
      <c r="C43" s="5"/>
      <c r="D43" s="5"/>
      <c r="E43" s="5"/>
      <c r="F43" s="5"/>
      <c r="G43" s="5"/>
      <c r="H43" s="5"/>
      <c r="I43" s="5"/>
      <c r="J43" s="5"/>
      <c r="K43" s="5"/>
      <c r="L43" s="6"/>
    </row>
    <row r="44" spans="1:12" ht="13.5" customHeight="1">
      <c r="A44" s="4"/>
      <c r="B44" s="104" t="s">
        <v>636</v>
      </c>
      <c r="C44" s="5" t="s">
        <v>167</v>
      </c>
      <c r="D44" s="185">
        <f>F16</f>
        <v>0.8893290941618068</v>
      </c>
      <c r="E44" s="185">
        <f>F17</f>
        <v>-0.34693545320348956</v>
      </c>
      <c r="F44" s="185">
        <f>F18</f>
        <v>-0.29787506372274514</v>
      </c>
      <c r="G44" s="5"/>
      <c r="H44" s="104" t="s">
        <v>637</v>
      </c>
      <c r="I44" s="5" t="s">
        <v>167</v>
      </c>
      <c r="J44" s="167">
        <f>J35</f>
        <v>-0.07446876593068605</v>
      </c>
      <c r="K44" s="5" t="s">
        <v>167</v>
      </c>
      <c r="L44" s="6"/>
    </row>
    <row r="45" spans="1:12" ht="13.5" customHeight="1">
      <c r="A45" s="4"/>
      <c r="B45" s="104" t="s">
        <v>638</v>
      </c>
      <c r="C45" s="5" t="s">
        <v>1545</v>
      </c>
      <c r="D45" s="185">
        <f>G16</f>
        <v>0.3634335695108401</v>
      </c>
      <c r="E45" s="185">
        <f>G17</f>
        <v>0.9316201160089929</v>
      </c>
      <c r="F45" s="185">
        <f>G18</f>
        <v>0</v>
      </c>
      <c r="G45" s="5" t="s">
        <v>641</v>
      </c>
      <c r="H45" s="104" t="s">
        <v>642</v>
      </c>
      <c r="I45" s="5" t="s">
        <v>1546</v>
      </c>
      <c r="J45" s="167">
        <f>J36</f>
        <v>9.354615035242412E-17</v>
      </c>
      <c r="K45" s="5" t="s">
        <v>167</v>
      </c>
      <c r="L45" s="6"/>
    </row>
    <row r="46" spans="1:12" ht="13.5" customHeight="1">
      <c r="A46" s="4"/>
      <c r="B46" s="104" t="s">
        <v>643</v>
      </c>
      <c r="C46" s="5" t="s">
        <v>167</v>
      </c>
      <c r="D46" s="185">
        <f>H16</f>
        <v>0.27750640142156996</v>
      </c>
      <c r="E46" s="185">
        <f>H17</f>
        <v>-0.10825779767702622</v>
      </c>
      <c r="F46" s="185">
        <f>H18</f>
        <v>0.9546048640208002</v>
      </c>
      <c r="G46" s="5"/>
      <c r="H46" s="104" t="s">
        <v>644</v>
      </c>
      <c r="I46" s="5" t="s">
        <v>167</v>
      </c>
      <c r="J46" s="167">
        <f>J37</f>
        <v>0.23865121600520012</v>
      </c>
      <c r="K46" s="5" t="s">
        <v>167</v>
      </c>
      <c r="L46" s="6"/>
    </row>
    <row r="47" spans="1:12" ht="13.5" customHeight="1">
      <c r="A47" s="4"/>
      <c r="B47" s="5"/>
      <c r="C47" s="5"/>
      <c r="D47" s="5"/>
      <c r="E47" s="5"/>
      <c r="F47" s="5"/>
      <c r="G47" s="5"/>
      <c r="H47" s="5"/>
      <c r="I47" s="5"/>
      <c r="J47" s="5"/>
      <c r="K47" s="5"/>
      <c r="L47" s="6"/>
    </row>
    <row r="48" spans="1:12" ht="13.5" customHeight="1">
      <c r="A48" s="4"/>
      <c r="B48" s="5"/>
      <c r="C48" s="5"/>
      <c r="D48" s="5"/>
      <c r="E48" s="5"/>
      <c r="F48" s="5"/>
      <c r="G48" s="5"/>
      <c r="H48" s="5"/>
      <c r="I48" s="5"/>
      <c r="J48" s="5"/>
      <c r="K48" s="5"/>
      <c r="L48" s="6"/>
    </row>
    <row r="49" spans="1:12" ht="13.5" customHeight="1">
      <c r="A49" s="4"/>
      <c r="B49" s="5" t="s">
        <v>1621</v>
      </c>
      <c r="C49" s="46"/>
      <c r="D49" s="16"/>
      <c r="E49" s="113"/>
      <c r="F49" s="52"/>
      <c r="G49" s="142"/>
      <c r="H49" s="46"/>
      <c r="I49" s="5"/>
      <c r="J49" s="5"/>
      <c r="K49" s="5"/>
      <c r="L49" s="6"/>
    </row>
    <row r="50" spans="1:12" ht="13.5" customHeight="1">
      <c r="A50" s="4"/>
      <c r="B50" s="5" t="s">
        <v>1622</v>
      </c>
      <c r="C50" s="46"/>
      <c r="D50" s="16"/>
      <c r="E50" s="113"/>
      <c r="F50" s="52"/>
      <c r="G50" s="142"/>
      <c r="H50" s="46"/>
      <c r="I50" s="5"/>
      <c r="J50" s="5"/>
      <c r="K50" s="5"/>
      <c r="L50" s="6"/>
    </row>
    <row r="51" spans="1:12" ht="13.5" customHeight="1">
      <c r="A51" s="4"/>
      <c r="B51" s="5"/>
      <c r="C51" s="46"/>
      <c r="D51" s="16"/>
      <c r="E51" s="113"/>
      <c r="F51" s="52"/>
      <c r="G51" s="142"/>
      <c r="H51" s="46"/>
      <c r="I51" s="5"/>
      <c r="J51" s="5"/>
      <c r="K51" s="5"/>
      <c r="L51" s="6"/>
    </row>
    <row r="52" spans="1:12" ht="13.5" customHeight="1" thickBot="1">
      <c r="A52" s="7"/>
      <c r="B52" s="8"/>
      <c r="C52" s="49"/>
      <c r="D52" s="163"/>
      <c r="E52" s="164"/>
      <c r="F52" s="58"/>
      <c r="G52" s="165"/>
      <c r="H52" s="49"/>
      <c r="I52" s="8"/>
      <c r="J52" s="8"/>
      <c r="K52" s="8"/>
      <c r="L52" s="9"/>
    </row>
    <row r="53" spans="2:8" ht="13.5" customHeight="1" thickBot="1">
      <c r="B53" s="5"/>
      <c r="C53" s="46"/>
      <c r="D53" s="16"/>
      <c r="E53" s="113"/>
      <c r="F53" s="52"/>
      <c r="G53" s="142"/>
      <c r="H53" s="46"/>
    </row>
    <row r="54" spans="1:12" ht="12.75">
      <c r="A54" s="1"/>
      <c r="B54" s="149"/>
      <c r="C54" s="149"/>
      <c r="D54" s="149"/>
      <c r="E54" s="149"/>
      <c r="F54" s="149"/>
      <c r="G54" s="150"/>
      <c r="H54" s="151"/>
      <c r="I54" s="149"/>
      <c r="J54" s="2"/>
      <c r="K54" s="2"/>
      <c r="L54" s="3"/>
    </row>
    <row r="55" spans="1:12" ht="15.75">
      <c r="A55" s="14" t="s">
        <v>1058</v>
      </c>
      <c r="B55" s="46"/>
      <c r="C55" s="46"/>
      <c r="D55" s="46"/>
      <c r="E55" s="46"/>
      <c r="F55" s="46"/>
      <c r="G55" s="26"/>
      <c r="H55" s="52"/>
      <c r="I55" s="46"/>
      <c r="J55" s="5"/>
      <c r="K55" s="5"/>
      <c r="L55" s="6"/>
    </row>
    <row r="56" spans="1:12" ht="12.75">
      <c r="A56" s="4"/>
      <c r="B56" s="46"/>
      <c r="C56" s="46"/>
      <c r="D56" s="46"/>
      <c r="E56" s="46"/>
      <c r="F56" s="46"/>
      <c r="G56" s="98"/>
      <c r="H56" s="98"/>
      <c r="I56" s="145"/>
      <c r="J56" s="5"/>
      <c r="K56" s="5"/>
      <c r="L56" s="6"/>
    </row>
    <row r="57" spans="1:12" ht="12.75">
      <c r="A57" s="4" t="s">
        <v>1689</v>
      </c>
      <c r="B57" s="46"/>
      <c r="C57" s="46"/>
      <c r="D57" s="46"/>
      <c r="E57" s="46"/>
      <c r="F57" s="46"/>
      <c r="G57" s="52"/>
      <c r="H57" s="52"/>
      <c r="I57" s="146"/>
      <c r="J57" s="5"/>
      <c r="K57" s="5"/>
      <c r="L57" s="6"/>
    </row>
    <row r="58" spans="1:12" ht="12.75">
      <c r="A58" s="4"/>
      <c r="B58" s="46"/>
      <c r="C58" s="46"/>
      <c r="D58" s="46"/>
      <c r="E58" s="46"/>
      <c r="F58" s="46"/>
      <c r="G58" s="52"/>
      <c r="H58" s="52"/>
      <c r="I58" s="146"/>
      <c r="J58" s="5"/>
      <c r="K58" s="5"/>
      <c r="L58" s="6"/>
    </row>
    <row r="59" spans="1:12" ht="12.75">
      <c r="A59" s="4"/>
      <c r="B59" s="46" t="s">
        <v>1690</v>
      </c>
      <c r="C59" s="46"/>
      <c r="D59" s="46"/>
      <c r="E59" s="46"/>
      <c r="F59" s="46"/>
      <c r="G59" s="26"/>
      <c r="H59" s="52"/>
      <c r="I59" s="46"/>
      <c r="J59" s="5"/>
      <c r="K59" s="5"/>
      <c r="L59" s="6"/>
    </row>
    <row r="60" spans="1:12" ht="13.5" thickBot="1">
      <c r="A60" s="4"/>
      <c r="B60" s="46"/>
      <c r="C60" s="46" t="s">
        <v>1056</v>
      </c>
      <c r="D60" s="183">
        <f>SPH_REC!G356/1000</f>
        <v>0.105</v>
      </c>
      <c r="E60" s="46" t="s">
        <v>167</v>
      </c>
      <c r="F60" s="46"/>
      <c r="G60" s="117" t="s">
        <v>205</v>
      </c>
      <c r="H60" s="117"/>
      <c r="I60" s="117"/>
      <c r="J60" s="117"/>
      <c r="K60" s="117"/>
      <c r="L60" s="6"/>
    </row>
    <row r="61" spans="1:12" ht="13.5" thickBot="1">
      <c r="A61" s="4"/>
      <c r="B61" s="46"/>
      <c r="C61" s="46" t="s">
        <v>1057</v>
      </c>
      <c r="D61" s="183">
        <f>SPH_REC!H356/1000</f>
        <v>0.12</v>
      </c>
      <c r="E61" s="46" t="s">
        <v>167</v>
      </c>
      <c r="F61" s="46"/>
      <c r="G61" s="86" t="str">
        <f>IF(AND(D60&gt;0,D61&gt;0)=TRUE,"None","Error: Invalid Image Size")</f>
        <v>None</v>
      </c>
      <c r="H61" s="116"/>
      <c r="I61" s="116"/>
      <c r="J61" s="116"/>
      <c r="K61" s="87"/>
      <c r="L61" s="6"/>
    </row>
    <row r="62" spans="1:12" ht="12.75">
      <c r="A62" s="4"/>
      <c r="B62" s="46"/>
      <c r="C62" s="46"/>
      <c r="D62" s="46"/>
      <c r="E62" s="46"/>
      <c r="F62" s="46"/>
      <c r="G62" s="26"/>
      <c r="H62" s="52"/>
      <c r="I62" s="46"/>
      <c r="J62" s="5"/>
      <c r="K62" s="5"/>
      <c r="L62" s="6"/>
    </row>
    <row r="63" spans="1:12" ht="12.75">
      <c r="A63" s="4"/>
      <c r="B63" s="46"/>
      <c r="C63" s="46"/>
      <c r="D63" s="46"/>
      <c r="E63" s="46"/>
      <c r="F63" s="46"/>
      <c r="G63" s="26"/>
      <c r="H63" s="52"/>
      <c r="I63" s="46"/>
      <c r="J63" s="5"/>
      <c r="K63" s="5"/>
      <c r="L63" s="6"/>
    </row>
    <row r="64" spans="1:12" ht="12.75">
      <c r="A64" s="4"/>
      <c r="B64" s="147"/>
      <c r="C64" s="46"/>
      <c r="D64" s="46"/>
      <c r="E64" s="136" t="s">
        <v>720</v>
      </c>
      <c r="F64" s="19"/>
      <c r="G64" s="26"/>
      <c r="H64" s="52"/>
      <c r="I64" s="46"/>
      <c r="J64" s="5"/>
      <c r="K64" s="5"/>
      <c r="L64" s="6"/>
    </row>
    <row r="65" spans="1:12" ht="12.75">
      <c r="A65" s="4"/>
      <c r="B65" s="70"/>
      <c r="C65" s="46"/>
      <c r="D65" s="46"/>
      <c r="E65" s="46"/>
      <c r="F65" s="46"/>
      <c r="G65" s="26"/>
      <c r="H65" s="52"/>
      <c r="I65" s="46"/>
      <c r="J65" s="5"/>
      <c r="K65" s="5"/>
      <c r="L65" s="6"/>
    </row>
    <row r="66" spans="1:12" ht="12.75">
      <c r="A66" s="4"/>
      <c r="B66" s="70" t="s">
        <v>721</v>
      </c>
      <c r="C66" s="141">
        <f>-D60/2</f>
        <v>-0.0525</v>
      </c>
      <c r="D66" s="46" t="s">
        <v>167</v>
      </c>
      <c r="E66" s="70" t="s">
        <v>1783</v>
      </c>
      <c r="F66" s="130">
        <f>0</f>
        <v>0</v>
      </c>
      <c r="G66" s="148" t="s">
        <v>167</v>
      </c>
      <c r="H66" s="113" t="s">
        <v>1784</v>
      </c>
      <c r="I66" s="141">
        <f>D60/2</f>
        <v>0.0525</v>
      </c>
      <c r="J66" s="5" t="s">
        <v>167</v>
      </c>
      <c r="K66" s="5"/>
      <c r="L66" s="6"/>
    </row>
    <row r="67" spans="1:12" ht="12.75">
      <c r="A67" s="4"/>
      <c r="B67" s="70" t="s">
        <v>1785</v>
      </c>
      <c r="C67" s="141">
        <f>D61/2</f>
        <v>0.06</v>
      </c>
      <c r="D67" s="46" t="s">
        <v>167</v>
      </c>
      <c r="E67" s="70" t="s">
        <v>1786</v>
      </c>
      <c r="F67" s="141">
        <f>D61/2</f>
        <v>0.06</v>
      </c>
      <c r="G67" s="148" t="s">
        <v>167</v>
      </c>
      <c r="H67" s="113" t="s">
        <v>1787</v>
      </c>
      <c r="I67" s="141">
        <f>D61/2</f>
        <v>0.06</v>
      </c>
      <c r="J67" s="5" t="s">
        <v>167</v>
      </c>
      <c r="K67" s="5"/>
      <c r="L67" s="6"/>
    </row>
    <row r="68" spans="1:12" ht="12.75">
      <c r="A68" s="4"/>
      <c r="B68" s="46"/>
      <c r="C68" s="46"/>
      <c r="D68" s="70"/>
      <c r="E68" s="46"/>
      <c r="F68" s="70"/>
      <c r="G68" s="113"/>
      <c r="H68" s="52"/>
      <c r="I68" s="46"/>
      <c r="J68" s="5"/>
      <c r="K68" s="5"/>
      <c r="L68" s="6"/>
    </row>
    <row r="69" spans="1:12" ht="12.75">
      <c r="A69" s="4"/>
      <c r="B69" s="46"/>
      <c r="C69" s="46"/>
      <c r="D69" s="46"/>
      <c r="E69" s="46"/>
      <c r="F69" s="70"/>
      <c r="G69" s="113"/>
      <c r="H69" s="52"/>
      <c r="I69" s="46"/>
      <c r="J69" s="5"/>
      <c r="K69" s="5"/>
      <c r="L69" s="6"/>
    </row>
    <row r="70" spans="1:12" ht="12.75">
      <c r="A70" s="4"/>
      <c r="B70" s="46"/>
      <c r="C70" s="46"/>
      <c r="D70" s="46" t="s">
        <v>1788</v>
      </c>
      <c r="E70" s="46"/>
      <c r="F70" s="70"/>
      <c r="G70" s="113"/>
      <c r="H70" s="52"/>
      <c r="I70" s="143"/>
      <c r="J70" s="5"/>
      <c r="K70" s="5"/>
      <c r="L70" s="6"/>
    </row>
    <row r="71" spans="1:12" ht="12.75">
      <c r="A71" s="4"/>
      <c r="B71" s="46"/>
      <c r="C71" s="46"/>
      <c r="D71" s="85"/>
      <c r="E71" s="5"/>
      <c r="F71" s="70"/>
      <c r="G71" s="113"/>
      <c r="H71" s="5"/>
      <c r="I71" s="144"/>
      <c r="J71" s="5"/>
      <c r="K71" s="5"/>
      <c r="L71" s="6"/>
    </row>
    <row r="72" spans="1:12" ht="12.75">
      <c r="A72" s="4"/>
      <c r="B72" s="46"/>
      <c r="C72" s="46"/>
      <c r="D72" s="46"/>
      <c r="E72" s="46"/>
      <c r="F72" s="46"/>
      <c r="G72" s="113"/>
      <c r="H72" s="52"/>
      <c r="I72" s="46"/>
      <c r="J72" s="5"/>
      <c r="K72" s="5"/>
      <c r="L72" s="6"/>
    </row>
    <row r="73" spans="1:12" ht="15.75">
      <c r="A73" s="4"/>
      <c r="B73" s="46"/>
      <c r="C73" s="5"/>
      <c r="D73" s="16"/>
      <c r="E73" s="113"/>
      <c r="F73" s="52"/>
      <c r="G73" s="142"/>
      <c r="H73" s="46"/>
      <c r="I73" s="5"/>
      <c r="J73" s="5"/>
      <c r="K73" s="5"/>
      <c r="L73" s="6"/>
    </row>
    <row r="74" spans="1:12" ht="12.75">
      <c r="A74" s="4"/>
      <c r="B74" s="46"/>
      <c r="C74" s="46"/>
      <c r="D74" s="46"/>
      <c r="E74" s="46"/>
      <c r="F74" s="46"/>
      <c r="G74" s="26"/>
      <c r="H74" s="52"/>
      <c r="I74" s="46"/>
      <c r="J74" s="5"/>
      <c r="K74" s="5"/>
      <c r="L74" s="6"/>
    </row>
    <row r="75" spans="1:12" ht="12.75">
      <c r="A75" s="4"/>
      <c r="B75" s="5"/>
      <c r="C75" s="5"/>
      <c r="D75" s="5"/>
      <c r="E75" s="5"/>
      <c r="F75" s="5"/>
      <c r="G75" s="5"/>
      <c r="H75" s="5"/>
      <c r="I75" s="5"/>
      <c r="J75" s="5"/>
      <c r="K75" s="5"/>
      <c r="L75" s="6"/>
    </row>
    <row r="76" spans="1:12" ht="12.75">
      <c r="A76" s="4"/>
      <c r="B76" s="5"/>
      <c r="C76" s="5"/>
      <c r="D76" s="5"/>
      <c r="E76" s="5"/>
      <c r="F76" s="5"/>
      <c r="G76" s="5"/>
      <c r="H76" s="5"/>
      <c r="I76" s="5"/>
      <c r="J76" s="5"/>
      <c r="K76" s="5"/>
      <c r="L76" s="6"/>
    </row>
    <row r="77" spans="1:12" ht="12.75">
      <c r="A77" s="4"/>
      <c r="B77" s="5"/>
      <c r="C77" s="5"/>
      <c r="D77" s="5"/>
      <c r="E77" s="5"/>
      <c r="F77" s="5"/>
      <c r="G77" s="5"/>
      <c r="H77" s="5"/>
      <c r="I77" s="5"/>
      <c r="J77" s="5"/>
      <c r="K77" s="5"/>
      <c r="L77" s="6"/>
    </row>
    <row r="78" spans="1:12" ht="12.75">
      <c r="A78" s="4"/>
      <c r="B78" s="5"/>
      <c r="C78" s="5"/>
      <c r="D78" s="5"/>
      <c r="E78" s="5"/>
      <c r="F78" s="5"/>
      <c r="G78" s="5"/>
      <c r="H78" s="5"/>
      <c r="I78" s="5"/>
      <c r="J78" s="5"/>
      <c r="K78" s="5"/>
      <c r="L78" s="6"/>
    </row>
    <row r="79" spans="1:12" ht="12.75">
      <c r="A79" s="4"/>
      <c r="B79" s="5"/>
      <c r="C79" s="5"/>
      <c r="D79" s="5"/>
      <c r="E79" s="5"/>
      <c r="F79" s="5"/>
      <c r="G79" s="5"/>
      <c r="H79" s="5"/>
      <c r="I79" s="5"/>
      <c r="J79" s="5"/>
      <c r="K79" s="5"/>
      <c r="L79" s="6"/>
    </row>
    <row r="80" spans="1:12" ht="13.5" thickBot="1">
      <c r="A80" s="4"/>
      <c r="B80" s="5"/>
      <c r="C80" s="5"/>
      <c r="D80" s="5"/>
      <c r="E80" s="5"/>
      <c r="F80" s="131" t="s">
        <v>245</v>
      </c>
      <c r="G80" s="5"/>
      <c r="H80" s="5"/>
      <c r="I80" s="5"/>
      <c r="J80" s="5"/>
      <c r="K80" s="132" t="s">
        <v>441</v>
      </c>
      <c r="L80" s="6"/>
    </row>
    <row r="81" spans="1:12" ht="13.5" thickBot="1">
      <c r="A81" s="133" t="s">
        <v>42</v>
      </c>
      <c r="B81" s="5"/>
      <c r="C81" s="5"/>
      <c r="D81" s="5"/>
      <c r="E81" s="5"/>
      <c r="F81" s="5"/>
      <c r="G81" s="5"/>
      <c r="H81" s="5"/>
      <c r="I81" s="134" t="s">
        <v>1790</v>
      </c>
      <c r="J81" s="5"/>
      <c r="K81" s="182">
        <f>D61</f>
        <v>0.12</v>
      </c>
      <c r="L81" s="6" t="s">
        <v>167</v>
      </c>
    </row>
    <row r="82" spans="1:12" ht="12.75">
      <c r="A82" s="4"/>
      <c r="B82" s="5"/>
      <c r="C82" s="26" t="s">
        <v>1791</v>
      </c>
      <c r="D82" s="128">
        <f>-D60/2</f>
        <v>-0.0525</v>
      </c>
      <c r="E82" s="5" t="s">
        <v>167</v>
      </c>
      <c r="F82" s="135" t="s">
        <v>1792</v>
      </c>
      <c r="G82" s="130">
        <f>0</f>
        <v>0</v>
      </c>
      <c r="H82" s="17" t="s">
        <v>1793</v>
      </c>
      <c r="I82" s="128">
        <f>D60/2</f>
        <v>0.0525</v>
      </c>
      <c r="J82" s="5" t="s">
        <v>167</v>
      </c>
      <c r="K82" s="5"/>
      <c r="L82" s="6"/>
    </row>
    <row r="83" spans="1:12" ht="12.75">
      <c r="A83" s="4"/>
      <c r="B83" s="5"/>
      <c r="C83" s="26" t="s">
        <v>831</v>
      </c>
      <c r="D83" s="130">
        <v>0</v>
      </c>
      <c r="E83" s="5" t="s">
        <v>167</v>
      </c>
      <c r="F83" s="135" t="s">
        <v>832</v>
      </c>
      <c r="G83" s="130">
        <f>0</f>
        <v>0</v>
      </c>
      <c r="H83" s="17" t="s">
        <v>833</v>
      </c>
      <c r="I83" s="130">
        <v>0</v>
      </c>
      <c r="J83" s="5" t="s">
        <v>167</v>
      </c>
      <c r="K83" s="5"/>
      <c r="L83" s="6"/>
    </row>
    <row r="84" spans="1:12" ht="12.75">
      <c r="A84" s="4"/>
      <c r="B84" s="5"/>
      <c r="C84" s="5"/>
      <c r="D84" s="5"/>
      <c r="E84" s="5"/>
      <c r="F84" s="5"/>
      <c r="G84" s="5"/>
      <c r="H84" s="5"/>
      <c r="I84" s="5"/>
      <c r="J84" s="5"/>
      <c r="K84" s="5"/>
      <c r="L84" s="6"/>
    </row>
    <row r="85" spans="1:12" ht="12.75">
      <c r="A85" s="4"/>
      <c r="B85" s="5"/>
      <c r="C85" s="5"/>
      <c r="D85" s="5"/>
      <c r="E85" s="5"/>
      <c r="F85" s="5"/>
      <c r="G85" s="5"/>
      <c r="H85" s="5"/>
      <c r="I85" s="5"/>
      <c r="J85" s="5"/>
      <c r="K85" s="5"/>
      <c r="L85" s="6"/>
    </row>
    <row r="86" spans="1:12" ht="12.75">
      <c r="A86" s="4"/>
      <c r="B86" s="5"/>
      <c r="C86" s="5"/>
      <c r="D86" s="5"/>
      <c r="E86" s="5"/>
      <c r="F86" s="5"/>
      <c r="G86" s="5"/>
      <c r="H86" s="5"/>
      <c r="I86" s="5"/>
      <c r="J86" s="5"/>
      <c r="K86" s="5"/>
      <c r="L86" s="6"/>
    </row>
    <row r="87" spans="1:12" ht="12.75">
      <c r="A87" s="4"/>
      <c r="B87" s="5"/>
      <c r="C87" s="5"/>
      <c r="D87" s="5"/>
      <c r="E87" s="5"/>
      <c r="F87" s="5"/>
      <c r="G87" s="5"/>
      <c r="H87" s="5"/>
      <c r="I87" s="5"/>
      <c r="J87" s="5"/>
      <c r="K87" s="5"/>
      <c r="L87" s="6"/>
    </row>
    <row r="88" spans="1:12" ht="12.75">
      <c r="A88" s="4"/>
      <c r="B88" s="5"/>
      <c r="C88" s="5"/>
      <c r="D88" s="5"/>
      <c r="E88" s="5"/>
      <c r="F88" s="5"/>
      <c r="G88" s="5"/>
      <c r="H88" s="5"/>
      <c r="I88" s="5"/>
      <c r="J88" s="5"/>
      <c r="K88" s="5"/>
      <c r="L88" s="6"/>
    </row>
    <row r="89" spans="1:12" ht="12.75">
      <c r="A89" s="4"/>
      <c r="B89" s="5"/>
      <c r="C89" s="5"/>
      <c r="D89" s="5"/>
      <c r="E89" s="5"/>
      <c r="F89" s="5"/>
      <c r="G89" s="5"/>
      <c r="H89" s="5"/>
      <c r="I89" s="5"/>
      <c r="J89" s="5"/>
      <c r="K89" s="5"/>
      <c r="L89" s="6"/>
    </row>
    <row r="90" spans="1:12" ht="12.75">
      <c r="A90" s="4"/>
      <c r="B90" s="5"/>
      <c r="C90" s="5"/>
      <c r="D90" s="5"/>
      <c r="E90" s="5"/>
      <c r="F90" s="5"/>
      <c r="G90" s="5"/>
      <c r="H90" s="5"/>
      <c r="I90" s="5"/>
      <c r="J90" s="5"/>
      <c r="K90" s="5"/>
      <c r="L90" s="6"/>
    </row>
    <row r="91" spans="1:12" ht="12.75">
      <c r="A91" s="4"/>
      <c r="B91" s="5"/>
      <c r="C91" s="5"/>
      <c r="D91" s="5"/>
      <c r="E91" s="5"/>
      <c r="F91" s="5"/>
      <c r="G91" s="5"/>
      <c r="H91" s="5"/>
      <c r="I91" s="5"/>
      <c r="J91" s="5"/>
      <c r="K91" s="5"/>
      <c r="L91" s="6"/>
    </row>
    <row r="92" spans="1:12" ht="12.75">
      <c r="A92" s="4"/>
      <c r="B92" s="5"/>
      <c r="C92" s="5"/>
      <c r="D92" s="5"/>
      <c r="E92" s="5"/>
      <c r="F92" s="5"/>
      <c r="G92" s="5"/>
      <c r="H92" s="5"/>
      <c r="I92" s="5"/>
      <c r="J92" s="5"/>
      <c r="K92" s="5"/>
      <c r="L92" s="6"/>
    </row>
    <row r="93" spans="1:12" ht="12.75">
      <c r="A93" s="4"/>
      <c r="B93" s="5"/>
      <c r="C93" s="5"/>
      <c r="D93" s="5"/>
      <c r="E93" s="5"/>
      <c r="F93" s="5"/>
      <c r="G93" s="5"/>
      <c r="H93" s="5"/>
      <c r="I93" s="5"/>
      <c r="J93" s="5"/>
      <c r="K93" s="5"/>
      <c r="L93" s="6"/>
    </row>
    <row r="94" spans="1:12" ht="12.75">
      <c r="A94" s="4"/>
      <c r="B94" s="5"/>
      <c r="C94" s="5"/>
      <c r="D94" s="5"/>
      <c r="E94" s="5"/>
      <c r="F94" s="5"/>
      <c r="G94" s="5"/>
      <c r="H94" s="5"/>
      <c r="I94" s="5"/>
      <c r="J94" s="5"/>
      <c r="K94" s="5"/>
      <c r="L94" s="6"/>
    </row>
    <row r="95" spans="1:12" ht="12.75">
      <c r="A95" s="4"/>
      <c r="B95" s="26" t="s">
        <v>834</v>
      </c>
      <c r="C95" s="128">
        <f>-D60/2</f>
        <v>-0.0525</v>
      </c>
      <c r="D95" s="5" t="s">
        <v>167</v>
      </c>
      <c r="E95" s="26" t="s">
        <v>835</v>
      </c>
      <c r="F95" s="130">
        <f>0</f>
        <v>0</v>
      </c>
      <c r="G95" s="5" t="s">
        <v>167</v>
      </c>
      <c r="H95" s="26" t="s">
        <v>836</v>
      </c>
      <c r="I95" s="128">
        <f>D60/2</f>
        <v>0.0525</v>
      </c>
      <c r="J95" s="5" t="s">
        <v>167</v>
      </c>
      <c r="K95" s="5"/>
      <c r="L95" s="6"/>
    </row>
    <row r="96" spans="1:12" ht="12.75">
      <c r="A96" s="4"/>
      <c r="B96" s="26" t="s">
        <v>837</v>
      </c>
      <c r="C96" s="128">
        <f>-D61/2</f>
        <v>-0.06</v>
      </c>
      <c r="D96" s="5" t="s">
        <v>167</v>
      </c>
      <c r="E96" s="26" t="s">
        <v>838</v>
      </c>
      <c r="F96" s="114">
        <f>-D61/2</f>
        <v>-0.06</v>
      </c>
      <c r="G96" s="5" t="s">
        <v>167</v>
      </c>
      <c r="H96" s="26" t="s">
        <v>839</v>
      </c>
      <c r="I96" s="128">
        <f>-D61/2</f>
        <v>-0.06</v>
      </c>
      <c r="J96" s="5" t="s">
        <v>167</v>
      </c>
      <c r="K96" s="5"/>
      <c r="L96" s="6"/>
    </row>
    <row r="97" spans="1:12" ht="12.75">
      <c r="A97" s="4"/>
      <c r="B97" s="5"/>
      <c r="C97" s="5"/>
      <c r="D97" s="5"/>
      <c r="E97" s="5"/>
      <c r="F97" s="5"/>
      <c r="G97" s="5"/>
      <c r="H97" s="5"/>
      <c r="I97" s="5"/>
      <c r="J97" s="5"/>
      <c r="K97" s="5"/>
      <c r="L97" s="6"/>
    </row>
    <row r="98" spans="1:12" ht="12.75">
      <c r="A98" s="4"/>
      <c r="B98" s="5"/>
      <c r="C98" s="5"/>
      <c r="D98" s="5"/>
      <c r="E98" s="136" t="s">
        <v>1789</v>
      </c>
      <c r="F98" s="15"/>
      <c r="G98" s="5"/>
      <c r="H98" s="5"/>
      <c r="I98" s="5"/>
      <c r="J98" s="5"/>
      <c r="K98" s="5"/>
      <c r="L98" s="6"/>
    </row>
    <row r="99" spans="1:12" ht="12.75">
      <c r="A99" s="4"/>
      <c r="B99" s="5"/>
      <c r="C99" s="5"/>
      <c r="D99" s="5"/>
      <c r="E99" s="5"/>
      <c r="F99" s="5"/>
      <c r="G99" s="5"/>
      <c r="H99" s="5"/>
      <c r="I99" s="5"/>
      <c r="J99" s="5"/>
      <c r="K99" s="5"/>
      <c r="L99" s="6"/>
    </row>
    <row r="100" spans="1:12" ht="12.75">
      <c r="A100" s="4"/>
      <c r="B100" s="5"/>
      <c r="C100" s="5"/>
      <c r="D100" s="5"/>
      <c r="E100" s="5"/>
      <c r="F100" s="5"/>
      <c r="G100" s="5"/>
      <c r="H100" s="5"/>
      <c r="I100" s="5"/>
      <c r="J100" s="5"/>
      <c r="K100" s="5"/>
      <c r="L100" s="6"/>
    </row>
    <row r="101" spans="1:12" ht="12.75">
      <c r="A101" s="4"/>
      <c r="B101" s="5"/>
      <c r="C101" s="5"/>
      <c r="D101" s="5"/>
      <c r="E101" s="5"/>
      <c r="F101" s="5"/>
      <c r="G101" s="5"/>
      <c r="H101" s="5"/>
      <c r="I101" s="5"/>
      <c r="J101" s="5"/>
      <c r="K101" s="5"/>
      <c r="L101" s="6"/>
    </row>
    <row r="102" spans="1:12" ht="12.75">
      <c r="A102" s="4"/>
      <c r="B102" s="5"/>
      <c r="C102" s="5"/>
      <c r="D102" s="5"/>
      <c r="E102" s="5"/>
      <c r="F102" s="5"/>
      <c r="G102" s="5"/>
      <c r="H102" s="5"/>
      <c r="I102" s="5"/>
      <c r="J102" s="5"/>
      <c r="K102" s="5"/>
      <c r="L102" s="6"/>
    </row>
    <row r="103" spans="1:12" ht="12.75">
      <c r="A103" s="4"/>
      <c r="B103" s="5"/>
      <c r="C103" s="5"/>
      <c r="D103" s="5"/>
      <c r="E103" s="5"/>
      <c r="F103" s="5"/>
      <c r="G103" s="5"/>
      <c r="H103" s="5"/>
      <c r="I103" s="5"/>
      <c r="J103" s="5"/>
      <c r="K103" s="5"/>
      <c r="L103" s="6"/>
    </row>
    <row r="104" spans="1:12" ht="12.75">
      <c r="A104" s="4"/>
      <c r="B104" s="5"/>
      <c r="C104" s="5"/>
      <c r="D104" s="5"/>
      <c r="E104" s="5"/>
      <c r="F104" s="5"/>
      <c r="G104" s="5"/>
      <c r="H104" s="5"/>
      <c r="I104" s="5"/>
      <c r="J104" s="5"/>
      <c r="K104" s="5"/>
      <c r="L104" s="6"/>
    </row>
    <row r="105" spans="1:12" ht="12.75">
      <c r="A105" s="4"/>
      <c r="B105" s="5"/>
      <c r="C105" s="5"/>
      <c r="D105" s="5"/>
      <c r="E105" s="5"/>
      <c r="F105" s="5"/>
      <c r="G105" s="5"/>
      <c r="H105" s="5"/>
      <c r="I105" s="5"/>
      <c r="J105" s="5"/>
      <c r="K105" s="5"/>
      <c r="L105" s="6"/>
    </row>
    <row r="106" spans="1:12" ht="12.75">
      <c r="A106" s="4"/>
      <c r="B106" s="5"/>
      <c r="C106" s="5"/>
      <c r="D106" s="5"/>
      <c r="E106" s="5"/>
      <c r="F106" s="5"/>
      <c r="G106" s="5"/>
      <c r="H106" s="5"/>
      <c r="I106" s="5"/>
      <c r="J106" s="5"/>
      <c r="K106" s="5"/>
      <c r="L106" s="6"/>
    </row>
    <row r="107" spans="1:12" ht="12.75">
      <c r="A107" s="4"/>
      <c r="B107" s="5"/>
      <c r="C107" s="5"/>
      <c r="D107" s="5"/>
      <c r="E107" s="768">
        <f>D60</f>
        <v>0.105</v>
      </c>
      <c r="F107" s="769"/>
      <c r="G107" s="5" t="s">
        <v>167</v>
      </c>
      <c r="H107" s="5"/>
      <c r="I107" s="5"/>
      <c r="J107" s="5"/>
      <c r="K107" s="5"/>
      <c r="L107" s="6"/>
    </row>
    <row r="108" spans="1:12" ht="12.75">
      <c r="A108" s="4"/>
      <c r="B108" s="5"/>
      <c r="C108" s="5"/>
      <c r="D108" s="5"/>
      <c r="E108" s="19" t="s">
        <v>1383</v>
      </c>
      <c r="F108" s="15"/>
      <c r="G108" s="5"/>
      <c r="H108" s="5"/>
      <c r="I108" s="5"/>
      <c r="J108" s="5"/>
      <c r="K108" s="5"/>
      <c r="L108" s="6"/>
    </row>
    <row r="109" spans="1:12" ht="12.75">
      <c r="A109" s="4"/>
      <c r="B109" s="5"/>
      <c r="C109" s="5"/>
      <c r="D109" s="5"/>
      <c r="E109" s="5"/>
      <c r="F109" s="5"/>
      <c r="G109" s="5"/>
      <c r="H109" s="5"/>
      <c r="I109" s="5"/>
      <c r="J109" s="5"/>
      <c r="K109" s="5"/>
      <c r="L109" s="6"/>
    </row>
    <row r="110" spans="1:12" ht="13.5" thickBot="1">
      <c r="A110" s="4"/>
      <c r="B110" s="5"/>
      <c r="C110" s="5"/>
      <c r="D110" s="5"/>
      <c r="E110" s="5"/>
      <c r="F110" s="5"/>
      <c r="G110" s="5"/>
      <c r="H110" s="5"/>
      <c r="I110" s="5"/>
      <c r="J110" s="5"/>
      <c r="K110" s="5"/>
      <c r="L110" s="6"/>
    </row>
    <row r="111" spans="1:12" ht="12.75">
      <c r="A111" s="1"/>
      <c r="B111" s="2"/>
      <c r="C111" s="2"/>
      <c r="D111" s="2"/>
      <c r="E111" s="2"/>
      <c r="F111" s="2"/>
      <c r="G111" s="2"/>
      <c r="H111" s="2"/>
      <c r="I111" s="2"/>
      <c r="J111" s="2"/>
      <c r="K111" s="2"/>
      <c r="L111" s="3"/>
    </row>
    <row r="112" spans="1:12" ht="12.75">
      <c r="A112" s="10" t="s">
        <v>110</v>
      </c>
      <c r="B112" s="5"/>
      <c r="C112" s="5"/>
      <c r="D112" s="5"/>
      <c r="E112" s="5"/>
      <c r="F112" s="5"/>
      <c r="G112" s="5"/>
      <c r="H112" s="5"/>
      <c r="I112" s="5"/>
      <c r="J112" s="5"/>
      <c r="K112" s="5"/>
      <c r="L112" s="6"/>
    </row>
    <row r="113" spans="1:12" ht="12.75">
      <c r="A113" s="10"/>
      <c r="B113" s="5"/>
      <c r="C113" s="5"/>
      <c r="D113" s="5"/>
      <c r="E113" s="5"/>
      <c r="F113" s="5"/>
      <c r="G113" s="5"/>
      <c r="H113" s="5"/>
      <c r="I113" s="5"/>
      <c r="J113" s="5"/>
      <c r="K113" s="5"/>
      <c r="L113" s="6"/>
    </row>
    <row r="114" spans="1:12" ht="12.75">
      <c r="A114" s="10"/>
      <c r="B114" s="5" t="s">
        <v>956</v>
      </c>
      <c r="C114" s="5"/>
      <c r="D114" s="5"/>
      <c r="E114" s="5"/>
      <c r="F114" s="5"/>
      <c r="G114" s="5"/>
      <c r="H114" s="5"/>
      <c r="I114" s="5"/>
      <c r="J114" s="5"/>
      <c r="K114" s="5"/>
      <c r="L114" s="6"/>
    </row>
    <row r="115" spans="1:12" ht="12.75">
      <c r="A115" s="10"/>
      <c r="B115" s="5" t="s">
        <v>264</v>
      </c>
      <c r="C115" s="5"/>
      <c r="D115" s="5"/>
      <c r="E115" s="5"/>
      <c r="F115" s="5"/>
      <c r="G115" s="5"/>
      <c r="H115" s="5"/>
      <c r="I115" s="5"/>
      <c r="J115" s="5"/>
      <c r="K115" s="5"/>
      <c r="L115" s="6"/>
    </row>
    <row r="116" spans="1:12" ht="12.75">
      <c r="A116" s="10"/>
      <c r="B116" s="5"/>
      <c r="C116" s="5"/>
      <c r="D116" s="5"/>
      <c r="E116" s="5"/>
      <c r="F116" s="5"/>
      <c r="G116" s="5"/>
      <c r="H116" s="5"/>
      <c r="I116" s="5"/>
      <c r="J116" s="5"/>
      <c r="K116" s="5"/>
      <c r="L116" s="6"/>
    </row>
    <row r="117" spans="1:12" ht="12.75">
      <c r="A117" s="4"/>
      <c r="B117" s="5" t="s">
        <v>149</v>
      </c>
      <c r="C117" s="5"/>
      <c r="D117" s="5"/>
      <c r="E117" s="5"/>
      <c r="F117" s="5"/>
      <c r="G117" s="5"/>
      <c r="H117" s="5"/>
      <c r="I117" s="5"/>
      <c r="J117" s="5"/>
      <c r="K117" s="5"/>
      <c r="L117" s="6"/>
    </row>
    <row r="118" spans="1:12" ht="12.75">
      <c r="A118" s="4"/>
      <c r="B118" s="5"/>
      <c r="C118" s="5"/>
      <c r="D118" s="5"/>
      <c r="E118" s="5"/>
      <c r="F118" s="5"/>
      <c r="G118" s="5"/>
      <c r="H118" s="5"/>
      <c r="I118" s="5"/>
      <c r="J118" s="5"/>
      <c r="K118" s="5"/>
      <c r="L118" s="6"/>
    </row>
    <row r="119" spans="1:12" ht="18">
      <c r="A119" s="4"/>
      <c r="B119" s="5"/>
      <c r="C119" s="218" t="s">
        <v>1337</v>
      </c>
      <c r="D119" s="218"/>
      <c r="E119" s="218"/>
      <c r="F119" s="218"/>
      <c r="G119" s="5"/>
      <c r="H119" s="5"/>
      <c r="I119" s="5"/>
      <c r="J119" s="5"/>
      <c r="K119" s="5"/>
      <c r="L119" s="6"/>
    </row>
    <row r="120" spans="1:12" ht="12.75">
      <c r="A120" s="4"/>
      <c r="B120" s="5"/>
      <c r="C120" s="126" t="s">
        <v>1338</v>
      </c>
      <c r="D120" s="5"/>
      <c r="E120" s="5"/>
      <c r="F120" s="5"/>
      <c r="G120" s="5"/>
      <c r="H120" s="5"/>
      <c r="I120" s="5"/>
      <c r="J120" s="5"/>
      <c r="K120" s="5"/>
      <c r="L120" s="6"/>
    </row>
    <row r="121" spans="1:12" ht="12.75">
      <c r="A121" s="4"/>
      <c r="B121" s="5"/>
      <c r="C121" s="22" t="s">
        <v>1547</v>
      </c>
      <c r="D121" s="22" t="s">
        <v>1348</v>
      </c>
      <c r="E121" s="22"/>
      <c r="F121" s="22" t="s">
        <v>150</v>
      </c>
      <c r="G121" s="5"/>
      <c r="H121" s="5"/>
      <c r="I121" s="5"/>
      <c r="J121" s="5"/>
      <c r="K121" s="5"/>
      <c r="L121" s="6"/>
    </row>
    <row r="122" spans="1:12" ht="12.75">
      <c r="A122" s="4"/>
      <c r="B122" s="264" t="s">
        <v>151</v>
      </c>
      <c r="C122" s="5"/>
      <c r="D122" s="5"/>
      <c r="E122" s="5"/>
      <c r="F122" s="5"/>
      <c r="G122" s="110" t="s">
        <v>152</v>
      </c>
      <c r="H122" s="5"/>
      <c r="I122" s="5"/>
      <c r="J122" s="5"/>
      <c r="K122" s="5"/>
      <c r="L122" s="6"/>
    </row>
    <row r="123" spans="1:12" ht="12.75">
      <c r="A123" s="4"/>
      <c r="B123" s="5"/>
      <c r="C123" s="5"/>
      <c r="D123" s="5"/>
      <c r="E123" s="261" t="s">
        <v>153</v>
      </c>
      <c r="F123" s="5"/>
      <c r="G123" s="5"/>
      <c r="H123" s="5"/>
      <c r="I123" s="5"/>
      <c r="J123" s="5"/>
      <c r="K123" s="5"/>
      <c r="L123" s="6"/>
    </row>
    <row r="124" spans="1:12" ht="12.75">
      <c r="A124" s="4"/>
      <c r="B124" s="5"/>
      <c r="C124" s="5"/>
      <c r="D124" s="5"/>
      <c r="E124" s="262"/>
      <c r="F124" s="5"/>
      <c r="G124" s="5"/>
      <c r="H124" s="5"/>
      <c r="I124" s="5"/>
      <c r="J124" s="5"/>
      <c r="K124" s="5"/>
      <c r="L124" s="6"/>
    </row>
    <row r="125" spans="1:12" ht="12.75">
      <c r="A125" s="4"/>
      <c r="B125" s="5"/>
      <c r="C125" s="5"/>
      <c r="D125" s="5"/>
      <c r="E125" s="5"/>
      <c r="F125" s="5"/>
      <c r="G125" s="5"/>
      <c r="H125" s="5"/>
      <c r="I125" s="5"/>
      <c r="J125" s="5"/>
      <c r="K125" s="5"/>
      <c r="L125" s="6"/>
    </row>
    <row r="126" spans="1:12" ht="12.75">
      <c r="A126" s="4"/>
      <c r="B126" s="5"/>
      <c r="C126" s="5"/>
      <c r="D126" s="5"/>
      <c r="E126" s="5"/>
      <c r="F126" s="5"/>
      <c r="G126" s="5"/>
      <c r="H126" s="5"/>
      <c r="I126" s="5"/>
      <c r="J126" s="5"/>
      <c r="K126" s="5"/>
      <c r="L126" s="6"/>
    </row>
    <row r="127" spans="1:12" ht="12.75">
      <c r="A127" s="4"/>
      <c r="B127" s="5"/>
      <c r="C127" s="5"/>
      <c r="D127" s="5"/>
      <c r="E127" s="5"/>
      <c r="F127" s="5"/>
      <c r="G127" s="5"/>
      <c r="H127" s="5"/>
      <c r="I127" s="5"/>
      <c r="J127" s="5"/>
      <c r="K127" s="5"/>
      <c r="L127" s="6"/>
    </row>
    <row r="128" spans="1:12" ht="12.75">
      <c r="A128" s="4"/>
      <c r="B128" s="5"/>
      <c r="C128" s="5"/>
      <c r="D128" s="5"/>
      <c r="E128" s="5"/>
      <c r="F128" s="5"/>
      <c r="G128" s="5"/>
      <c r="H128" s="5"/>
      <c r="I128" s="5"/>
      <c r="J128" s="5"/>
      <c r="K128" s="5"/>
      <c r="L128" s="6"/>
    </row>
    <row r="129" spans="1:12" ht="12.75">
      <c r="A129" s="4"/>
      <c r="B129" s="5"/>
      <c r="C129" s="5"/>
      <c r="D129" s="5"/>
      <c r="E129" s="5"/>
      <c r="F129" s="5"/>
      <c r="G129" s="5"/>
      <c r="H129" s="5"/>
      <c r="I129" s="5"/>
      <c r="J129" s="5"/>
      <c r="K129" s="5"/>
      <c r="L129" s="6"/>
    </row>
    <row r="130" spans="1:12" ht="12.75">
      <c r="A130" s="4"/>
      <c r="B130" s="5"/>
      <c r="C130" s="5"/>
      <c r="D130" s="5"/>
      <c r="E130" s="126"/>
      <c r="F130" s="5"/>
      <c r="G130" s="5"/>
      <c r="H130" s="5"/>
      <c r="I130" s="5"/>
      <c r="J130" s="5"/>
      <c r="K130" s="5"/>
      <c r="L130" s="6"/>
    </row>
    <row r="131" spans="1:12" ht="12.75">
      <c r="A131" s="4"/>
      <c r="B131" s="264" t="s">
        <v>154</v>
      </c>
      <c r="C131" s="5"/>
      <c r="D131" s="5"/>
      <c r="E131" s="110" t="s">
        <v>245</v>
      </c>
      <c r="F131" s="22"/>
      <c r="G131" s="110" t="s">
        <v>155</v>
      </c>
      <c r="H131" s="5"/>
      <c r="I131" s="5"/>
      <c r="J131" s="5"/>
      <c r="K131" s="5"/>
      <c r="L131" s="6"/>
    </row>
    <row r="132" spans="1:12" ht="15.75">
      <c r="A132" s="4"/>
      <c r="B132" s="5"/>
      <c r="C132" s="5"/>
      <c r="D132" s="5"/>
      <c r="E132" s="126" t="s">
        <v>1266</v>
      </c>
      <c r="F132" s="5"/>
      <c r="G132" s="374" t="s">
        <v>40</v>
      </c>
      <c r="H132" s="5"/>
      <c r="I132" s="5"/>
      <c r="J132" s="5"/>
      <c r="K132" s="5"/>
      <c r="L132" s="6"/>
    </row>
    <row r="133" spans="1:12" ht="12.75">
      <c r="A133" s="4"/>
      <c r="B133" s="5"/>
      <c r="C133" s="5"/>
      <c r="D133" s="5"/>
      <c r="E133" s="261"/>
      <c r="F133" s="5"/>
      <c r="G133" s="5"/>
      <c r="H133" s="5"/>
      <c r="I133" s="5"/>
      <c r="J133" s="5"/>
      <c r="K133" s="5"/>
      <c r="L133" s="6"/>
    </row>
    <row r="134" spans="1:12" ht="12.75">
      <c r="A134" s="4"/>
      <c r="B134" s="5"/>
      <c r="C134" s="5"/>
      <c r="D134" s="5"/>
      <c r="E134" s="262"/>
      <c r="F134" s="5"/>
      <c r="G134" s="5"/>
      <c r="H134" s="5"/>
      <c r="I134" s="5"/>
      <c r="J134" s="5"/>
      <c r="K134" s="5"/>
      <c r="L134" s="6"/>
    </row>
    <row r="135" spans="1:12" ht="12.75">
      <c r="A135" s="4"/>
      <c r="B135" s="5"/>
      <c r="C135" s="5"/>
      <c r="D135" s="5"/>
      <c r="E135" s="5"/>
      <c r="F135" s="5"/>
      <c r="G135" s="5"/>
      <c r="H135" s="5"/>
      <c r="I135" s="5"/>
      <c r="J135" s="5"/>
      <c r="K135" s="5"/>
      <c r="L135" s="6"/>
    </row>
    <row r="136" spans="1:12" ht="12.75">
      <c r="A136" s="4"/>
      <c r="B136" s="5"/>
      <c r="C136" s="5"/>
      <c r="D136" s="5"/>
      <c r="E136" s="5"/>
      <c r="F136" s="5"/>
      <c r="G136" s="5"/>
      <c r="H136" s="5"/>
      <c r="I136" s="5"/>
      <c r="J136" s="5"/>
      <c r="K136" s="5"/>
      <c r="L136" s="6"/>
    </row>
    <row r="137" spans="1:12" ht="12.75">
      <c r="A137" s="4"/>
      <c r="B137" s="5"/>
      <c r="C137" s="5"/>
      <c r="D137" s="5"/>
      <c r="E137" s="5"/>
      <c r="F137" s="5"/>
      <c r="G137" s="5"/>
      <c r="H137" s="5"/>
      <c r="I137" s="5"/>
      <c r="J137" s="5"/>
      <c r="K137" s="5"/>
      <c r="L137" s="6"/>
    </row>
    <row r="138" spans="1:12" ht="12.75">
      <c r="A138" s="4"/>
      <c r="B138" s="5"/>
      <c r="C138" s="5"/>
      <c r="D138" s="5"/>
      <c r="E138" s="261"/>
      <c r="F138" s="5"/>
      <c r="G138" s="5"/>
      <c r="H138" s="5"/>
      <c r="I138" s="5"/>
      <c r="J138" s="5"/>
      <c r="K138" s="5"/>
      <c r="L138" s="6"/>
    </row>
    <row r="139" spans="1:12" ht="12.75">
      <c r="A139" s="4"/>
      <c r="B139" s="5"/>
      <c r="C139" s="5"/>
      <c r="D139" s="5"/>
      <c r="E139" s="262"/>
      <c r="F139" s="5"/>
      <c r="G139" s="5"/>
      <c r="H139" s="5"/>
      <c r="I139" s="5"/>
      <c r="J139" s="5"/>
      <c r="K139" s="5"/>
      <c r="L139" s="6"/>
    </row>
    <row r="140" spans="1:12" ht="15.75">
      <c r="A140" s="4"/>
      <c r="B140" s="264" t="s">
        <v>156</v>
      </c>
      <c r="C140" s="5"/>
      <c r="D140" s="5"/>
      <c r="E140" s="374" t="s">
        <v>41</v>
      </c>
      <c r="F140" s="5"/>
      <c r="G140" s="110" t="s">
        <v>157</v>
      </c>
      <c r="H140" s="5"/>
      <c r="I140" s="5"/>
      <c r="J140" s="5"/>
      <c r="K140" s="5"/>
      <c r="L140" s="6"/>
    </row>
    <row r="141" spans="1:12" ht="12.75">
      <c r="A141" s="4"/>
      <c r="B141" s="5"/>
      <c r="C141" s="22" t="s">
        <v>1339</v>
      </c>
      <c r="D141" s="147" t="s">
        <v>1339</v>
      </c>
      <c r="E141" s="261"/>
      <c r="F141" s="147" t="s">
        <v>1339</v>
      </c>
      <c r="G141" s="5"/>
      <c r="H141" s="5"/>
      <c r="I141" s="5"/>
      <c r="J141" s="5"/>
      <c r="K141" s="5"/>
      <c r="L141" s="6"/>
    </row>
    <row r="142" spans="1:12" ht="12.75">
      <c r="A142" s="4"/>
      <c r="B142" s="5"/>
      <c r="C142" s="22" t="s">
        <v>1340</v>
      </c>
      <c r="D142" s="147" t="s">
        <v>1341</v>
      </c>
      <c r="E142" s="262"/>
      <c r="F142" s="147" t="s">
        <v>1342</v>
      </c>
      <c r="G142" s="5"/>
      <c r="H142" s="5"/>
      <c r="I142" s="5"/>
      <c r="J142" s="5"/>
      <c r="K142" s="5"/>
      <c r="L142" s="6"/>
    </row>
    <row r="143" spans="1:12" ht="12.75">
      <c r="A143" s="4"/>
      <c r="B143" s="5"/>
      <c r="C143" s="5"/>
      <c r="D143" s="264" t="s">
        <v>158</v>
      </c>
      <c r="E143" s="5"/>
      <c r="F143" s="5"/>
      <c r="G143" s="5"/>
      <c r="H143" s="5"/>
      <c r="I143" s="5"/>
      <c r="J143" s="5"/>
      <c r="K143" s="5"/>
      <c r="L143" s="6"/>
    </row>
    <row r="144" spans="1:12" ht="13.5" thickBot="1">
      <c r="A144" s="7"/>
      <c r="B144" s="8"/>
      <c r="C144" s="8"/>
      <c r="D144" s="8"/>
      <c r="E144" s="8"/>
      <c r="F144" s="8"/>
      <c r="G144" s="8"/>
      <c r="H144" s="8"/>
      <c r="I144" s="8"/>
      <c r="J144" s="8"/>
      <c r="K144" s="8"/>
      <c r="L144" s="9"/>
    </row>
    <row r="145" ht="13.5" thickBot="1"/>
    <row r="146" spans="1:12" ht="12.75">
      <c r="A146" s="1"/>
      <c r="B146" s="2"/>
      <c r="C146" s="2"/>
      <c r="D146" s="2"/>
      <c r="E146" s="2"/>
      <c r="F146" s="2"/>
      <c r="G146" s="2"/>
      <c r="H146" s="2"/>
      <c r="I146" s="2"/>
      <c r="J146" s="2"/>
      <c r="K146" s="2"/>
      <c r="L146" s="3"/>
    </row>
    <row r="147" spans="1:12" ht="15.75">
      <c r="A147" s="14" t="s">
        <v>732</v>
      </c>
      <c r="B147" s="5"/>
      <c r="C147" s="5"/>
      <c r="D147" s="5"/>
      <c r="E147" s="5"/>
      <c r="F147" s="5"/>
      <c r="G147" s="5"/>
      <c r="H147" s="5"/>
      <c r="I147" s="5"/>
      <c r="J147" s="5"/>
      <c r="K147" s="5"/>
      <c r="L147" s="6"/>
    </row>
    <row r="148" spans="1:12" ht="15.75">
      <c r="A148" s="14" t="s">
        <v>733</v>
      </c>
      <c r="B148" s="5"/>
      <c r="C148" s="5"/>
      <c r="D148" s="5"/>
      <c r="E148" s="5"/>
      <c r="F148" s="5"/>
      <c r="G148" s="5"/>
      <c r="H148" s="5"/>
      <c r="I148" s="5"/>
      <c r="J148" s="5"/>
      <c r="K148" s="5"/>
      <c r="L148" s="6"/>
    </row>
    <row r="149" spans="1:12" ht="12.75">
      <c r="A149" s="4"/>
      <c r="B149" s="5"/>
      <c r="C149" s="5"/>
      <c r="D149" s="5"/>
      <c r="E149" s="5"/>
      <c r="F149" s="5"/>
      <c r="G149" s="5"/>
      <c r="H149" s="5"/>
      <c r="I149" s="5"/>
      <c r="J149" s="5"/>
      <c r="K149" s="5"/>
      <c r="L149" s="6"/>
    </row>
    <row r="150" spans="1:12" ht="12.75">
      <c r="A150" s="4"/>
      <c r="B150" s="5" t="s">
        <v>1728</v>
      </c>
      <c r="C150" s="5"/>
      <c r="D150" s="5"/>
      <c r="E150" s="5"/>
      <c r="F150" s="5"/>
      <c r="G150" s="5"/>
      <c r="H150" s="5"/>
      <c r="I150" s="5"/>
      <c r="J150" s="5"/>
      <c r="K150" s="5"/>
      <c r="L150" s="6"/>
    </row>
    <row r="151" spans="1:12" ht="12.75">
      <c r="A151" s="4"/>
      <c r="B151" s="5"/>
      <c r="C151" s="5"/>
      <c r="D151" s="5"/>
      <c r="E151" s="5"/>
      <c r="F151" s="5"/>
      <c r="G151" s="5"/>
      <c r="H151" s="5"/>
      <c r="I151" s="5"/>
      <c r="J151" s="5"/>
      <c r="K151" s="5"/>
      <c r="L151" s="6"/>
    </row>
    <row r="152" spans="1:12" ht="12.75">
      <c r="A152" s="4"/>
      <c r="B152" s="5" t="s">
        <v>269</v>
      </c>
      <c r="C152" s="5"/>
      <c r="D152" s="5"/>
      <c r="E152" s="5"/>
      <c r="F152" s="5"/>
      <c r="G152" s="5"/>
      <c r="H152" s="5"/>
      <c r="I152" s="5"/>
      <c r="J152" s="5"/>
      <c r="K152" s="5"/>
      <c r="L152" s="6"/>
    </row>
    <row r="153" spans="1:12" ht="12.75">
      <c r="A153" s="4"/>
      <c r="B153" s="5"/>
      <c r="C153" s="5"/>
      <c r="D153" s="5"/>
      <c r="E153" s="5"/>
      <c r="F153" s="5"/>
      <c r="G153" s="5"/>
      <c r="H153" s="5"/>
      <c r="I153" s="5"/>
      <c r="J153" s="5"/>
      <c r="K153" s="5"/>
      <c r="L153" s="6"/>
    </row>
    <row r="154" spans="1:12" ht="12.75">
      <c r="A154" s="4"/>
      <c r="B154" s="5"/>
      <c r="C154" s="5"/>
      <c r="D154" s="5"/>
      <c r="E154" s="5"/>
      <c r="F154" s="5"/>
      <c r="G154" s="5"/>
      <c r="H154" s="5"/>
      <c r="I154" s="5"/>
      <c r="J154" s="5"/>
      <c r="K154" s="5"/>
      <c r="L154" s="6"/>
    </row>
    <row r="155" spans="1:12" ht="12.75">
      <c r="A155" s="4"/>
      <c r="B155" s="22" t="s">
        <v>1428</v>
      </c>
      <c r="C155" s="5"/>
      <c r="D155" s="5"/>
      <c r="E155" s="5"/>
      <c r="F155" s="5"/>
      <c r="G155" s="5"/>
      <c r="H155" s="5"/>
      <c r="I155" s="5"/>
      <c r="J155" s="5"/>
      <c r="K155" s="5"/>
      <c r="L155" s="6"/>
    </row>
    <row r="156" spans="1:12" ht="12.75">
      <c r="A156" s="4"/>
      <c r="B156" s="5"/>
      <c r="C156" s="5"/>
      <c r="D156" s="5"/>
      <c r="E156" s="5"/>
      <c r="F156" s="5"/>
      <c r="G156" s="5"/>
      <c r="H156" s="5"/>
      <c r="I156" s="5"/>
      <c r="J156" s="5"/>
      <c r="K156" s="5"/>
      <c r="L156" s="6"/>
    </row>
    <row r="157" spans="1:12" ht="12.75">
      <c r="A157" s="4"/>
      <c r="B157" s="5" t="s">
        <v>1615</v>
      </c>
      <c r="C157" s="5"/>
      <c r="D157" s="15" t="s">
        <v>640</v>
      </c>
      <c r="E157" s="15"/>
      <c r="F157" s="15"/>
      <c r="G157" s="5"/>
      <c r="H157" s="5" t="s">
        <v>1616</v>
      </c>
      <c r="I157" s="5"/>
      <c r="J157" s="5" t="s">
        <v>1544</v>
      </c>
      <c r="K157" s="5"/>
      <c r="L157" s="6"/>
    </row>
    <row r="158" spans="1:12" ht="12.75">
      <c r="A158" s="4"/>
      <c r="B158" s="5"/>
      <c r="C158" s="5"/>
      <c r="D158" s="5"/>
      <c r="E158" s="5"/>
      <c r="F158" s="5"/>
      <c r="G158" s="5"/>
      <c r="H158" s="5"/>
      <c r="I158" s="5"/>
      <c r="J158" s="5"/>
      <c r="K158" s="5"/>
      <c r="L158" s="6"/>
    </row>
    <row r="159" spans="1:12" ht="12.75">
      <c r="A159" s="4"/>
      <c r="B159" s="104" t="s">
        <v>636</v>
      </c>
      <c r="C159" s="5" t="s">
        <v>167</v>
      </c>
      <c r="D159" s="152">
        <f>D$44</f>
        <v>0.8893290941618068</v>
      </c>
      <c r="E159" s="152">
        <f>E$44</f>
        <v>-0.34693545320348956</v>
      </c>
      <c r="F159" s="152">
        <f>F$44</f>
        <v>-0.29787506372274514</v>
      </c>
      <c r="G159" s="5"/>
      <c r="H159" s="94" t="s">
        <v>1429</v>
      </c>
      <c r="I159" s="5" t="s">
        <v>167</v>
      </c>
      <c r="J159" s="391">
        <f>J44</f>
        <v>-0.07446876593068605</v>
      </c>
      <c r="K159" s="52" t="s">
        <v>167</v>
      </c>
      <c r="L159" s="6"/>
    </row>
    <row r="160" spans="1:12" ht="12.75">
      <c r="A160" s="4"/>
      <c r="B160" s="104" t="s">
        <v>638</v>
      </c>
      <c r="C160" s="5" t="s">
        <v>1545</v>
      </c>
      <c r="D160" s="152">
        <f>D$45</f>
        <v>0.3634335695108401</v>
      </c>
      <c r="E160" s="152">
        <f>E$45</f>
        <v>0.9316201160089929</v>
      </c>
      <c r="F160" s="152">
        <f>F$45</f>
        <v>0</v>
      </c>
      <c r="G160" s="5" t="s">
        <v>641</v>
      </c>
      <c r="H160" s="94" t="s">
        <v>1430</v>
      </c>
      <c r="I160" s="5" t="s">
        <v>1546</v>
      </c>
      <c r="J160" s="391">
        <f>J45</f>
        <v>9.354615035242412E-17</v>
      </c>
      <c r="K160" s="52" t="s">
        <v>167</v>
      </c>
      <c r="L160" s="6"/>
    </row>
    <row r="161" spans="1:12" ht="12.75">
      <c r="A161" s="4"/>
      <c r="B161" s="104" t="s">
        <v>643</v>
      </c>
      <c r="C161" s="5" t="s">
        <v>167</v>
      </c>
      <c r="D161" s="152">
        <f>D$46</f>
        <v>0.27750640142156996</v>
      </c>
      <c r="E161" s="152">
        <f>E$46</f>
        <v>-0.10825779767702622</v>
      </c>
      <c r="F161" s="152">
        <f>F$46</f>
        <v>0.9546048640208002</v>
      </c>
      <c r="G161" s="5"/>
      <c r="H161" s="82">
        <v>0</v>
      </c>
      <c r="I161" s="5" t="s">
        <v>167</v>
      </c>
      <c r="J161" s="391">
        <f>J46</f>
        <v>0.23865121600520012</v>
      </c>
      <c r="K161" s="52" t="s">
        <v>167</v>
      </c>
      <c r="L161" s="6"/>
    </row>
    <row r="162" spans="1:12" ht="12.75">
      <c r="A162" s="4"/>
      <c r="B162" s="5"/>
      <c r="C162" s="5"/>
      <c r="D162" s="5"/>
      <c r="E162" s="5"/>
      <c r="F162" s="5"/>
      <c r="G162" s="5"/>
      <c r="H162" s="5"/>
      <c r="I162" s="5"/>
      <c r="J162" s="5"/>
      <c r="K162" s="5"/>
      <c r="L162" s="6"/>
    </row>
    <row r="163" spans="1:12" ht="12.75">
      <c r="A163" s="4"/>
      <c r="B163" s="5"/>
      <c r="C163" s="5"/>
      <c r="D163" s="5"/>
      <c r="E163" s="5"/>
      <c r="F163" s="5"/>
      <c r="G163" s="5"/>
      <c r="H163" s="5"/>
      <c r="I163" s="5"/>
      <c r="J163" s="5"/>
      <c r="K163" s="5"/>
      <c r="L163" s="6"/>
    </row>
    <row r="164" spans="1:12" ht="12.75">
      <c r="A164" s="4"/>
      <c r="B164" s="5"/>
      <c r="C164" s="5" t="s">
        <v>1431</v>
      </c>
      <c r="D164" s="5"/>
      <c r="E164" s="5"/>
      <c r="F164" s="22" t="s">
        <v>1615</v>
      </c>
      <c r="G164" s="5"/>
      <c r="H164" s="5"/>
      <c r="I164" s="5"/>
      <c r="J164" s="22" t="s">
        <v>734</v>
      </c>
      <c r="K164" s="5"/>
      <c r="L164" s="6"/>
    </row>
    <row r="165" spans="1:12" ht="12.75">
      <c r="A165" s="4"/>
      <c r="B165" s="26" t="s">
        <v>721</v>
      </c>
      <c r="C165" s="91">
        <f>C66</f>
        <v>-0.0525</v>
      </c>
      <c r="D165" s="5" t="s">
        <v>167</v>
      </c>
      <c r="E165" s="26" t="s">
        <v>735</v>
      </c>
      <c r="F165" s="185">
        <f>(D$159*C165+E$159*C166+F$159*C167)+J$159</f>
        <v>-0.1419746705663903</v>
      </c>
      <c r="G165" s="5" t="s">
        <v>167</v>
      </c>
      <c r="H165" s="5"/>
      <c r="I165" s="5"/>
      <c r="J165" s="26" t="s">
        <v>736</v>
      </c>
      <c r="K165" s="185">
        <f>F165/H167</f>
        <v>-0.541052223621373</v>
      </c>
      <c r="L165" s="6"/>
    </row>
    <row r="166" spans="1:12" ht="12.75">
      <c r="A166" s="4"/>
      <c r="B166" s="26" t="s">
        <v>1785</v>
      </c>
      <c r="C166" s="91">
        <f>C67</f>
        <v>0.06</v>
      </c>
      <c r="D166" s="5" t="s">
        <v>167</v>
      </c>
      <c r="E166" s="26" t="s">
        <v>774</v>
      </c>
      <c r="F166" s="185">
        <f>(D$160*C165+E$160*C166+F$160*C167)+J$160</f>
        <v>0.03681694456122055</v>
      </c>
      <c r="G166" s="5" t="s">
        <v>167</v>
      </c>
      <c r="H166" s="22" t="s">
        <v>1522</v>
      </c>
      <c r="I166" s="5"/>
      <c r="J166" s="26" t="s">
        <v>1421</v>
      </c>
      <c r="K166" s="185">
        <f>F166/H167</f>
        <v>0.14030594078736208</v>
      </c>
      <c r="L166" s="6"/>
    </row>
    <row r="167" spans="1:13" ht="12.75">
      <c r="A167" s="4"/>
      <c r="B167" s="26" t="s">
        <v>1516</v>
      </c>
      <c r="C167" s="166">
        <v>0</v>
      </c>
      <c r="D167" s="5" t="s">
        <v>167</v>
      </c>
      <c r="E167" s="26" t="s">
        <v>1517</v>
      </c>
      <c r="F167" s="185">
        <f>(D$161*C165+E$161*C166+F$161*C167)+J$161</f>
        <v>0.21758666206994612</v>
      </c>
      <c r="G167" s="5" t="s">
        <v>167</v>
      </c>
      <c r="H167" s="185">
        <f>SQRT(F165^2+F166^2+F167^2)</f>
        <v>0.2624047446217388</v>
      </c>
      <c r="I167" s="5" t="s">
        <v>167</v>
      </c>
      <c r="J167" s="26" t="s">
        <v>1518</v>
      </c>
      <c r="K167" s="185">
        <f>F167/H167</f>
        <v>0.8292024688181658</v>
      </c>
      <c r="L167" s="6"/>
      <c r="M167">
        <f>SQRT(K165^2+K166^2+K167^2)</f>
        <v>1</v>
      </c>
    </row>
    <row r="168" spans="1:12" ht="12.75">
      <c r="A168" s="4"/>
      <c r="B168" s="5"/>
      <c r="C168" s="5"/>
      <c r="D168" s="5"/>
      <c r="E168" s="5"/>
      <c r="F168" s="5"/>
      <c r="G168" s="5"/>
      <c r="H168" s="5"/>
      <c r="I168" s="5"/>
      <c r="J168" s="5"/>
      <c r="K168" s="5"/>
      <c r="L168" s="6"/>
    </row>
    <row r="169" spans="1:12" ht="12.75">
      <c r="A169" s="4"/>
      <c r="B169" s="5"/>
      <c r="C169" s="5"/>
      <c r="D169" s="5"/>
      <c r="E169" s="5"/>
      <c r="F169" s="5"/>
      <c r="G169" s="5"/>
      <c r="H169" s="5"/>
      <c r="I169" s="5"/>
      <c r="J169" s="5"/>
      <c r="K169" s="5"/>
      <c r="L169" s="6"/>
    </row>
    <row r="170" spans="1:12" ht="12.75">
      <c r="A170" s="4"/>
      <c r="B170" s="22" t="s">
        <v>1623</v>
      </c>
      <c r="C170" s="5"/>
      <c r="D170" s="5"/>
      <c r="E170" s="5"/>
      <c r="F170" s="5"/>
      <c r="G170" s="5"/>
      <c r="H170" s="5"/>
      <c r="I170" s="5"/>
      <c r="J170" s="5"/>
      <c r="K170" s="5"/>
      <c r="L170" s="6"/>
    </row>
    <row r="171" spans="1:12" ht="12.75">
      <c r="A171" s="4"/>
      <c r="B171" s="5"/>
      <c r="C171" s="5"/>
      <c r="D171" s="5"/>
      <c r="E171" s="5"/>
      <c r="F171" s="5"/>
      <c r="G171" s="5"/>
      <c r="H171" s="5"/>
      <c r="I171" s="5"/>
      <c r="J171" s="5"/>
      <c r="K171" s="5"/>
      <c r="L171" s="6"/>
    </row>
    <row r="172" spans="1:12" ht="12.75">
      <c r="A172" s="4"/>
      <c r="B172" s="5"/>
      <c r="C172" s="5" t="s">
        <v>1431</v>
      </c>
      <c r="D172" s="5"/>
      <c r="E172" s="5"/>
      <c r="F172" s="22" t="s">
        <v>1615</v>
      </c>
      <c r="G172" s="5"/>
      <c r="H172" s="5"/>
      <c r="I172" s="5"/>
      <c r="J172" s="22" t="s">
        <v>734</v>
      </c>
      <c r="K172" s="5"/>
      <c r="L172" s="6"/>
    </row>
    <row r="173" spans="1:12" ht="12.75">
      <c r="A173" s="4"/>
      <c r="B173" s="26" t="s">
        <v>1783</v>
      </c>
      <c r="C173" s="94">
        <f>F66</f>
        <v>0</v>
      </c>
      <c r="D173" s="5" t="s">
        <v>167</v>
      </c>
      <c r="E173" s="26" t="s">
        <v>1624</v>
      </c>
      <c r="F173" s="185">
        <f>(D$159*C173+E$159*C174+F$159*C175)+J$159</f>
        <v>-0.09528489312289543</v>
      </c>
      <c r="G173" s="5" t="s">
        <v>167</v>
      </c>
      <c r="H173" s="5"/>
      <c r="I173" s="5"/>
      <c r="J173" s="26" t="s">
        <v>1625</v>
      </c>
      <c r="K173" s="185">
        <f>F173/H175</f>
        <v>-0.37061528057309695</v>
      </c>
      <c r="L173" s="6"/>
    </row>
    <row r="174" spans="1:12" ht="12.75">
      <c r="A174" s="4"/>
      <c r="B174" s="26" t="s">
        <v>1786</v>
      </c>
      <c r="C174" s="94">
        <f>F67</f>
        <v>0.06</v>
      </c>
      <c r="D174" s="5" t="s">
        <v>167</v>
      </c>
      <c r="E174" s="26" t="s">
        <v>1626</v>
      </c>
      <c r="F174" s="185">
        <f>(D$160*C173+E$160*C174+F$160*C175)+J$160</f>
        <v>0.05589720696053966</v>
      </c>
      <c r="G174" s="5" t="s">
        <v>167</v>
      </c>
      <c r="H174" s="22" t="s">
        <v>1522</v>
      </c>
      <c r="I174" s="5"/>
      <c r="J174" s="26" t="s">
        <v>1627</v>
      </c>
      <c r="K174" s="185">
        <f>F174/H175</f>
        <v>0.21741493705842305</v>
      </c>
      <c r="L174" s="6"/>
    </row>
    <row r="175" spans="1:13" ht="12.75">
      <c r="A175" s="4"/>
      <c r="B175" s="26" t="s">
        <v>1628</v>
      </c>
      <c r="C175" s="82">
        <f>0</f>
        <v>0</v>
      </c>
      <c r="D175" s="5" t="s">
        <v>167</v>
      </c>
      <c r="E175" s="26" t="s">
        <v>1629</v>
      </c>
      <c r="F175" s="185">
        <f>(D$161*C173+E$161*C174+F$161*C175)+J$161</f>
        <v>0.23215574814457854</v>
      </c>
      <c r="G175" s="5" t="s">
        <v>167</v>
      </c>
      <c r="H175" s="185">
        <f>SQRT(F173^2+F174^2+F175^2)</f>
        <v>0.2570992026436488</v>
      </c>
      <c r="I175" s="5" t="s">
        <v>167</v>
      </c>
      <c r="J175" s="26" t="s">
        <v>1630</v>
      </c>
      <c r="K175" s="185">
        <f>F175/H175</f>
        <v>0.902981206310301</v>
      </c>
      <c r="L175" s="6"/>
      <c r="M175">
        <f>SQRT(K173^2+K174^2+K175^2)</f>
        <v>0.9999999999999999</v>
      </c>
    </row>
    <row r="176" spans="1:12" ht="12.75">
      <c r="A176" s="4"/>
      <c r="B176" s="5"/>
      <c r="C176" s="5"/>
      <c r="D176" s="5"/>
      <c r="E176" s="5"/>
      <c r="F176" s="5"/>
      <c r="G176" s="5"/>
      <c r="H176" s="5"/>
      <c r="I176" s="5"/>
      <c r="J176" s="5"/>
      <c r="K176" s="5"/>
      <c r="L176" s="6"/>
    </row>
    <row r="177" spans="1:12" ht="12.75">
      <c r="A177" s="4"/>
      <c r="B177" s="5"/>
      <c r="C177" s="5"/>
      <c r="D177" s="5"/>
      <c r="E177" s="5"/>
      <c r="F177" s="5"/>
      <c r="G177" s="5"/>
      <c r="H177" s="5"/>
      <c r="I177" s="5"/>
      <c r="J177" s="5"/>
      <c r="K177" s="5"/>
      <c r="L177" s="6"/>
    </row>
    <row r="178" spans="1:12" ht="12.75">
      <c r="A178" s="4"/>
      <c r="B178" s="22" t="s">
        <v>1631</v>
      </c>
      <c r="C178" s="5"/>
      <c r="D178" s="5"/>
      <c r="E178" s="5"/>
      <c r="F178" s="5"/>
      <c r="G178" s="5"/>
      <c r="H178" s="5"/>
      <c r="I178" s="5"/>
      <c r="J178" s="5"/>
      <c r="K178" s="5"/>
      <c r="L178" s="6"/>
    </row>
    <row r="179" spans="1:12" ht="12.75">
      <c r="A179" s="4"/>
      <c r="B179" s="5"/>
      <c r="C179" s="5"/>
      <c r="D179" s="5"/>
      <c r="E179" s="5"/>
      <c r="F179" s="5"/>
      <c r="G179" s="5"/>
      <c r="H179" s="5"/>
      <c r="I179" s="5"/>
      <c r="J179" s="5"/>
      <c r="K179" s="5"/>
      <c r="L179" s="6"/>
    </row>
    <row r="180" spans="1:12" ht="12.75">
      <c r="A180" s="4"/>
      <c r="B180" s="5"/>
      <c r="C180" s="5" t="s">
        <v>1431</v>
      </c>
      <c r="D180" s="5"/>
      <c r="E180" s="5"/>
      <c r="F180" s="22" t="s">
        <v>1615</v>
      </c>
      <c r="G180" s="5"/>
      <c r="H180" s="5"/>
      <c r="I180" s="5"/>
      <c r="J180" s="22" t="s">
        <v>734</v>
      </c>
      <c r="K180" s="5"/>
      <c r="L180" s="6"/>
    </row>
    <row r="181" spans="1:12" ht="12.75">
      <c r="A181" s="4"/>
      <c r="B181" s="26" t="s">
        <v>1784</v>
      </c>
      <c r="C181" s="94">
        <f>I66</f>
        <v>0.0525</v>
      </c>
      <c r="D181" s="5" t="s">
        <v>167</v>
      </c>
      <c r="E181" s="26" t="s">
        <v>1632</v>
      </c>
      <c r="F181" s="185">
        <f>(D$159*C181+E$159*C182+F$159*C183)+J$159</f>
        <v>-0.04859511567940057</v>
      </c>
      <c r="G181" s="5" t="s">
        <v>167</v>
      </c>
      <c r="H181" s="5"/>
      <c r="I181" s="5"/>
      <c r="J181" s="26" t="s">
        <v>1633</v>
      </c>
      <c r="K181" s="185">
        <f>F181/H183</f>
        <v>-0.1851914520427262</v>
      </c>
      <c r="L181" s="6"/>
    </row>
    <row r="182" spans="1:12" ht="12.75">
      <c r="A182" s="4"/>
      <c r="B182" s="26" t="s">
        <v>1787</v>
      </c>
      <c r="C182" s="94">
        <f>I67</f>
        <v>0.06</v>
      </c>
      <c r="D182" s="5" t="s">
        <v>167</v>
      </c>
      <c r="E182" s="26" t="s">
        <v>1737</v>
      </c>
      <c r="F182" s="185">
        <f>(D$160*C181+E$160*C182+F$160*C183)+J$160</f>
        <v>0.07497746935985877</v>
      </c>
      <c r="G182" s="5" t="s">
        <v>167</v>
      </c>
      <c r="H182" s="22" t="s">
        <v>1522</v>
      </c>
      <c r="I182" s="5"/>
      <c r="J182" s="26" t="s">
        <v>1738</v>
      </c>
      <c r="K182" s="185">
        <f>F182/H183</f>
        <v>0.285732140506606</v>
      </c>
      <c r="L182" s="6"/>
    </row>
    <row r="183" spans="1:13" ht="12.75">
      <c r="A183" s="4"/>
      <c r="B183" s="26" t="s">
        <v>1733</v>
      </c>
      <c r="C183" s="82">
        <f>0</f>
        <v>0</v>
      </c>
      <c r="D183" s="5" t="s">
        <v>167</v>
      </c>
      <c r="E183" s="26" t="s">
        <v>1734</v>
      </c>
      <c r="F183" s="185">
        <f>(D$161*C181+E$161*C182+F$161*C183)+J$161</f>
        <v>0.24672483421921096</v>
      </c>
      <c r="G183" s="5" t="s">
        <v>167</v>
      </c>
      <c r="H183" s="185">
        <f>SQRT(F181^2+F182^2+F183^2)</f>
        <v>0.2624047446217389</v>
      </c>
      <c r="I183" s="5" t="s">
        <v>167</v>
      </c>
      <c r="J183" s="26" t="s">
        <v>1699</v>
      </c>
      <c r="K183" s="185">
        <f>F183/H183</f>
        <v>0.9402453243552025</v>
      </c>
      <c r="L183" s="6"/>
      <c r="M183">
        <f>SQRT(K181^2+K182^2+K183^2)</f>
        <v>1</v>
      </c>
    </row>
    <row r="184" spans="1:12" ht="12.75">
      <c r="A184" s="4"/>
      <c r="B184" s="5"/>
      <c r="C184" s="5"/>
      <c r="D184" s="5"/>
      <c r="E184" s="5"/>
      <c r="F184" s="5"/>
      <c r="G184" s="5"/>
      <c r="H184" s="5"/>
      <c r="I184" s="5"/>
      <c r="J184" s="5"/>
      <c r="K184" s="5"/>
      <c r="L184" s="6"/>
    </row>
    <row r="185" spans="1:12" ht="12.75">
      <c r="A185" s="4"/>
      <c r="B185" s="5"/>
      <c r="C185" s="5"/>
      <c r="D185" s="5"/>
      <c r="E185" s="5"/>
      <c r="F185" s="5"/>
      <c r="G185" s="5"/>
      <c r="H185" s="5"/>
      <c r="I185" s="5"/>
      <c r="J185" s="5"/>
      <c r="K185" s="5"/>
      <c r="L185" s="6"/>
    </row>
    <row r="186" spans="1:12" ht="12.75">
      <c r="A186" s="4"/>
      <c r="B186" s="22" t="s">
        <v>1700</v>
      </c>
      <c r="C186" s="5"/>
      <c r="D186" s="5"/>
      <c r="E186" s="5"/>
      <c r="F186" s="5"/>
      <c r="G186" s="5"/>
      <c r="H186" s="5"/>
      <c r="I186" s="5"/>
      <c r="J186" s="5"/>
      <c r="K186" s="5"/>
      <c r="L186" s="6"/>
    </row>
    <row r="187" spans="1:12" ht="12.75">
      <c r="A187" s="4"/>
      <c r="B187" s="5"/>
      <c r="C187" s="5"/>
      <c r="D187" s="5"/>
      <c r="E187" s="5"/>
      <c r="F187" s="5"/>
      <c r="G187" s="5"/>
      <c r="H187" s="5"/>
      <c r="I187" s="5"/>
      <c r="J187" s="5"/>
      <c r="K187" s="5"/>
      <c r="L187" s="6"/>
    </row>
    <row r="188" spans="1:12" ht="12.75">
      <c r="A188" s="4"/>
      <c r="B188" s="5"/>
      <c r="C188" s="5" t="s">
        <v>1431</v>
      </c>
      <c r="D188" s="5"/>
      <c r="E188" s="5"/>
      <c r="F188" s="22" t="s">
        <v>1615</v>
      </c>
      <c r="G188" s="5"/>
      <c r="H188" s="5"/>
      <c r="I188" s="5"/>
      <c r="J188" s="22" t="s">
        <v>734</v>
      </c>
      <c r="K188" s="5"/>
      <c r="L188" s="6"/>
    </row>
    <row r="189" spans="1:12" ht="12.75">
      <c r="A189" s="4"/>
      <c r="B189" s="26" t="s">
        <v>1791</v>
      </c>
      <c r="C189" s="94">
        <f>D82</f>
        <v>-0.0525</v>
      </c>
      <c r="D189" s="5" t="s">
        <v>167</v>
      </c>
      <c r="E189" s="26" t="s">
        <v>1701</v>
      </c>
      <c r="F189" s="185">
        <f>(D$159*C189+E$159*C190+F$159*C191)+J$159</f>
        <v>-0.1211585433741809</v>
      </c>
      <c r="G189" s="5" t="s">
        <v>167</v>
      </c>
      <c r="H189" s="5"/>
      <c r="I189" s="5"/>
      <c r="J189" s="26" t="s">
        <v>1702</v>
      </c>
      <c r="K189" s="185">
        <f>F189/H191</f>
        <v>-0.4742889284653748</v>
      </c>
      <c r="L189" s="6"/>
    </row>
    <row r="190" spans="1:12" ht="12.75">
      <c r="A190" s="4"/>
      <c r="B190" s="26" t="s">
        <v>831</v>
      </c>
      <c r="C190" s="94">
        <f>D83</f>
        <v>0</v>
      </c>
      <c r="D190" s="5" t="s">
        <v>167</v>
      </c>
      <c r="E190" s="26" t="s">
        <v>1703</v>
      </c>
      <c r="F190" s="185">
        <f>(D$160*C189+E$160*C190+F$160*C191)+J$160</f>
        <v>-0.019080262399319012</v>
      </c>
      <c r="G190" s="5" t="s">
        <v>167</v>
      </c>
      <c r="H190" s="22" t="s">
        <v>1522</v>
      </c>
      <c r="I190" s="5"/>
      <c r="J190" s="26" t="s">
        <v>1704</v>
      </c>
      <c r="K190" s="185">
        <f>F190/H191</f>
        <v>-0.07469186205270666</v>
      </c>
      <c r="L190" s="6" t="s">
        <v>1705</v>
      </c>
    </row>
    <row r="191" spans="1:13" ht="12.75">
      <c r="A191" s="4"/>
      <c r="B191" s="26" t="s">
        <v>1706</v>
      </c>
      <c r="C191" s="82">
        <f>0</f>
        <v>0</v>
      </c>
      <c r="D191" s="5" t="s">
        <v>167</v>
      </c>
      <c r="E191" s="26" t="s">
        <v>1707</v>
      </c>
      <c r="F191" s="185">
        <f>(D$161*C189+E$161*C190+F$161*C191)+J$161</f>
        <v>0.2240821299305677</v>
      </c>
      <c r="G191" s="5" t="s">
        <v>167</v>
      </c>
      <c r="H191" s="185">
        <f>SQRT(F189^2+F190^2+F191^2)</f>
        <v>0.2554530289505293</v>
      </c>
      <c r="I191" s="5" t="s">
        <v>167</v>
      </c>
      <c r="J191" s="26" t="s">
        <v>1708</v>
      </c>
      <c r="K191" s="185">
        <f>F191/H191</f>
        <v>0.8771950399302689</v>
      </c>
      <c r="L191" s="6"/>
      <c r="M191">
        <f>SQRT(K189^2+K190^2+K191^2)</f>
        <v>1</v>
      </c>
    </row>
    <row r="192" spans="1:12" ht="12.75">
      <c r="A192" s="4"/>
      <c r="B192" s="5"/>
      <c r="C192" s="5"/>
      <c r="D192" s="5"/>
      <c r="E192" s="5"/>
      <c r="F192" s="5"/>
      <c r="G192" s="5"/>
      <c r="H192" s="5"/>
      <c r="I192" s="5"/>
      <c r="J192" s="5"/>
      <c r="K192" s="5"/>
      <c r="L192" s="6"/>
    </row>
    <row r="193" spans="1:12" ht="12.75">
      <c r="A193" s="4"/>
      <c r="B193" s="5"/>
      <c r="C193" s="5"/>
      <c r="D193" s="5"/>
      <c r="E193" s="5"/>
      <c r="F193" s="5"/>
      <c r="G193" s="5"/>
      <c r="H193" s="5"/>
      <c r="I193" s="5"/>
      <c r="J193" s="5"/>
      <c r="K193" s="5"/>
      <c r="L193" s="6"/>
    </row>
    <row r="194" spans="1:12" ht="12.75">
      <c r="A194" s="4"/>
      <c r="B194" s="22" t="s">
        <v>1452</v>
      </c>
      <c r="C194" s="5"/>
      <c r="D194" s="5"/>
      <c r="E194" s="5"/>
      <c r="F194" s="5"/>
      <c r="G194" s="5"/>
      <c r="H194" s="5"/>
      <c r="I194" s="5"/>
      <c r="J194" s="5"/>
      <c r="K194" s="5"/>
      <c r="L194" s="6"/>
    </row>
    <row r="195" spans="1:12" ht="12.75">
      <c r="A195" s="4"/>
      <c r="B195" s="5"/>
      <c r="C195" s="5"/>
      <c r="D195" s="5"/>
      <c r="E195" s="5"/>
      <c r="F195" s="5"/>
      <c r="G195" s="5"/>
      <c r="H195" s="5"/>
      <c r="I195" s="5"/>
      <c r="J195" s="5"/>
      <c r="K195" s="5"/>
      <c r="L195" s="6"/>
    </row>
    <row r="196" spans="1:12" ht="12.75">
      <c r="A196" s="4"/>
      <c r="B196" s="5"/>
      <c r="C196" s="5" t="s">
        <v>1431</v>
      </c>
      <c r="D196" s="5"/>
      <c r="E196" s="5"/>
      <c r="F196" s="22" t="s">
        <v>1615</v>
      </c>
      <c r="G196" s="5"/>
      <c r="H196" s="5"/>
      <c r="I196" s="5"/>
      <c r="J196" s="22" t="s">
        <v>734</v>
      </c>
      <c r="K196" s="5"/>
      <c r="L196" s="6"/>
    </row>
    <row r="197" spans="1:12" ht="12.75">
      <c r="A197" s="4"/>
      <c r="B197" s="26" t="s">
        <v>1792</v>
      </c>
      <c r="C197" s="339">
        <f>G82</f>
        <v>0</v>
      </c>
      <c r="D197" s="5" t="s">
        <v>167</v>
      </c>
      <c r="E197" s="26" t="s">
        <v>1453</v>
      </c>
      <c r="F197" s="185">
        <f>(D$159*C197+E$159*C198+F$159*C199)+J$159</f>
        <v>-0.07446876593068605</v>
      </c>
      <c r="G197" s="52" t="s">
        <v>167</v>
      </c>
      <c r="H197" s="5"/>
      <c r="I197" s="5"/>
      <c r="J197" s="26" t="s">
        <v>1454</v>
      </c>
      <c r="K197" s="373">
        <f>F197/H199</f>
        <v>-0.29787506372274425</v>
      </c>
      <c r="L197" s="258"/>
    </row>
    <row r="198" spans="1:12" ht="12.75">
      <c r="A198" s="4"/>
      <c r="B198" s="26" t="s">
        <v>832</v>
      </c>
      <c r="C198" s="339">
        <f>G83</f>
        <v>0</v>
      </c>
      <c r="D198" s="5" t="s">
        <v>167</v>
      </c>
      <c r="E198" s="26" t="s">
        <v>1455</v>
      </c>
      <c r="F198" s="185">
        <f>(D$160*C197+E$160*C198+F$160*C199)+J$160</f>
        <v>9.354615035242412E-17</v>
      </c>
      <c r="G198" s="52" t="s">
        <v>167</v>
      </c>
      <c r="H198" s="22" t="s">
        <v>1522</v>
      </c>
      <c r="I198" s="5"/>
      <c r="J198" s="26" t="s">
        <v>1529</v>
      </c>
      <c r="K198" s="373">
        <f>F198/H199</f>
        <v>3.741846014096965E-16</v>
      </c>
      <c r="L198" s="258" t="s">
        <v>1530</v>
      </c>
    </row>
    <row r="199" spans="1:13" ht="12.75">
      <c r="A199" s="4"/>
      <c r="B199" s="26" t="s">
        <v>1638</v>
      </c>
      <c r="C199" s="340">
        <f>0</f>
        <v>0</v>
      </c>
      <c r="D199" s="5" t="s">
        <v>167</v>
      </c>
      <c r="E199" s="26" t="s">
        <v>1639</v>
      </c>
      <c r="F199" s="185">
        <f>(D$161*C197+E$161*C198+F$161*C199)+J$161</f>
        <v>0.23865121600520012</v>
      </c>
      <c r="G199" s="5" t="s">
        <v>167</v>
      </c>
      <c r="H199" s="185">
        <f>SQRT(F197^2+F198^2+F199^2)</f>
        <v>0.24999999999999997</v>
      </c>
      <c r="I199" s="5" t="s">
        <v>167</v>
      </c>
      <c r="J199" s="26" t="s">
        <v>1640</v>
      </c>
      <c r="K199" s="373">
        <f>F199/H199</f>
        <v>0.9546048640208006</v>
      </c>
      <c r="L199" s="258"/>
      <c r="M199">
        <f>SQRT(K197^2+K198^2+K199^2)</f>
        <v>1</v>
      </c>
    </row>
    <row r="200" spans="1:12" ht="12.75">
      <c r="A200" s="4"/>
      <c r="B200" s="5"/>
      <c r="C200" s="5"/>
      <c r="D200" s="5"/>
      <c r="E200" s="5"/>
      <c r="F200" s="5"/>
      <c r="G200" s="5"/>
      <c r="H200" s="5"/>
      <c r="I200" s="5"/>
      <c r="J200" s="5"/>
      <c r="K200" s="5"/>
      <c r="L200" s="6"/>
    </row>
    <row r="201" spans="1:12" ht="12.75">
      <c r="A201" s="4"/>
      <c r="B201" s="5"/>
      <c r="C201" s="5"/>
      <c r="D201" s="5"/>
      <c r="E201" s="5"/>
      <c r="F201" s="5"/>
      <c r="G201" s="5"/>
      <c r="H201" s="5"/>
      <c r="I201" s="5"/>
      <c r="J201" s="5"/>
      <c r="K201" s="5"/>
      <c r="L201" s="6"/>
    </row>
    <row r="202" spans="1:12" ht="12.75">
      <c r="A202" s="4"/>
      <c r="B202" s="22" t="s">
        <v>1641</v>
      </c>
      <c r="C202" s="5"/>
      <c r="D202" s="5"/>
      <c r="E202" s="5"/>
      <c r="F202" s="5"/>
      <c r="G202" s="5"/>
      <c r="H202" s="5"/>
      <c r="I202" s="5"/>
      <c r="J202" s="5"/>
      <c r="K202" s="5"/>
      <c r="L202" s="6"/>
    </row>
    <row r="203" spans="1:12" ht="12.75">
      <c r="A203" s="4"/>
      <c r="B203" s="5"/>
      <c r="C203" s="5"/>
      <c r="D203" s="5"/>
      <c r="E203" s="5"/>
      <c r="F203" s="5"/>
      <c r="G203" s="5"/>
      <c r="H203" s="5"/>
      <c r="I203" s="5"/>
      <c r="J203" s="5"/>
      <c r="K203" s="5"/>
      <c r="L203" s="6"/>
    </row>
    <row r="204" spans="1:12" ht="12.75">
      <c r="A204" s="4"/>
      <c r="B204" s="5"/>
      <c r="C204" s="5" t="s">
        <v>1431</v>
      </c>
      <c r="D204" s="5"/>
      <c r="E204" s="5"/>
      <c r="F204" s="22" t="s">
        <v>1615</v>
      </c>
      <c r="G204" s="5"/>
      <c r="H204" s="5"/>
      <c r="I204" s="5"/>
      <c r="J204" s="22" t="s">
        <v>734</v>
      </c>
      <c r="K204" s="5"/>
      <c r="L204" s="6"/>
    </row>
    <row r="205" spans="1:12" ht="12.75">
      <c r="A205" s="4"/>
      <c r="B205" s="26" t="s">
        <v>1642</v>
      </c>
      <c r="C205" s="94">
        <f>I82</f>
        <v>0.0525</v>
      </c>
      <c r="D205" s="5" t="s">
        <v>167</v>
      </c>
      <c r="E205" s="26" t="s">
        <v>1643</v>
      </c>
      <c r="F205" s="185">
        <f>(D$159*C205+E$159*C206+F$159*C207)+J$159</f>
        <v>-0.027778988487191195</v>
      </c>
      <c r="G205" s="5" t="s">
        <v>167</v>
      </c>
      <c r="H205" s="5"/>
      <c r="I205" s="5"/>
      <c r="J205" s="26" t="s">
        <v>1644</v>
      </c>
      <c r="K205" s="185">
        <f>F205/H207</f>
        <v>-0.10874401686022218</v>
      </c>
      <c r="L205" s="6"/>
    </row>
    <row r="206" spans="1:12" ht="12.75">
      <c r="A206" s="4"/>
      <c r="B206" s="26" t="s">
        <v>1537</v>
      </c>
      <c r="C206" s="94">
        <f>I83</f>
        <v>0</v>
      </c>
      <c r="D206" s="5" t="s">
        <v>167</v>
      </c>
      <c r="E206" s="26" t="s">
        <v>1538</v>
      </c>
      <c r="F206" s="185">
        <f>(D$160*C205+E$160*C206+F$160*C207)+J$160</f>
        <v>0.0190802623993192</v>
      </c>
      <c r="G206" s="5" t="s">
        <v>167</v>
      </c>
      <c r="H206" s="22" t="s">
        <v>1522</v>
      </c>
      <c r="I206" s="5"/>
      <c r="J206" s="26" t="s">
        <v>1539</v>
      </c>
      <c r="K206" s="185">
        <f>F206/H207</f>
        <v>0.07469186205270735</v>
      </c>
      <c r="L206" s="6" t="s">
        <v>1530</v>
      </c>
    </row>
    <row r="207" spans="1:13" ht="12.75">
      <c r="A207" s="4"/>
      <c r="B207" s="26" t="s">
        <v>1540</v>
      </c>
      <c r="C207" s="82">
        <f>0</f>
        <v>0</v>
      </c>
      <c r="D207" s="5" t="s">
        <v>167</v>
      </c>
      <c r="E207" s="26" t="s">
        <v>1712</v>
      </c>
      <c r="F207" s="185">
        <f>(D$161*C205+E$161*C206+F$161*C207)+J$161</f>
        <v>0.25322030207983254</v>
      </c>
      <c r="G207" s="5" t="s">
        <v>167</v>
      </c>
      <c r="H207" s="185">
        <f>SQRT(F205^2+F206^2+F207^2)</f>
        <v>0.2554530289505294</v>
      </c>
      <c r="I207" s="5" t="s">
        <v>167</v>
      </c>
      <c r="J207" s="26" t="s">
        <v>1713</v>
      </c>
      <c r="K207" s="185">
        <f>F207/H207</f>
        <v>0.9912597361641413</v>
      </c>
      <c r="L207" s="6"/>
      <c r="M207">
        <f>SQRT(K205^2+K206^2+K207^2)</f>
        <v>1</v>
      </c>
    </row>
    <row r="208" spans="1:12" ht="12.75">
      <c r="A208" s="4"/>
      <c r="B208" s="5"/>
      <c r="C208" s="5"/>
      <c r="D208" s="5"/>
      <c r="E208" s="5"/>
      <c r="F208" s="5"/>
      <c r="G208" s="5"/>
      <c r="H208" s="5"/>
      <c r="I208" s="5"/>
      <c r="J208" s="5"/>
      <c r="K208" s="5"/>
      <c r="L208" s="6"/>
    </row>
    <row r="209" spans="1:12" ht="12.75">
      <c r="A209" s="4"/>
      <c r="B209" s="5"/>
      <c r="C209" s="5"/>
      <c r="D209" s="5"/>
      <c r="E209" s="5"/>
      <c r="F209" s="5"/>
      <c r="G209" s="5"/>
      <c r="H209" s="5"/>
      <c r="I209" s="5"/>
      <c r="J209" s="5"/>
      <c r="K209" s="5"/>
      <c r="L209" s="6"/>
    </row>
    <row r="210" spans="1:12" ht="12.75">
      <c r="A210" s="4"/>
      <c r="B210" s="22" t="s">
        <v>1654</v>
      </c>
      <c r="C210" s="5"/>
      <c r="D210" s="5"/>
      <c r="E210" s="5"/>
      <c r="F210" s="5"/>
      <c r="G210" s="5"/>
      <c r="H210" s="5"/>
      <c r="I210" s="5"/>
      <c r="J210" s="5"/>
      <c r="K210" s="5"/>
      <c r="L210" s="6"/>
    </row>
    <row r="211" spans="1:12" ht="12.75">
      <c r="A211" s="4"/>
      <c r="B211" s="5"/>
      <c r="C211" s="5"/>
      <c r="D211" s="5"/>
      <c r="E211" s="5"/>
      <c r="F211" s="5"/>
      <c r="G211" s="5"/>
      <c r="H211" s="5"/>
      <c r="I211" s="5"/>
      <c r="J211" s="5"/>
      <c r="K211" s="5"/>
      <c r="L211" s="6"/>
    </row>
    <row r="212" spans="1:12" ht="12.75">
      <c r="A212" s="4"/>
      <c r="B212" s="5"/>
      <c r="C212" s="5" t="s">
        <v>1431</v>
      </c>
      <c r="D212" s="5"/>
      <c r="E212" s="5"/>
      <c r="F212" s="22" t="s">
        <v>1615</v>
      </c>
      <c r="G212" s="5"/>
      <c r="H212" s="5"/>
      <c r="I212" s="5"/>
      <c r="J212" s="22" t="s">
        <v>734</v>
      </c>
      <c r="K212" s="5"/>
      <c r="L212" s="6"/>
    </row>
    <row r="213" spans="1:12" ht="12.75">
      <c r="A213" s="4"/>
      <c r="B213" s="26" t="s">
        <v>834</v>
      </c>
      <c r="C213" s="94">
        <f>C95</f>
        <v>-0.0525</v>
      </c>
      <c r="D213" s="5" t="s">
        <v>167</v>
      </c>
      <c r="E213" s="26" t="s">
        <v>1655</v>
      </c>
      <c r="F213" s="185">
        <f>(D$159*C213+E$159*C214+F$159*C215)+J$159</f>
        <v>-0.10034241618197152</v>
      </c>
      <c r="G213" s="5" t="s">
        <v>167</v>
      </c>
      <c r="H213" s="5"/>
      <c r="I213" s="5"/>
      <c r="J213" s="26" t="s">
        <v>1656</v>
      </c>
      <c r="K213" s="185">
        <f>F213/H215</f>
        <v>-0.3823955863550293</v>
      </c>
      <c r="L213" s="6"/>
    </row>
    <row r="214" spans="1:12" ht="12.75">
      <c r="A214" s="4"/>
      <c r="B214" s="26" t="s">
        <v>837</v>
      </c>
      <c r="C214" s="94">
        <f>C96</f>
        <v>-0.06</v>
      </c>
      <c r="D214" s="5" t="s">
        <v>167</v>
      </c>
      <c r="E214" s="26" t="s">
        <v>1657</v>
      </c>
      <c r="F214" s="185">
        <f>(D$160*C213+E$160*C214+F$160*C215)+J$160</f>
        <v>-0.07497746935985858</v>
      </c>
      <c r="G214" s="5" t="s">
        <v>167</v>
      </c>
      <c r="H214" s="22" t="s">
        <v>1522</v>
      </c>
      <c r="I214" s="5"/>
      <c r="J214" s="26" t="s">
        <v>1553</v>
      </c>
      <c r="K214" s="185">
        <f>F214/H215</f>
        <v>-0.2857321405066054</v>
      </c>
      <c r="L214" s="6"/>
    </row>
    <row r="215" spans="1:13" ht="12.75">
      <c r="A215" s="4"/>
      <c r="B215" s="26" t="s">
        <v>1554</v>
      </c>
      <c r="C215" s="82">
        <f>0</f>
        <v>0</v>
      </c>
      <c r="D215" s="5" t="s">
        <v>167</v>
      </c>
      <c r="E215" s="26" t="s">
        <v>1555</v>
      </c>
      <c r="F215" s="185">
        <f>(D$161*C213+E$161*C214+F$161*C215)+J$161</f>
        <v>0.23057759779118928</v>
      </c>
      <c r="G215" s="5" t="s">
        <v>167</v>
      </c>
      <c r="H215" s="185">
        <f>SQRT(F213^2+F214^2+F215^2)</f>
        <v>0.2624047446217388</v>
      </c>
      <c r="I215" s="5" t="s">
        <v>167</v>
      </c>
      <c r="J215" s="26" t="s">
        <v>1556</v>
      </c>
      <c r="K215" s="185">
        <f>F215/H215</f>
        <v>0.8787097128276818</v>
      </c>
      <c r="L215" s="6"/>
      <c r="M215">
        <f>SQRT(K213^2+K214^2+K215^2)</f>
        <v>1</v>
      </c>
    </row>
    <row r="216" spans="1:12" ht="12.75">
      <c r="A216" s="4"/>
      <c r="B216" s="5"/>
      <c r="C216" s="5"/>
      <c r="D216" s="5"/>
      <c r="E216" s="5"/>
      <c r="F216" s="5"/>
      <c r="G216" s="5"/>
      <c r="H216" s="5"/>
      <c r="I216" s="5"/>
      <c r="J216" s="5"/>
      <c r="K216" s="5"/>
      <c r="L216" s="6"/>
    </row>
    <row r="217" spans="1:12" ht="12.75">
      <c r="A217" s="4"/>
      <c r="B217" s="5"/>
      <c r="C217" s="5"/>
      <c r="D217" s="5"/>
      <c r="E217" s="5"/>
      <c r="F217" s="5"/>
      <c r="G217" s="5"/>
      <c r="H217" s="5"/>
      <c r="I217" s="5"/>
      <c r="J217" s="5"/>
      <c r="K217" s="5"/>
      <c r="L217" s="6"/>
    </row>
    <row r="218" spans="1:12" ht="12.75">
      <c r="A218" s="4"/>
      <c r="B218" s="22" t="s">
        <v>1557</v>
      </c>
      <c r="C218" s="5"/>
      <c r="D218" s="5"/>
      <c r="E218" s="5"/>
      <c r="F218" s="5"/>
      <c r="G218" s="5"/>
      <c r="H218" s="5"/>
      <c r="I218" s="5"/>
      <c r="J218" s="5"/>
      <c r="K218" s="5"/>
      <c r="L218" s="6"/>
    </row>
    <row r="219" spans="1:12" ht="12.75">
      <c r="A219" s="4"/>
      <c r="B219" s="5"/>
      <c r="C219" s="5"/>
      <c r="D219" s="5"/>
      <c r="E219" s="5"/>
      <c r="F219" s="5"/>
      <c r="G219" s="5"/>
      <c r="H219" s="5"/>
      <c r="I219" s="5"/>
      <c r="J219" s="5"/>
      <c r="K219" s="5"/>
      <c r="L219" s="6"/>
    </row>
    <row r="220" spans="1:12" ht="12.75">
      <c r="A220" s="4"/>
      <c r="B220" s="5"/>
      <c r="C220" s="5" t="s">
        <v>1431</v>
      </c>
      <c r="D220" s="5"/>
      <c r="E220" s="5"/>
      <c r="F220" s="22" t="s">
        <v>1615</v>
      </c>
      <c r="G220" s="5"/>
      <c r="H220" s="5"/>
      <c r="I220" s="5"/>
      <c r="J220" s="22" t="s">
        <v>734</v>
      </c>
      <c r="K220" s="5"/>
      <c r="L220" s="6"/>
    </row>
    <row r="221" spans="1:12" ht="12.75">
      <c r="A221" s="4"/>
      <c r="B221" s="26" t="s">
        <v>835</v>
      </c>
      <c r="C221" s="94">
        <f>F95</f>
        <v>0</v>
      </c>
      <c r="D221" s="5" t="s">
        <v>167</v>
      </c>
      <c r="E221" s="26" t="s">
        <v>1558</v>
      </c>
      <c r="F221" s="185">
        <f>(D$159*C221+E$159*C222+F$159*C223)+J$159</f>
        <v>-0.05365263873847667</v>
      </c>
      <c r="G221" s="5" t="s">
        <v>167</v>
      </c>
      <c r="H221" s="5"/>
      <c r="I221" s="5"/>
      <c r="J221" s="26" t="s">
        <v>1559</v>
      </c>
      <c r="K221" s="185">
        <f>F221/H223</f>
        <v>-0.2086845785081709</v>
      </c>
      <c r="L221" s="6"/>
    </row>
    <row r="222" spans="1:12" ht="12.75">
      <c r="A222" s="4"/>
      <c r="B222" s="26" t="s">
        <v>838</v>
      </c>
      <c r="C222" s="94">
        <f>F96</f>
        <v>-0.06</v>
      </c>
      <c r="D222" s="5" t="s">
        <v>167</v>
      </c>
      <c r="E222" s="26" t="s">
        <v>1560</v>
      </c>
      <c r="F222" s="185">
        <f>(D$160*C221+E$160*C222+F$160*C223)+J$160</f>
        <v>-0.05589720696053948</v>
      </c>
      <c r="G222" s="5" t="s">
        <v>167</v>
      </c>
      <c r="H222" s="22" t="s">
        <v>1522</v>
      </c>
      <c r="I222" s="5"/>
      <c r="J222" s="26" t="s">
        <v>1561</v>
      </c>
      <c r="K222" s="185">
        <f>F222/H223</f>
        <v>-0.21741493705842233</v>
      </c>
      <c r="L222" s="6"/>
    </row>
    <row r="223" spans="1:13" ht="12.75">
      <c r="A223" s="4"/>
      <c r="B223" s="26" t="s">
        <v>1562</v>
      </c>
      <c r="C223" s="82">
        <f>0</f>
        <v>0</v>
      </c>
      <c r="D223" s="5" t="s">
        <v>167</v>
      </c>
      <c r="E223" s="26" t="s">
        <v>1563</v>
      </c>
      <c r="F223" s="185">
        <f>(D$161*C221+E$161*C222+F$161*C223)+J$161</f>
        <v>0.2451466838658217</v>
      </c>
      <c r="G223" s="5" t="s">
        <v>167</v>
      </c>
      <c r="H223" s="185">
        <f>SQRT(F221^2+F222^2+F223^2)</f>
        <v>0.2570992026436488</v>
      </c>
      <c r="I223" s="5" t="s">
        <v>167</v>
      </c>
      <c r="J223" s="26" t="s">
        <v>1564</v>
      </c>
      <c r="K223" s="185">
        <f>F223/H223</f>
        <v>0.9535100900550288</v>
      </c>
      <c r="L223" s="6"/>
      <c r="M223">
        <f>SQRT(K221^2+K222^2+K223^2)</f>
        <v>1</v>
      </c>
    </row>
    <row r="224" spans="1:12" ht="12.75">
      <c r="A224" s="4"/>
      <c r="B224" s="5"/>
      <c r="C224" s="5"/>
      <c r="D224" s="5"/>
      <c r="E224" s="5"/>
      <c r="F224" s="5"/>
      <c r="G224" s="5"/>
      <c r="H224" s="5"/>
      <c r="I224" s="5"/>
      <c r="J224" s="5"/>
      <c r="K224" s="5"/>
      <c r="L224" s="6"/>
    </row>
    <row r="225" spans="1:12" ht="12.75">
      <c r="A225" s="4"/>
      <c r="B225" s="5"/>
      <c r="C225" s="5"/>
      <c r="D225" s="5"/>
      <c r="E225" s="5"/>
      <c r="F225" s="5"/>
      <c r="G225" s="5"/>
      <c r="H225" s="5"/>
      <c r="I225" s="5"/>
      <c r="J225" s="5"/>
      <c r="K225" s="5"/>
      <c r="L225" s="6"/>
    </row>
    <row r="226" spans="1:12" ht="12.75">
      <c r="A226" s="4"/>
      <c r="B226" s="22" t="s">
        <v>1565</v>
      </c>
      <c r="C226" s="5"/>
      <c r="D226" s="5"/>
      <c r="E226" s="5"/>
      <c r="F226" s="5"/>
      <c r="G226" s="5"/>
      <c r="H226" s="5"/>
      <c r="I226" s="5"/>
      <c r="J226" s="5"/>
      <c r="K226" s="5"/>
      <c r="L226" s="6"/>
    </row>
    <row r="227" spans="1:12" ht="12.75">
      <c r="A227" s="4"/>
      <c r="B227" s="5"/>
      <c r="C227" s="5"/>
      <c r="D227" s="5"/>
      <c r="E227" s="5"/>
      <c r="F227" s="5"/>
      <c r="G227" s="5"/>
      <c r="H227" s="5"/>
      <c r="I227" s="5"/>
      <c r="J227" s="5"/>
      <c r="K227" s="5"/>
      <c r="L227" s="6"/>
    </row>
    <row r="228" spans="1:12" ht="12.75">
      <c r="A228" s="4"/>
      <c r="B228" s="5"/>
      <c r="C228" s="5" t="s">
        <v>1431</v>
      </c>
      <c r="D228" s="5"/>
      <c r="E228" s="5"/>
      <c r="F228" s="22" t="s">
        <v>1615</v>
      </c>
      <c r="G228" s="5"/>
      <c r="H228" s="5"/>
      <c r="I228" s="5"/>
      <c r="J228" s="22" t="s">
        <v>734</v>
      </c>
      <c r="K228" s="5"/>
      <c r="L228" s="6"/>
    </row>
    <row r="229" spans="1:12" ht="12.75">
      <c r="A229" s="4"/>
      <c r="B229" s="26" t="s">
        <v>836</v>
      </c>
      <c r="C229" s="94">
        <f>I95</f>
        <v>0.0525</v>
      </c>
      <c r="D229" s="5" t="s">
        <v>167</v>
      </c>
      <c r="E229" s="26" t="s">
        <v>1566</v>
      </c>
      <c r="F229" s="185">
        <f>(D$159*C229+E$159*C230+F$159*C231)+J$159</f>
        <v>-0.0069628612949818175</v>
      </c>
      <c r="G229" s="5" t="s">
        <v>167</v>
      </c>
      <c r="H229" s="5"/>
      <c r="I229" s="5"/>
      <c r="J229" s="26" t="s">
        <v>1069</v>
      </c>
      <c r="K229" s="185">
        <f>F229/H231</f>
        <v>-0.02653481477638259</v>
      </c>
      <c r="L229" s="6"/>
    </row>
    <row r="230" spans="1:12" ht="12.75">
      <c r="A230" s="4"/>
      <c r="B230" s="26" t="s">
        <v>839</v>
      </c>
      <c r="C230" s="94">
        <f>I96</f>
        <v>-0.06</v>
      </c>
      <c r="D230" s="5" t="s">
        <v>167</v>
      </c>
      <c r="E230" s="26" t="s">
        <v>1070</v>
      </c>
      <c r="F230" s="185">
        <f>(D$160*C229+E$160*C230+F$160*C231)+J$160</f>
        <v>-0.03681694456122037</v>
      </c>
      <c r="G230" s="5" t="s">
        <v>167</v>
      </c>
      <c r="H230" s="22" t="s">
        <v>1522</v>
      </c>
      <c r="I230" s="5"/>
      <c r="J230" s="26" t="s">
        <v>1071</v>
      </c>
      <c r="K230" s="185">
        <f>F230/H231</f>
        <v>-0.14030594078736133</v>
      </c>
      <c r="L230" s="6"/>
    </row>
    <row r="231" spans="1:13" ht="12.75">
      <c r="A231" s="4"/>
      <c r="B231" s="26" t="s">
        <v>1072</v>
      </c>
      <c r="C231" s="82">
        <f>0</f>
        <v>0</v>
      </c>
      <c r="D231" s="5" t="s">
        <v>167</v>
      </c>
      <c r="E231" s="26" t="s">
        <v>1073</v>
      </c>
      <c r="F231" s="185">
        <f>(D$161*C229+E$161*C230+F$161*C231)+J$161</f>
        <v>0.2597157699404541</v>
      </c>
      <c r="G231" s="5" t="s">
        <v>167</v>
      </c>
      <c r="H231" s="185">
        <f>SQRT(F229^2+F230^2+F231^2)</f>
        <v>0.2624047446217389</v>
      </c>
      <c r="I231" s="5" t="s">
        <v>167</v>
      </c>
      <c r="J231" s="26" t="s">
        <v>1074</v>
      </c>
      <c r="K231" s="185">
        <f>F231/H231</f>
        <v>0.9897525683647184</v>
      </c>
      <c r="L231" s="6"/>
      <c r="M231">
        <f>SQRT(K229^2+K230^2+K231^2)</f>
        <v>1</v>
      </c>
    </row>
    <row r="232" spans="1:12" ht="12.75">
      <c r="A232" s="4"/>
      <c r="B232" s="5"/>
      <c r="C232" s="5"/>
      <c r="D232" s="5"/>
      <c r="E232" s="5"/>
      <c r="F232" s="5"/>
      <c r="G232" s="5"/>
      <c r="H232" s="5"/>
      <c r="I232" s="5"/>
      <c r="J232" s="5"/>
      <c r="K232" s="5"/>
      <c r="L232" s="6"/>
    </row>
    <row r="233" spans="1:12" ht="13.5" thickBot="1">
      <c r="A233" s="7"/>
      <c r="B233" s="8"/>
      <c r="C233" s="8"/>
      <c r="D233" s="8"/>
      <c r="E233" s="8"/>
      <c r="F233" s="8"/>
      <c r="G233" s="8"/>
      <c r="H233" s="8"/>
      <c r="I233" s="8"/>
      <c r="J233" s="8"/>
      <c r="K233" s="8"/>
      <c r="L233" s="9"/>
    </row>
    <row r="244" spans="2:5" ht="15.75">
      <c r="B244" s="225" t="s">
        <v>655</v>
      </c>
      <c r="C244" s="226"/>
      <c r="D244" s="226"/>
      <c r="E244" s="226"/>
    </row>
    <row r="245" ht="13.5" thickBot="1"/>
    <row r="246" spans="3:5" ht="15.75">
      <c r="C246" s="219" t="s">
        <v>656</v>
      </c>
      <c r="D246" s="219" t="s">
        <v>657</v>
      </c>
      <c r="E246" s="223" t="s">
        <v>656</v>
      </c>
    </row>
    <row r="247" spans="3:5" ht="16.5" thickBot="1">
      <c r="C247" s="220" t="s">
        <v>658</v>
      </c>
      <c r="D247" s="228"/>
      <c r="E247" s="224" t="s">
        <v>659</v>
      </c>
    </row>
    <row r="248" spans="3:5" ht="16.5" thickBot="1">
      <c r="C248" s="403">
        <v>1</v>
      </c>
      <c r="D248" s="288" t="str">
        <f>IF(G22="None","None","Error")</f>
        <v>None</v>
      </c>
      <c r="E248" s="239">
        <f>IF(D248="None",0,1)</f>
        <v>0</v>
      </c>
    </row>
    <row r="249" spans="3:5" ht="16.5" thickBot="1">
      <c r="C249" s="403">
        <v>2</v>
      </c>
      <c r="D249" s="288" t="str">
        <f>IF(G23="None","None","Error")</f>
        <v>None</v>
      </c>
      <c r="E249" s="239">
        <f>IF(D249="None",0,1)</f>
        <v>0</v>
      </c>
    </row>
    <row r="250" spans="3:5" ht="16.5" thickBot="1">
      <c r="C250" s="230">
        <v>3</v>
      </c>
      <c r="D250" s="288" t="str">
        <f>IF(G61="None","None","Error")</f>
        <v>None</v>
      </c>
      <c r="E250" s="239">
        <f>IF(D250="None",0,1)</f>
        <v>0</v>
      </c>
    </row>
    <row r="251" ht="13.5" thickBot="1"/>
    <row r="252" spans="3:5" ht="16.5" thickBot="1">
      <c r="C252" s="234" t="s">
        <v>660</v>
      </c>
      <c r="D252" s="235"/>
      <c r="E252" s="236">
        <f>SUM(E248:E250)</f>
        <v>0</v>
      </c>
    </row>
  </sheetData>
  <sheetProtection password="CFF3" sheet="1" objects="1" scenarios="1"/>
  <mergeCells count="3">
    <mergeCell ref="G22:J22"/>
    <mergeCell ref="G23:J23"/>
    <mergeCell ref="E107:F107"/>
  </mergeCells>
  <printOptions/>
  <pageMargins left="0.75" right="0.75" top="0.48" bottom="1" header="0.5" footer="0.5"/>
  <pageSetup orientation="portrait" paperSize="9" scale="55"/>
  <headerFooter alignWithMargins="0">
    <oddFooter>&amp;C&amp;A&amp;RPage &amp;P</oddFooter>
  </headerFooter>
  <drawing r:id="rId1"/>
</worksheet>
</file>

<file path=xl/worksheets/sheet9.xml><?xml version="1.0" encoding="utf-8"?>
<worksheet xmlns="http://schemas.openxmlformats.org/spreadsheetml/2006/main" xmlns:r="http://schemas.openxmlformats.org/officeDocument/2006/relationships">
  <sheetPr codeName="Sheet7"/>
  <dimension ref="A1:L658"/>
  <sheetViews>
    <sheetView workbookViewId="0" topLeftCell="A1">
      <selection activeCell="A1" sqref="A1"/>
    </sheetView>
  </sheetViews>
  <sheetFormatPr defaultColWidth="9.00390625" defaultRowHeight="12.75"/>
  <cols>
    <col min="1" max="1" width="6.875" style="0" customWidth="1"/>
    <col min="2" max="2" width="11.375" style="0" customWidth="1"/>
    <col min="3" max="4" width="12.75390625" style="0" customWidth="1"/>
    <col min="5" max="5" width="13.875" style="0" customWidth="1"/>
    <col min="6" max="6" width="16.00390625" style="0" customWidth="1"/>
    <col min="7" max="7" width="11.375" style="0" customWidth="1"/>
    <col min="8" max="8" width="14.625" style="0" customWidth="1"/>
    <col min="9" max="9" width="16.375" style="0" customWidth="1"/>
    <col min="10" max="10" width="13.625" style="0" customWidth="1"/>
    <col min="11" max="11" width="13.25390625" style="0" customWidth="1"/>
    <col min="12" max="16384" width="11.375" style="0" customWidth="1"/>
  </cols>
  <sheetData>
    <row r="1" spans="1:12" ht="23.25">
      <c r="A1" s="458" t="s">
        <v>343</v>
      </c>
      <c r="B1" s="298"/>
      <c r="C1" s="298"/>
      <c r="D1" s="298"/>
      <c r="E1" s="298"/>
      <c r="F1" s="298"/>
      <c r="G1" s="298"/>
      <c r="H1" s="298"/>
      <c r="I1" s="298"/>
      <c r="J1" s="298"/>
      <c r="K1" s="298"/>
      <c r="L1" s="298"/>
    </row>
    <row r="2" spans="1:10" ht="15" customHeight="1">
      <c r="A2" s="472"/>
      <c r="B2" s="202"/>
      <c r="C2" s="202"/>
      <c r="D2" s="202"/>
      <c r="E2" s="202"/>
      <c r="F2" s="202"/>
      <c r="G2" s="202"/>
      <c r="H2" s="202"/>
      <c r="I2" s="202"/>
      <c r="J2" s="202"/>
    </row>
    <row r="3" spans="1:12" ht="24" customHeight="1">
      <c r="A3" s="491" t="s">
        <v>950</v>
      </c>
      <c r="B3" s="298"/>
      <c r="C3" s="298"/>
      <c r="D3" s="298"/>
      <c r="E3" s="298"/>
      <c r="F3" s="298"/>
      <c r="G3" s="298"/>
      <c r="H3" s="298"/>
      <c r="I3" s="298"/>
      <c r="J3" s="298"/>
      <c r="K3" s="298"/>
      <c r="L3" s="298"/>
    </row>
    <row r="4" spans="1:12" ht="21" customHeight="1">
      <c r="A4" s="492" t="s">
        <v>947</v>
      </c>
      <c r="B4" s="298"/>
      <c r="C4" s="298"/>
      <c r="D4" s="298"/>
      <c r="E4" s="298"/>
      <c r="F4" s="298"/>
      <c r="G4" s="298"/>
      <c r="H4" s="298"/>
      <c r="I4" s="298"/>
      <c r="J4" s="298"/>
      <c r="K4" s="298"/>
      <c r="L4" s="298"/>
    </row>
    <row r="5" spans="1:12" ht="15" customHeight="1">
      <c r="A5" s="458"/>
      <c r="B5" s="298"/>
      <c r="C5" s="298"/>
      <c r="D5" s="298"/>
      <c r="E5" s="298"/>
      <c r="F5" s="298"/>
      <c r="G5" s="298"/>
      <c r="H5" s="298"/>
      <c r="I5" s="298"/>
      <c r="J5" s="298"/>
      <c r="K5" s="298"/>
      <c r="L5" s="298"/>
    </row>
    <row r="6" spans="1:10" ht="15" customHeight="1">
      <c r="A6" s="472"/>
      <c r="B6" s="202"/>
      <c r="C6" s="202"/>
      <c r="D6" s="202"/>
      <c r="E6" s="202"/>
      <c r="F6" s="202"/>
      <c r="G6" s="202"/>
      <c r="H6" s="202"/>
      <c r="I6" s="202"/>
      <c r="J6" s="202"/>
    </row>
    <row r="7" ht="18">
      <c r="A7" s="12" t="s">
        <v>159</v>
      </c>
    </row>
    <row r="9" ht="15.75">
      <c r="A9" s="11" t="s">
        <v>801</v>
      </c>
    </row>
    <row r="10" ht="15.75">
      <c r="A10" s="11"/>
    </row>
    <row r="11" ht="16.5" thickBot="1">
      <c r="A11" s="11"/>
    </row>
    <row r="12" spans="1:12" ht="15.75">
      <c r="A12" s="84"/>
      <c r="B12" s="2"/>
      <c r="C12" s="2"/>
      <c r="D12" s="2"/>
      <c r="E12" s="2"/>
      <c r="F12" s="2"/>
      <c r="G12" s="2"/>
      <c r="H12" s="2"/>
      <c r="I12" s="2"/>
      <c r="J12" s="2"/>
      <c r="K12" s="2"/>
      <c r="L12" s="3"/>
    </row>
    <row r="13" spans="1:12" ht="15.75">
      <c r="A13" s="14"/>
      <c r="B13" s="5" t="s">
        <v>1676</v>
      </c>
      <c r="C13" s="5"/>
      <c r="D13" s="5"/>
      <c r="E13" s="5"/>
      <c r="F13" s="5"/>
      <c r="G13" s="5"/>
      <c r="H13" s="5"/>
      <c r="I13" s="5"/>
      <c r="J13" s="5"/>
      <c r="K13" s="5"/>
      <c r="L13" s="6"/>
    </row>
    <row r="14" spans="1:12" ht="15.75">
      <c r="A14" s="14"/>
      <c r="B14" s="5" t="s">
        <v>1677</v>
      </c>
      <c r="C14" s="5"/>
      <c r="D14" s="5"/>
      <c r="E14" s="5"/>
      <c r="F14" s="5"/>
      <c r="G14" s="5"/>
      <c r="H14" s="5"/>
      <c r="I14" s="5"/>
      <c r="J14" s="5"/>
      <c r="K14" s="5"/>
      <c r="L14" s="6"/>
    </row>
    <row r="15" spans="1:12" ht="15.75">
      <c r="A15" s="14"/>
      <c r="B15" s="5"/>
      <c r="C15" s="5"/>
      <c r="D15" s="5"/>
      <c r="E15" s="5"/>
      <c r="F15" s="5"/>
      <c r="G15" s="5"/>
      <c r="H15" s="5"/>
      <c r="I15" s="5"/>
      <c r="J15" s="5"/>
      <c r="K15" s="5"/>
      <c r="L15" s="6"/>
    </row>
    <row r="16" spans="1:12" ht="15.75">
      <c r="A16" s="14"/>
      <c r="B16" s="5" t="s">
        <v>1678</v>
      </c>
      <c r="C16" s="5"/>
      <c r="D16" s="5"/>
      <c r="E16" s="5"/>
      <c r="F16" s="5"/>
      <c r="G16" s="5"/>
      <c r="H16" s="5"/>
      <c r="I16" s="5"/>
      <c r="J16" s="5"/>
      <c r="K16" s="5"/>
      <c r="L16" s="6"/>
    </row>
    <row r="17" spans="1:12" ht="15.75">
      <c r="A17" s="14"/>
      <c r="B17" s="5" t="s">
        <v>1094</v>
      </c>
      <c r="C17" s="5"/>
      <c r="D17" s="5"/>
      <c r="E17" s="5"/>
      <c r="F17" s="5"/>
      <c r="G17" s="5"/>
      <c r="H17" s="5"/>
      <c r="I17" s="5"/>
      <c r="J17" s="5"/>
      <c r="K17" s="5"/>
      <c r="L17" s="6"/>
    </row>
    <row r="18" spans="1:12" ht="15.75">
      <c r="A18" s="14"/>
      <c r="B18" s="5" t="s">
        <v>631</v>
      </c>
      <c r="C18" s="5"/>
      <c r="D18" s="5"/>
      <c r="E18" s="5"/>
      <c r="F18" s="5"/>
      <c r="G18" s="5"/>
      <c r="H18" s="5"/>
      <c r="I18" s="5"/>
      <c r="J18" s="5"/>
      <c r="K18" s="5"/>
      <c r="L18" s="6"/>
    </row>
    <row r="19" spans="1:12" ht="15.75">
      <c r="A19" s="1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
      <c r="B21" s="5"/>
      <c r="C21" s="5"/>
      <c r="D21" s="5"/>
      <c r="E21" s="5"/>
      <c r="F21" s="5"/>
      <c r="G21" s="22" t="s">
        <v>1125</v>
      </c>
      <c r="H21" s="5"/>
      <c r="I21" s="5"/>
      <c r="J21" s="5"/>
      <c r="K21" s="5"/>
      <c r="L21" s="6"/>
    </row>
    <row r="22" spans="1:12" ht="12.75">
      <c r="A22" s="4"/>
      <c r="B22" s="5"/>
      <c r="C22" s="5"/>
      <c r="D22" s="5"/>
      <c r="E22" s="5"/>
      <c r="F22" s="5"/>
      <c r="G22" s="5"/>
      <c r="H22" s="5"/>
      <c r="I22" s="5"/>
      <c r="J22" s="5"/>
      <c r="K22" s="5"/>
      <c r="L22" s="6"/>
    </row>
    <row r="23" spans="1:12" ht="12.75">
      <c r="A23" s="4"/>
      <c r="B23" s="5"/>
      <c r="C23" s="5"/>
      <c r="D23" s="5"/>
      <c r="E23" s="5"/>
      <c r="F23" s="5"/>
      <c r="G23" s="5"/>
      <c r="H23" s="5"/>
      <c r="I23" s="5"/>
      <c r="J23" s="5"/>
      <c r="K23" s="5"/>
      <c r="L23" s="6"/>
    </row>
    <row r="24" spans="1:12" ht="12.75">
      <c r="A24" s="4"/>
      <c r="B24" s="5"/>
      <c r="C24" s="5"/>
      <c r="D24" s="5"/>
      <c r="E24" s="5"/>
      <c r="F24" s="5"/>
      <c r="G24" s="5"/>
      <c r="H24" s="5"/>
      <c r="I24" s="5"/>
      <c r="J24" s="5"/>
      <c r="K24" s="5"/>
      <c r="L24" s="6"/>
    </row>
    <row r="25" spans="1:12" ht="12.75">
      <c r="A25" s="4"/>
      <c r="B25" s="5"/>
      <c r="C25" s="5"/>
      <c r="D25" s="5"/>
      <c r="E25" s="5"/>
      <c r="F25" s="5"/>
      <c r="G25" s="5"/>
      <c r="H25" s="5"/>
      <c r="I25" s="5"/>
      <c r="J25" s="5"/>
      <c r="K25" s="5"/>
      <c r="L25" s="6"/>
    </row>
    <row r="26" spans="1:12" ht="12.75">
      <c r="A26" s="4"/>
      <c r="B26" s="5"/>
      <c r="C26" s="5"/>
      <c r="D26" s="5"/>
      <c r="E26" s="5"/>
      <c r="F26" s="5"/>
      <c r="G26" s="5"/>
      <c r="H26" s="5"/>
      <c r="I26" s="5"/>
      <c r="J26" s="5"/>
      <c r="K26" s="5"/>
      <c r="L26" s="6"/>
    </row>
    <row r="27" spans="1:12" ht="12.75">
      <c r="A27" s="4"/>
      <c r="B27" s="5"/>
      <c r="C27" s="5"/>
      <c r="D27" s="5"/>
      <c r="E27" s="5"/>
      <c r="F27" s="5"/>
      <c r="G27" s="5"/>
      <c r="H27" s="5"/>
      <c r="I27" s="5"/>
      <c r="J27" s="5"/>
      <c r="K27" s="5"/>
      <c r="L27" s="6"/>
    </row>
    <row r="28" spans="1:12" ht="12.75">
      <c r="A28" s="4"/>
      <c r="B28" s="5"/>
      <c r="C28" s="5"/>
      <c r="D28" s="5"/>
      <c r="E28" s="5"/>
      <c r="F28" s="5"/>
      <c r="G28" s="22" t="s">
        <v>632</v>
      </c>
      <c r="H28" s="5"/>
      <c r="I28" s="5"/>
      <c r="J28" s="5"/>
      <c r="K28" s="5"/>
      <c r="L28" s="6"/>
    </row>
    <row r="29" spans="1:12" ht="12.75">
      <c r="A29" s="4"/>
      <c r="B29" s="5"/>
      <c r="C29" s="5"/>
      <c r="D29" s="5"/>
      <c r="E29" s="5"/>
      <c r="F29" s="5"/>
      <c r="G29" s="5"/>
      <c r="H29" s="5"/>
      <c r="I29" s="5"/>
      <c r="J29" s="5"/>
      <c r="K29" s="5"/>
      <c r="L29" s="6"/>
    </row>
    <row r="30" spans="1:12" ht="12.75">
      <c r="A30" s="4"/>
      <c r="B30" s="5"/>
      <c r="C30" s="5"/>
      <c r="D30" s="5"/>
      <c r="E30" s="5"/>
      <c r="F30" s="5"/>
      <c r="G30" s="5"/>
      <c r="H30" s="5"/>
      <c r="I30" s="5"/>
      <c r="J30" s="5"/>
      <c r="K30" s="5"/>
      <c r="L30" s="6"/>
    </row>
    <row r="31" spans="1:12" ht="12.75">
      <c r="A31" s="4"/>
      <c r="B31" s="5"/>
      <c r="C31" s="5"/>
      <c r="D31" s="5"/>
      <c r="E31" s="5"/>
      <c r="F31" s="5"/>
      <c r="G31" s="5"/>
      <c r="H31" s="5"/>
      <c r="I31" s="5"/>
      <c r="J31" s="5"/>
      <c r="K31" s="5"/>
      <c r="L31" s="6"/>
    </row>
    <row r="32" spans="1:12" ht="12.75">
      <c r="A32" s="4"/>
      <c r="B32" s="5"/>
      <c r="C32" s="5"/>
      <c r="D32" s="5"/>
      <c r="E32" s="5"/>
      <c r="F32" s="5"/>
      <c r="G32" s="46" t="s">
        <v>633</v>
      </c>
      <c r="H32" s="5"/>
      <c r="I32" s="5"/>
      <c r="J32" s="5"/>
      <c r="K32" s="5"/>
      <c r="L32" s="6"/>
    </row>
    <row r="33" spans="1:12" ht="12.75">
      <c r="A33" s="4"/>
      <c r="B33" s="5"/>
      <c r="C33" s="5"/>
      <c r="D33" s="5"/>
      <c r="E33" s="5"/>
      <c r="F33" s="5"/>
      <c r="G33" s="5"/>
      <c r="H33" s="5"/>
      <c r="I33" s="5"/>
      <c r="J33" s="5"/>
      <c r="K33" s="5"/>
      <c r="L33" s="6"/>
    </row>
    <row r="34" spans="1:12" ht="12.75">
      <c r="A34" s="4"/>
      <c r="B34" s="5"/>
      <c r="C34" s="5"/>
      <c r="D34" s="5" t="s">
        <v>138</v>
      </c>
      <c r="E34" s="5"/>
      <c r="F34" s="5"/>
      <c r="G34" s="5"/>
      <c r="H34" s="5"/>
      <c r="I34" s="5"/>
      <c r="J34" s="5"/>
      <c r="K34" s="5"/>
      <c r="L34" s="6"/>
    </row>
    <row r="35" spans="1:12" ht="12.75">
      <c r="A35" s="4"/>
      <c r="B35" s="5"/>
      <c r="C35" s="5"/>
      <c r="D35" s="5"/>
      <c r="E35" s="5"/>
      <c r="F35" s="5"/>
      <c r="G35" s="5" t="s">
        <v>139</v>
      </c>
      <c r="H35" s="5"/>
      <c r="I35" s="5"/>
      <c r="J35" s="5"/>
      <c r="K35" s="5"/>
      <c r="L35" s="6"/>
    </row>
    <row r="36" spans="1:12" ht="12.75">
      <c r="A36" s="4"/>
      <c r="B36" s="5"/>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4"/>
      <c r="B39" s="5"/>
      <c r="C39" s="5"/>
      <c r="D39" s="5"/>
      <c r="E39" s="22" t="s">
        <v>140</v>
      </c>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4"/>
      <c r="B51" s="5"/>
      <c r="C51" s="5"/>
      <c r="D51" s="5"/>
      <c r="E51" s="5" t="s">
        <v>141</v>
      </c>
      <c r="F51" s="5"/>
      <c r="G51" s="5"/>
      <c r="H51" s="22" t="s">
        <v>1309</v>
      </c>
      <c r="I51" s="5"/>
      <c r="J51" s="5"/>
      <c r="K51" s="5"/>
      <c r="L51" s="6"/>
    </row>
    <row r="52" spans="1:12" ht="12.75">
      <c r="A52" s="4"/>
      <c r="B52" s="5"/>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4"/>
      <c r="B54" s="5"/>
      <c r="C54" s="5"/>
      <c r="D54" s="5"/>
      <c r="E54" s="5"/>
      <c r="F54" s="5"/>
      <c r="G54" s="5"/>
      <c r="H54" s="5"/>
      <c r="I54" s="5"/>
      <c r="J54" s="5"/>
      <c r="K54" s="5"/>
      <c r="L54" s="6"/>
    </row>
    <row r="55" spans="1:12" ht="12.75">
      <c r="A55" s="4"/>
      <c r="B55" s="5"/>
      <c r="C55" s="5"/>
      <c r="D55" s="5"/>
      <c r="E55" s="5"/>
      <c r="F55" s="5"/>
      <c r="G55" s="5"/>
      <c r="H55" s="5"/>
      <c r="I55" s="5"/>
      <c r="J55" s="5"/>
      <c r="K55" s="5"/>
      <c r="L55" s="6"/>
    </row>
    <row r="56" spans="1:12" ht="12.75">
      <c r="A56" s="4"/>
      <c r="B56" s="5"/>
      <c r="C56" s="5"/>
      <c r="D56" s="5"/>
      <c r="E56" s="5"/>
      <c r="F56" s="5"/>
      <c r="G56" s="5"/>
      <c r="H56" s="5"/>
      <c r="I56" s="5"/>
      <c r="J56" s="5"/>
      <c r="K56" s="5"/>
      <c r="L56" s="6"/>
    </row>
    <row r="57" spans="1:12" ht="12.75">
      <c r="A57" s="4"/>
      <c r="B57" s="5"/>
      <c r="C57" s="5"/>
      <c r="D57" s="5"/>
      <c r="E57" s="5"/>
      <c r="F57" s="5"/>
      <c r="G57" s="5"/>
      <c r="H57" s="5"/>
      <c r="I57" s="5"/>
      <c r="J57" s="5"/>
      <c r="K57" s="5"/>
      <c r="L57" s="6"/>
    </row>
    <row r="58" spans="1:12" ht="12.75">
      <c r="A58" s="4"/>
      <c r="B58" s="5"/>
      <c r="C58" s="5"/>
      <c r="D58" s="5"/>
      <c r="E58" s="5"/>
      <c r="F58" s="5"/>
      <c r="G58" s="5"/>
      <c r="H58" s="5"/>
      <c r="I58" s="5"/>
      <c r="J58" s="5"/>
      <c r="K58" s="5"/>
      <c r="L58" s="6"/>
    </row>
    <row r="59" spans="1:12" ht="13.5" thickBot="1">
      <c r="A59" s="7"/>
      <c r="B59" s="8"/>
      <c r="C59" s="8"/>
      <c r="D59" s="8"/>
      <c r="E59" s="8"/>
      <c r="F59" s="8"/>
      <c r="G59" s="8"/>
      <c r="H59" s="8"/>
      <c r="I59" s="8"/>
      <c r="J59" s="8"/>
      <c r="K59" s="8"/>
      <c r="L59" s="9"/>
    </row>
    <row r="60" ht="13.5" thickBot="1"/>
    <row r="61" spans="1:12" ht="12.75">
      <c r="A61" s="1"/>
      <c r="B61" s="2"/>
      <c r="C61" s="2"/>
      <c r="D61" s="2"/>
      <c r="E61" s="2"/>
      <c r="F61" s="2"/>
      <c r="G61" s="2"/>
      <c r="H61" s="2"/>
      <c r="I61" s="2"/>
      <c r="J61" s="2"/>
      <c r="K61" s="2"/>
      <c r="L61" s="3"/>
    </row>
    <row r="62" spans="1:12" ht="15.75">
      <c r="A62" s="14" t="s">
        <v>260</v>
      </c>
      <c r="B62" s="5"/>
      <c r="C62" s="5"/>
      <c r="D62" s="5"/>
      <c r="E62" s="5"/>
      <c r="F62" s="5"/>
      <c r="G62" s="5"/>
      <c r="H62" s="5"/>
      <c r="I62" s="5"/>
      <c r="J62" s="5"/>
      <c r="K62" s="5"/>
      <c r="L62" s="6"/>
    </row>
    <row r="63" spans="1:12" ht="15.75">
      <c r="A63" s="14" t="s">
        <v>1112</v>
      </c>
      <c r="B63" s="5"/>
      <c r="C63" s="5"/>
      <c r="D63" s="5"/>
      <c r="E63" s="5"/>
      <c r="F63" s="5"/>
      <c r="G63" s="5"/>
      <c r="H63" s="5"/>
      <c r="I63" s="5"/>
      <c r="J63" s="5" t="s">
        <v>1113</v>
      </c>
      <c r="K63" s="5"/>
      <c r="L63" s="6"/>
    </row>
    <row r="64" spans="1:12" ht="15.75">
      <c r="A64" s="14"/>
      <c r="B64" s="5"/>
      <c r="C64" s="5"/>
      <c r="D64" s="5"/>
      <c r="E64" s="5"/>
      <c r="F64" s="5"/>
      <c r="G64" s="5"/>
      <c r="H64" s="5"/>
      <c r="I64" s="5"/>
      <c r="J64" s="5"/>
      <c r="K64" s="5"/>
      <c r="L64" s="6"/>
    </row>
    <row r="65" spans="1:12" ht="12.75">
      <c r="A65" s="4"/>
      <c r="B65" s="5" t="s">
        <v>65</v>
      </c>
      <c r="C65" s="5"/>
      <c r="D65" s="5"/>
      <c r="E65" s="5"/>
      <c r="F65" s="5"/>
      <c r="G65" s="5"/>
      <c r="H65" s="5"/>
      <c r="I65" s="5"/>
      <c r="J65" s="5"/>
      <c r="K65" s="5"/>
      <c r="L65" s="6"/>
    </row>
    <row r="66" spans="1:12" ht="12.75">
      <c r="A66" s="4"/>
      <c r="B66" s="5" t="s">
        <v>1212</v>
      </c>
      <c r="C66" s="5"/>
      <c r="D66" s="5"/>
      <c r="E66" s="5"/>
      <c r="F66" s="5"/>
      <c r="G66" s="5"/>
      <c r="H66" s="5"/>
      <c r="I66" s="5"/>
      <c r="J66" s="5"/>
      <c r="K66" s="5"/>
      <c r="L66" s="6"/>
    </row>
    <row r="67" spans="1:12" ht="12.75">
      <c r="A67" s="4"/>
      <c r="B67" s="5" t="s">
        <v>1129</v>
      </c>
      <c r="C67" s="5"/>
      <c r="D67" s="5"/>
      <c r="E67" s="5"/>
      <c r="F67" s="5"/>
      <c r="G67" s="5"/>
      <c r="H67" s="5"/>
      <c r="I67" s="5"/>
      <c r="J67" s="5"/>
      <c r="K67" s="5"/>
      <c r="L67" s="6"/>
    </row>
    <row r="68" spans="1:12" ht="12.75">
      <c r="A68" s="4"/>
      <c r="B68" s="5"/>
      <c r="C68" s="5"/>
      <c r="D68" s="5"/>
      <c r="E68" s="5"/>
      <c r="F68" s="5"/>
      <c r="G68" s="5"/>
      <c r="H68" s="5"/>
      <c r="I68" s="5"/>
      <c r="J68" s="5"/>
      <c r="K68" s="5"/>
      <c r="L68" s="6"/>
    </row>
    <row r="69" spans="1:12" ht="12.75">
      <c r="A69" s="4"/>
      <c r="B69" s="5" t="s">
        <v>1130</v>
      </c>
      <c r="C69" s="5"/>
      <c r="D69" s="5"/>
      <c r="E69" s="5"/>
      <c r="F69" s="5"/>
      <c r="G69" s="5"/>
      <c r="H69" s="5"/>
      <c r="I69" s="5"/>
      <c r="J69" s="5"/>
      <c r="K69" s="5"/>
      <c r="L69" s="6"/>
    </row>
    <row r="70" spans="1:12" ht="12.75">
      <c r="A70" s="4"/>
      <c r="B70" s="5" t="s">
        <v>728</v>
      </c>
      <c r="C70" s="5"/>
      <c r="D70" s="5"/>
      <c r="E70" s="5"/>
      <c r="F70" s="5"/>
      <c r="G70" s="5"/>
      <c r="H70" s="5"/>
      <c r="I70" s="5"/>
      <c r="J70" s="5"/>
      <c r="K70" s="5"/>
      <c r="L70" s="6"/>
    </row>
    <row r="71" spans="1:12" ht="12.75">
      <c r="A71" s="4"/>
      <c r="B71" s="5" t="s">
        <v>92</v>
      </c>
      <c r="C71" s="5"/>
      <c r="D71" s="5"/>
      <c r="E71" s="5"/>
      <c r="F71" s="5"/>
      <c r="G71" s="5"/>
      <c r="H71" s="5"/>
      <c r="I71" s="5"/>
      <c r="J71" s="5"/>
      <c r="K71" s="5"/>
      <c r="L71" s="6"/>
    </row>
    <row r="72" spans="1:12" ht="12.75">
      <c r="A72" s="4"/>
      <c r="B72" s="5"/>
      <c r="C72" s="5"/>
      <c r="D72" s="5"/>
      <c r="E72" s="5"/>
      <c r="F72" s="5"/>
      <c r="G72" s="5"/>
      <c r="H72" s="5"/>
      <c r="I72" s="5"/>
      <c r="J72" s="5"/>
      <c r="K72" s="18" t="s">
        <v>277</v>
      </c>
      <c r="L72" s="6"/>
    </row>
    <row r="73" spans="1:12" ht="12.75">
      <c r="A73" s="4"/>
      <c r="B73" s="5"/>
      <c r="C73" s="5"/>
      <c r="D73" s="5"/>
      <c r="E73" s="5"/>
      <c r="F73" s="5"/>
      <c r="G73" s="5"/>
      <c r="H73" s="5"/>
      <c r="I73" s="5"/>
      <c r="J73" s="5"/>
      <c r="K73" s="5"/>
      <c r="L73" s="6"/>
    </row>
    <row r="74" spans="1:12" ht="12.75">
      <c r="A74" s="4"/>
      <c r="B74" s="5"/>
      <c r="C74" s="5"/>
      <c r="D74" s="5"/>
      <c r="E74" s="5"/>
      <c r="F74" s="5"/>
      <c r="G74" s="5"/>
      <c r="H74" s="5"/>
      <c r="I74" s="5"/>
      <c r="J74" s="5"/>
      <c r="K74" s="5"/>
      <c r="L74" s="6"/>
    </row>
    <row r="75" spans="1:12" ht="12.75">
      <c r="A75" s="4"/>
      <c r="B75" s="5"/>
      <c r="C75" s="5"/>
      <c r="D75" s="5"/>
      <c r="E75" s="5"/>
      <c r="F75" s="5"/>
      <c r="G75" s="5"/>
      <c r="H75" s="5"/>
      <c r="I75" s="5"/>
      <c r="J75" s="5" t="s">
        <v>278</v>
      </c>
      <c r="K75" s="5"/>
      <c r="L75" s="6"/>
    </row>
    <row r="76" spans="1:12" ht="12.75">
      <c r="A76" s="4"/>
      <c r="B76" s="5"/>
      <c r="C76" s="5"/>
      <c r="D76" s="5" t="s">
        <v>279</v>
      </c>
      <c r="E76" s="5"/>
      <c r="F76" s="5"/>
      <c r="G76" s="5"/>
      <c r="H76" s="5"/>
      <c r="I76" s="5"/>
      <c r="J76" s="5" t="s">
        <v>850</v>
      </c>
      <c r="K76" s="5"/>
      <c r="L76" s="6"/>
    </row>
    <row r="77" spans="1:12" ht="12.75">
      <c r="A77" s="4"/>
      <c r="B77" s="5"/>
      <c r="C77" s="5"/>
      <c r="D77" s="5"/>
      <c r="E77" s="5"/>
      <c r="F77" s="5"/>
      <c r="G77" s="5"/>
      <c r="H77" s="5"/>
      <c r="I77" s="5"/>
      <c r="J77" s="5" t="s">
        <v>851</v>
      </c>
      <c r="K77" s="5"/>
      <c r="L77" s="6"/>
    </row>
    <row r="78" spans="1:12" ht="12.75">
      <c r="A78" s="4"/>
      <c r="B78" s="5"/>
      <c r="C78" s="5"/>
      <c r="D78" s="5"/>
      <c r="E78" s="5"/>
      <c r="F78" s="5"/>
      <c r="G78" s="5"/>
      <c r="H78" s="5" t="s">
        <v>852</v>
      </c>
      <c r="I78" s="5"/>
      <c r="J78" s="5" t="s">
        <v>853</v>
      </c>
      <c r="K78" s="5"/>
      <c r="L78" s="6"/>
    </row>
    <row r="79" spans="1:12" ht="12.75">
      <c r="A79" s="4"/>
      <c r="B79" s="5"/>
      <c r="C79" s="5" t="s">
        <v>854</v>
      </c>
      <c r="D79" s="5"/>
      <c r="E79" s="5"/>
      <c r="F79" s="5"/>
      <c r="G79" s="5"/>
      <c r="H79" s="5" t="s">
        <v>791</v>
      </c>
      <c r="I79" s="5"/>
      <c r="J79" s="22" t="s">
        <v>855</v>
      </c>
      <c r="K79" s="5"/>
      <c r="L79" s="6"/>
    </row>
    <row r="80" spans="1:12" ht="12.75">
      <c r="A80" s="4"/>
      <c r="B80" s="5"/>
      <c r="C80" s="5"/>
      <c r="D80" s="5"/>
      <c r="E80" s="5"/>
      <c r="F80" s="5"/>
      <c r="G80" s="5"/>
      <c r="H80" s="5" t="s">
        <v>856</v>
      </c>
      <c r="I80" s="5"/>
      <c r="J80" s="22" t="s">
        <v>1717</v>
      </c>
      <c r="K80" s="5"/>
      <c r="L80" s="6"/>
    </row>
    <row r="81" spans="1:12" ht="12.75">
      <c r="A81" s="4"/>
      <c r="B81" s="5"/>
      <c r="C81" s="5"/>
      <c r="D81" s="5"/>
      <c r="E81" s="5"/>
      <c r="F81" s="5"/>
      <c r="G81" s="5"/>
      <c r="H81" s="22" t="s">
        <v>179</v>
      </c>
      <c r="I81" s="5"/>
      <c r="J81" s="5"/>
      <c r="K81" s="5"/>
      <c r="L81" s="6"/>
    </row>
    <row r="82" spans="1:12" ht="12.75">
      <c r="A82" s="4"/>
      <c r="B82" s="5"/>
      <c r="C82" s="5"/>
      <c r="D82" s="5"/>
      <c r="E82" s="5"/>
      <c r="F82" s="5"/>
      <c r="G82" s="5"/>
      <c r="H82" s="22" t="s">
        <v>270</v>
      </c>
      <c r="I82" s="191" t="s">
        <v>271</v>
      </c>
      <c r="J82" s="5"/>
      <c r="K82" s="5"/>
      <c r="L82" s="6"/>
    </row>
    <row r="83" spans="1:12" ht="12.75">
      <c r="A83" s="4"/>
      <c r="B83" s="5"/>
      <c r="C83" s="5"/>
      <c r="D83" s="5"/>
      <c r="E83" s="5"/>
      <c r="F83" s="5"/>
      <c r="G83" s="5"/>
      <c r="H83" s="22" t="s">
        <v>272</v>
      </c>
      <c r="I83" s="131" t="s">
        <v>273</v>
      </c>
      <c r="J83" s="5"/>
      <c r="K83" s="5"/>
      <c r="L83" s="6"/>
    </row>
    <row r="84" spans="1:12" ht="12.75">
      <c r="A84" s="4"/>
      <c r="B84" s="5"/>
      <c r="C84" s="5"/>
      <c r="D84" s="5"/>
      <c r="E84" s="5"/>
      <c r="F84" s="5"/>
      <c r="G84" s="5"/>
      <c r="H84" s="5"/>
      <c r="I84" s="5"/>
      <c r="J84" s="5"/>
      <c r="K84" s="5"/>
      <c r="L84" s="6"/>
    </row>
    <row r="85" spans="1:12" ht="12.75">
      <c r="A85" s="4"/>
      <c r="B85" s="5"/>
      <c r="C85" s="5"/>
      <c r="D85" s="5"/>
      <c r="E85" s="5"/>
      <c r="F85" s="5"/>
      <c r="G85" s="5"/>
      <c r="H85" s="5"/>
      <c r="I85" s="5"/>
      <c r="J85" s="5"/>
      <c r="K85" s="5"/>
      <c r="L85" s="6"/>
    </row>
    <row r="86" spans="1:12" ht="12.75">
      <c r="A86" s="4"/>
      <c r="B86" s="5"/>
      <c r="C86" s="5"/>
      <c r="D86" s="5"/>
      <c r="E86" s="5"/>
      <c r="F86" s="5"/>
      <c r="G86" s="5"/>
      <c r="H86" s="5"/>
      <c r="I86" s="5"/>
      <c r="J86" s="5"/>
      <c r="K86" s="5"/>
      <c r="L86" s="6"/>
    </row>
    <row r="87" spans="1:12" ht="12.75">
      <c r="A87" s="4"/>
      <c r="B87" s="5"/>
      <c r="C87" s="5"/>
      <c r="D87" s="5"/>
      <c r="E87" s="5"/>
      <c r="F87" s="5"/>
      <c r="G87" s="5"/>
      <c r="H87" s="5"/>
      <c r="I87" s="5" t="s">
        <v>274</v>
      </c>
      <c r="J87" s="5"/>
      <c r="K87" s="5"/>
      <c r="L87" s="6"/>
    </row>
    <row r="88" spans="1:12" ht="12.75">
      <c r="A88" s="4"/>
      <c r="B88" s="5"/>
      <c r="C88" s="5"/>
      <c r="D88" s="5"/>
      <c r="E88" s="5"/>
      <c r="F88" s="5"/>
      <c r="G88" s="5"/>
      <c r="H88" s="5"/>
      <c r="I88" s="22" t="s">
        <v>758</v>
      </c>
      <c r="J88" s="5"/>
      <c r="K88" s="5"/>
      <c r="L88" s="6"/>
    </row>
    <row r="89" spans="1:12" ht="12.75">
      <c r="A89" s="4"/>
      <c r="B89" s="5"/>
      <c r="C89" s="5" t="s">
        <v>759</v>
      </c>
      <c r="D89" s="5"/>
      <c r="E89" s="5"/>
      <c r="F89" s="5"/>
      <c r="G89" s="5"/>
      <c r="H89" s="5"/>
      <c r="I89" s="188">
        <f>SPH_REC!F196</f>
        <v>6370332.740665482</v>
      </c>
      <c r="J89" s="5" t="s">
        <v>167</v>
      </c>
      <c r="K89" s="5"/>
      <c r="L89" s="6"/>
    </row>
    <row r="90" spans="1:12" ht="12.75">
      <c r="A90" s="4"/>
      <c r="B90" s="5"/>
      <c r="C90" s="5" t="s">
        <v>1715</v>
      </c>
      <c r="D90" s="5"/>
      <c r="E90" s="5"/>
      <c r="F90" s="5"/>
      <c r="G90" s="5"/>
      <c r="H90" s="5"/>
      <c r="I90" s="5"/>
      <c r="J90" s="5"/>
      <c r="K90" s="5"/>
      <c r="L90" s="6"/>
    </row>
    <row r="91" spans="1:12" ht="12.75">
      <c r="A91" s="4"/>
      <c r="B91" s="5"/>
      <c r="C91" s="5"/>
      <c r="D91" s="5"/>
      <c r="E91" s="5"/>
      <c r="F91" s="5"/>
      <c r="G91" s="5"/>
      <c r="H91" s="5"/>
      <c r="I91" s="5"/>
      <c r="J91" s="5"/>
      <c r="K91" s="5"/>
      <c r="L91" s="6"/>
    </row>
    <row r="92" spans="1:12" ht="12.75">
      <c r="A92" s="4"/>
      <c r="B92" s="5"/>
      <c r="C92" s="5"/>
      <c r="D92" s="5"/>
      <c r="E92" s="5"/>
      <c r="F92" s="5"/>
      <c r="G92" s="5" t="s">
        <v>1716</v>
      </c>
      <c r="H92" s="5"/>
      <c r="I92" s="186" t="s">
        <v>184</v>
      </c>
      <c r="J92" s="5"/>
      <c r="K92" s="5"/>
      <c r="L92" s="6"/>
    </row>
    <row r="93" spans="1:12" ht="12.75">
      <c r="A93" s="4"/>
      <c r="B93" s="5"/>
      <c r="C93" s="5"/>
      <c r="D93" s="5"/>
      <c r="E93" s="5"/>
      <c r="F93" s="5"/>
      <c r="G93" s="5"/>
      <c r="H93" s="5"/>
      <c r="I93" s="5"/>
      <c r="J93" s="5"/>
      <c r="K93" s="5"/>
      <c r="L93" s="6"/>
    </row>
    <row r="94" spans="1:12" ht="12.75">
      <c r="A94" s="4"/>
      <c r="B94" s="5"/>
      <c r="C94" s="5"/>
      <c r="D94" s="5"/>
      <c r="E94" s="5"/>
      <c r="F94" s="5"/>
      <c r="G94" s="5"/>
      <c r="H94" s="5"/>
      <c r="I94" s="5"/>
      <c r="J94" s="5"/>
      <c r="K94" s="5"/>
      <c r="L94" s="6"/>
    </row>
    <row r="95" spans="1:12" ht="12.75">
      <c r="A95" s="4"/>
      <c r="B95" s="5"/>
      <c r="C95" s="5"/>
      <c r="D95" s="5"/>
      <c r="E95" s="5" t="s">
        <v>185</v>
      </c>
      <c r="F95" s="5"/>
      <c r="G95" s="5" t="s">
        <v>186</v>
      </c>
      <c r="H95" s="5"/>
      <c r="I95" s="5"/>
      <c r="J95" s="5"/>
      <c r="K95" s="5"/>
      <c r="L95" s="6"/>
    </row>
    <row r="96" spans="1:12" ht="12.75">
      <c r="A96" s="4"/>
      <c r="B96" s="5"/>
      <c r="C96" s="5"/>
      <c r="D96" s="5"/>
      <c r="E96" s="5"/>
      <c r="F96" s="5"/>
      <c r="G96" s="5" t="s">
        <v>1131</v>
      </c>
      <c r="H96" s="5"/>
      <c r="I96" s="5"/>
      <c r="J96" s="5"/>
      <c r="K96" s="5"/>
      <c r="L96" s="6"/>
    </row>
    <row r="97" spans="1:12" ht="12.75">
      <c r="A97" s="4"/>
      <c r="B97" s="5"/>
      <c r="C97" s="5"/>
      <c r="D97" s="5"/>
      <c r="E97" s="5"/>
      <c r="F97" s="5"/>
      <c r="G97" s="5" t="s">
        <v>666</v>
      </c>
      <c r="H97" s="5"/>
      <c r="I97" s="5"/>
      <c r="J97" s="5"/>
      <c r="K97" s="5"/>
      <c r="L97" s="6"/>
    </row>
    <row r="98" spans="1:12" ht="12.75">
      <c r="A98" s="4"/>
      <c r="B98" s="5"/>
      <c r="C98" s="5"/>
      <c r="D98" s="5"/>
      <c r="E98" s="5"/>
      <c r="F98" s="5"/>
      <c r="G98" s="5"/>
      <c r="H98" s="5"/>
      <c r="I98" s="5"/>
      <c r="J98" s="5"/>
      <c r="K98" s="5"/>
      <c r="L98" s="6"/>
    </row>
    <row r="99" spans="1:12" ht="12.75">
      <c r="A99" s="4"/>
      <c r="B99" s="5"/>
      <c r="C99" s="5"/>
      <c r="D99" s="5"/>
      <c r="E99" s="5"/>
      <c r="F99" s="5"/>
      <c r="H99" s="46" t="s">
        <v>1138</v>
      </c>
      <c r="I99" s="5"/>
      <c r="J99" s="5"/>
      <c r="K99" s="5"/>
      <c r="L99" s="6"/>
    </row>
    <row r="100" spans="1:12" ht="12.75">
      <c r="A100" s="4"/>
      <c r="B100" s="5"/>
      <c r="C100" s="5"/>
      <c r="D100" s="5"/>
      <c r="E100" s="5"/>
      <c r="F100" s="5"/>
      <c r="I100" s="5"/>
      <c r="J100" s="5" t="s">
        <v>1140</v>
      </c>
      <c r="K100" s="5"/>
      <c r="L100" s="6"/>
    </row>
    <row r="101" spans="1:12" ht="12.75">
      <c r="A101" s="4"/>
      <c r="B101" s="5"/>
      <c r="C101" s="5"/>
      <c r="D101" s="5"/>
      <c r="E101" s="5"/>
      <c r="F101" s="5"/>
      <c r="H101" s="5"/>
      <c r="I101" s="5"/>
      <c r="J101" s="5"/>
      <c r="K101" s="5"/>
      <c r="L101" s="6"/>
    </row>
    <row r="102" spans="1:12" ht="12.75">
      <c r="A102" s="4"/>
      <c r="B102" s="5"/>
      <c r="C102" s="5"/>
      <c r="D102" s="5"/>
      <c r="E102" s="5"/>
      <c r="F102" s="5"/>
      <c r="G102" s="5"/>
      <c r="H102" s="5"/>
      <c r="I102" s="5"/>
      <c r="J102" s="5"/>
      <c r="K102" s="5"/>
      <c r="L102" s="6"/>
    </row>
    <row r="103" spans="1:12" ht="12.75">
      <c r="A103" s="4"/>
      <c r="B103" s="5"/>
      <c r="C103" s="5"/>
      <c r="D103" s="5"/>
      <c r="E103" s="5"/>
      <c r="F103" s="5"/>
      <c r="G103" s="5" t="s">
        <v>1141</v>
      </c>
      <c r="H103" s="5"/>
      <c r="I103" s="5"/>
      <c r="J103" s="5"/>
      <c r="K103" s="5"/>
      <c r="L103" s="6"/>
    </row>
    <row r="104" spans="1:12" ht="12.75">
      <c r="A104" s="4"/>
      <c r="B104" s="5"/>
      <c r="C104" s="5"/>
      <c r="D104" s="5"/>
      <c r="E104" s="5"/>
      <c r="F104" s="5"/>
      <c r="G104" s="5" t="s">
        <v>1142</v>
      </c>
      <c r="H104" s="5"/>
      <c r="I104" s="5"/>
      <c r="J104" s="5"/>
      <c r="K104" s="5"/>
      <c r="L104" s="6"/>
    </row>
    <row r="105" spans="1:12" ht="12.75">
      <c r="A105" s="4"/>
      <c r="B105" s="5"/>
      <c r="C105" s="5"/>
      <c r="D105" s="5"/>
      <c r="E105" s="5"/>
      <c r="F105" s="5"/>
      <c r="G105" s="5" t="s">
        <v>1143</v>
      </c>
      <c r="H105" s="5"/>
      <c r="I105" s="5"/>
      <c r="J105" s="5"/>
      <c r="K105" s="5"/>
      <c r="L105" s="6"/>
    </row>
    <row r="106" spans="1:12" ht="12.75">
      <c r="A106" s="4"/>
      <c r="B106" s="5"/>
      <c r="C106" s="5"/>
      <c r="D106" s="5"/>
      <c r="E106" s="5"/>
      <c r="F106" s="5"/>
      <c r="G106" s="5"/>
      <c r="H106" s="5"/>
      <c r="I106" s="5"/>
      <c r="J106" s="5"/>
      <c r="K106" s="5"/>
      <c r="L106" s="6"/>
    </row>
    <row r="107" spans="1:12" ht="12.75">
      <c r="A107" s="4"/>
      <c r="B107" s="5"/>
      <c r="C107" s="5"/>
      <c r="D107" s="5"/>
      <c r="E107" s="5"/>
      <c r="F107" s="5"/>
      <c r="G107" s="5"/>
      <c r="H107" s="5" t="s">
        <v>1144</v>
      </c>
      <c r="I107" s="5"/>
      <c r="J107" s="5" t="s">
        <v>1145</v>
      </c>
      <c r="K107" s="5"/>
      <c r="L107" s="6"/>
    </row>
    <row r="108" spans="1:12" ht="18">
      <c r="A108" s="4"/>
      <c r="B108" s="5"/>
      <c r="C108" s="5"/>
      <c r="D108" s="5"/>
      <c r="E108" s="5"/>
      <c r="F108" s="5"/>
      <c r="G108" s="5"/>
      <c r="H108" s="5"/>
      <c r="I108" s="172" t="s">
        <v>1146</v>
      </c>
      <c r="J108" s="5"/>
      <c r="K108" s="5"/>
      <c r="L108" s="6"/>
    </row>
    <row r="109" spans="1:12" ht="12.75">
      <c r="A109" s="4"/>
      <c r="B109" s="5"/>
      <c r="C109" s="5"/>
      <c r="D109" s="5"/>
      <c r="E109" s="5"/>
      <c r="F109" s="5"/>
      <c r="G109" s="5"/>
      <c r="H109" s="5" t="s">
        <v>1147</v>
      </c>
      <c r="I109" s="5"/>
      <c r="J109" s="5" t="s">
        <v>274</v>
      </c>
      <c r="K109" s="5"/>
      <c r="L109" s="6"/>
    </row>
    <row r="110" spans="1:12" ht="12.75">
      <c r="A110" s="4"/>
      <c r="B110" s="5"/>
      <c r="C110" s="5"/>
      <c r="D110" s="5"/>
      <c r="E110" s="5"/>
      <c r="F110" s="5"/>
      <c r="G110" s="5"/>
      <c r="H110" s="5" t="s">
        <v>1148</v>
      </c>
      <c r="I110" s="5"/>
      <c r="J110" s="5"/>
      <c r="K110" s="5"/>
      <c r="L110" s="6"/>
    </row>
    <row r="111" spans="1:12" ht="12.75">
      <c r="A111" s="4"/>
      <c r="B111" s="5"/>
      <c r="C111" s="5"/>
      <c r="D111" s="5"/>
      <c r="E111" s="5"/>
      <c r="F111" s="5"/>
      <c r="G111" s="5"/>
      <c r="H111" s="5"/>
      <c r="I111" s="5"/>
      <c r="J111" s="5"/>
      <c r="K111" s="5"/>
      <c r="L111" s="6"/>
    </row>
    <row r="112" spans="1:12" ht="12.75">
      <c r="A112" s="4"/>
      <c r="B112" s="5"/>
      <c r="C112" s="5"/>
      <c r="D112" s="5"/>
      <c r="E112" s="5"/>
      <c r="F112" s="5"/>
      <c r="G112" s="5"/>
      <c r="H112" s="5"/>
      <c r="I112" s="5"/>
      <c r="J112" s="5"/>
      <c r="K112" s="5"/>
      <c r="L112" s="6"/>
    </row>
    <row r="113" spans="1:12" ht="12.75">
      <c r="A113" s="4"/>
      <c r="B113" s="5"/>
      <c r="C113" s="5"/>
      <c r="D113" s="5"/>
      <c r="E113" s="5"/>
      <c r="F113" s="5"/>
      <c r="G113" s="5" t="s">
        <v>729</v>
      </c>
      <c r="H113" s="5" t="s">
        <v>16</v>
      </c>
      <c r="I113" s="5"/>
      <c r="J113" s="5"/>
      <c r="K113" s="5"/>
      <c r="L113" s="6"/>
    </row>
    <row r="114" spans="1:12" ht="12.75">
      <c r="A114" s="4"/>
      <c r="B114" s="5"/>
      <c r="C114" s="5"/>
      <c r="D114" s="5"/>
      <c r="E114" s="5"/>
      <c r="F114" s="5"/>
      <c r="G114" s="5"/>
      <c r="H114" s="5"/>
      <c r="I114" s="5" t="s">
        <v>730</v>
      </c>
      <c r="J114" s="5"/>
      <c r="K114" s="5"/>
      <c r="L114" s="6"/>
    </row>
    <row r="115" spans="1:12" ht="12.75">
      <c r="A115" s="4"/>
      <c r="B115" s="5"/>
      <c r="C115" s="5"/>
      <c r="D115" s="5"/>
      <c r="E115" s="5"/>
      <c r="F115" s="5"/>
      <c r="G115" s="5"/>
      <c r="H115" s="5"/>
      <c r="I115" s="5"/>
      <c r="J115" s="5"/>
      <c r="K115" s="5"/>
      <c r="L115" s="6"/>
    </row>
    <row r="116" spans="1:12" ht="12.75">
      <c r="A116" s="4"/>
      <c r="B116" s="5"/>
      <c r="C116" s="5"/>
      <c r="D116" s="5"/>
      <c r="E116" s="5"/>
      <c r="F116" s="5"/>
      <c r="G116" s="5"/>
      <c r="H116" s="5"/>
      <c r="I116" s="5"/>
      <c r="J116" s="5"/>
      <c r="K116" s="5"/>
      <c r="L116" s="6"/>
    </row>
    <row r="117" spans="1:12" ht="12.75">
      <c r="A117" s="4"/>
      <c r="B117" s="5"/>
      <c r="C117" s="5"/>
      <c r="D117" s="5" t="s">
        <v>20</v>
      </c>
      <c r="E117" s="5"/>
      <c r="F117" s="5"/>
      <c r="G117" s="5"/>
      <c r="H117" s="5"/>
      <c r="I117" s="5"/>
      <c r="J117" s="5"/>
      <c r="K117" s="5"/>
      <c r="L117" s="6"/>
    </row>
    <row r="118" spans="1:12" ht="12.75">
      <c r="A118" s="4"/>
      <c r="B118" s="5"/>
      <c r="C118" s="5"/>
      <c r="D118" s="5" t="s">
        <v>1380</v>
      </c>
      <c r="E118" s="5"/>
      <c r="F118" s="5"/>
      <c r="G118" s="5"/>
      <c r="H118" s="5"/>
      <c r="I118" s="5"/>
      <c r="J118" s="5"/>
      <c r="K118" s="5"/>
      <c r="L118" s="6"/>
    </row>
    <row r="119" spans="1:12" ht="12.75">
      <c r="A119" s="4"/>
      <c r="B119" s="5"/>
      <c r="C119" s="5"/>
      <c r="D119" s="5"/>
      <c r="E119" s="5"/>
      <c r="F119" s="5"/>
      <c r="G119" s="5"/>
      <c r="H119" s="5"/>
      <c r="I119" s="5"/>
      <c r="J119" s="5"/>
      <c r="K119" s="5"/>
      <c r="L119" s="6"/>
    </row>
    <row r="120" spans="1:12" ht="12.75">
      <c r="A120" s="4"/>
      <c r="B120" s="5"/>
      <c r="C120" s="5"/>
      <c r="D120" s="5" t="s">
        <v>1594</v>
      </c>
      <c r="E120" s="5"/>
      <c r="F120" s="5"/>
      <c r="G120" s="5"/>
      <c r="H120" s="5"/>
      <c r="I120" s="5"/>
      <c r="J120" s="5"/>
      <c r="K120" s="5"/>
      <c r="L120" s="6"/>
    </row>
    <row r="121" spans="1:12" ht="12.75">
      <c r="A121" s="4"/>
      <c r="B121" s="5"/>
      <c r="C121" s="5"/>
      <c r="D121" s="5"/>
      <c r="E121" s="5"/>
      <c r="F121" s="5"/>
      <c r="G121" s="5"/>
      <c r="H121" s="5"/>
      <c r="I121" s="5"/>
      <c r="J121" s="5"/>
      <c r="K121" s="5"/>
      <c r="L121" s="6"/>
    </row>
    <row r="122" spans="1:12" ht="12.75">
      <c r="A122" s="4"/>
      <c r="B122" s="5"/>
      <c r="C122" s="5"/>
      <c r="D122" s="5" t="s">
        <v>214</v>
      </c>
      <c r="E122" s="5"/>
      <c r="F122" s="5"/>
      <c r="G122" s="5"/>
      <c r="H122" s="5"/>
      <c r="I122" s="5"/>
      <c r="J122" s="5"/>
      <c r="K122" s="5"/>
      <c r="L122" s="6"/>
    </row>
    <row r="123" spans="1:12" ht="12.75">
      <c r="A123" s="4"/>
      <c r="B123" s="5"/>
      <c r="C123" s="5"/>
      <c r="D123" t="s">
        <v>216</v>
      </c>
      <c r="E123" s="5"/>
      <c r="F123" s="5"/>
      <c r="G123" s="5"/>
      <c r="H123" s="5"/>
      <c r="I123" s="5"/>
      <c r="J123" s="5"/>
      <c r="K123" s="5"/>
      <c r="L123" s="6"/>
    </row>
    <row r="124" spans="1:12" ht="12.75">
      <c r="A124" s="4"/>
      <c r="B124" s="5"/>
      <c r="C124" s="5"/>
      <c r="D124" s="5"/>
      <c r="E124" s="5"/>
      <c r="F124" s="5"/>
      <c r="G124" s="5"/>
      <c r="H124" s="5"/>
      <c r="I124" s="5"/>
      <c r="J124" s="5"/>
      <c r="K124" s="5"/>
      <c r="L124" s="6"/>
    </row>
    <row r="125" spans="1:12" ht="12.75">
      <c r="A125" s="4"/>
      <c r="B125" s="5"/>
      <c r="C125" s="5"/>
      <c r="D125" s="5"/>
      <c r="E125" s="5"/>
      <c r="F125" s="5"/>
      <c r="G125" s="5"/>
      <c r="H125" s="5"/>
      <c r="I125" s="5"/>
      <c r="J125" s="5"/>
      <c r="K125" s="5"/>
      <c r="L125" s="6"/>
    </row>
    <row r="126" spans="1:12" ht="12.75">
      <c r="A126" s="4"/>
      <c r="B126" s="5"/>
      <c r="C126" s="5"/>
      <c r="D126" s="5" t="s">
        <v>433</v>
      </c>
      <c r="E126" s="5"/>
      <c r="F126" s="5"/>
      <c r="G126" s="5"/>
      <c r="H126" s="5"/>
      <c r="I126" s="5"/>
      <c r="J126" s="5"/>
      <c r="K126" s="5"/>
      <c r="L126" s="6"/>
    </row>
    <row r="127" spans="1:12" ht="12.75">
      <c r="A127" s="4"/>
      <c r="B127" s="5"/>
      <c r="C127" s="5"/>
      <c r="D127" s="5" t="s">
        <v>1408</v>
      </c>
      <c r="E127" s="5"/>
      <c r="F127" s="5"/>
      <c r="G127" s="5"/>
      <c r="H127" s="5"/>
      <c r="I127" s="5"/>
      <c r="J127" s="5"/>
      <c r="K127" s="5"/>
      <c r="L127" s="6"/>
    </row>
    <row r="128" spans="1:12" ht="12.75">
      <c r="A128" s="4"/>
      <c r="B128" s="5"/>
      <c r="C128" s="5"/>
      <c r="D128" s="5"/>
      <c r="E128" s="5"/>
      <c r="F128" s="5"/>
      <c r="G128" s="5"/>
      <c r="H128" s="5"/>
      <c r="I128" s="5"/>
      <c r="J128" s="5"/>
      <c r="K128" s="5"/>
      <c r="L128" s="6"/>
    </row>
    <row r="129" spans="1:12" ht="12.75">
      <c r="A129" s="4"/>
      <c r="B129" s="5"/>
      <c r="C129" s="5"/>
      <c r="D129" s="5"/>
      <c r="E129" s="5"/>
      <c r="F129" s="5"/>
      <c r="G129" s="5"/>
      <c r="H129" s="5"/>
      <c r="I129" s="5"/>
      <c r="J129" s="5"/>
      <c r="K129" s="5"/>
      <c r="L129" s="6"/>
    </row>
    <row r="130" spans="1:12" ht="12.75">
      <c r="A130" s="4"/>
      <c r="B130" s="5"/>
      <c r="C130" s="5"/>
      <c r="D130" s="5"/>
      <c r="E130" s="5"/>
      <c r="F130" s="5"/>
      <c r="G130" s="5"/>
      <c r="H130" s="5"/>
      <c r="I130" s="5"/>
      <c r="J130" s="5"/>
      <c r="K130" s="5"/>
      <c r="L130" s="6" t="s">
        <v>1595</v>
      </c>
    </row>
    <row r="131" spans="1:12" ht="12.75">
      <c r="A131" s="4"/>
      <c r="B131" s="5"/>
      <c r="C131" s="5"/>
      <c r="D131" s="5"/>
      <c r="E131" s="5"/>
      <c r="F131" s="5"/>
      <c r="G131" s="5"/>
      <c r="H131" s="5"/>
      <c r="I131" s="5"/>
      <c r="J131" s="5"/>
      <c r="K131" s="5"/>
      <c r="L131" s="6"/>
    </row>
    <row r="132" spans="1:12" ht="12.75">
      <c r="A132" s="4"/>
      <c r="B132" s="5"/>
      <c r="C132" s="5"/>
      <c r="D132" s="5"/>
      <c r="E132" s="5"/>
      <c r="F132" s="5"/>
      <c r="G132" s="5"/>
      <c r="H132" s="5"/>
      <c r="I132" s="5"/>
      <c r="J132" s="5"/>
      <c r="K132" s="5"/>
      <c r="L132" s="6"/>
    </row>
    <row r="133" spans="1:12" ht="12.75">
      <c r="A133" s="4"/>
      <c r="B133" s="5"/>
      <c r="C133" s="5"/>
      <c r="D133" s="5"/>
      <c r="E133" s="5"/>
      <c r="F133" s="5"/>
      <c r="G133" s="5"/>
      <c r="H133" s="5"/>
      <c r="I133" s="5"/>
      <c r="J133" s="5"/>
      <c r="K133" s="5"/>
      <c r="L133" s="6"/>
    </row>
    <row r="134" spans="1:12" ht="12.75">
      <c r="A134" s="4"/>
      <c r="B134" s="5"/>
      <c r="C134" s="5"/>
      <c r="D134" s="5"/>
      <c r="E134" s="5"/>
      <c r="F134" s="5"/>
      <c r="G134" s="5"/>
      <c r="H134" s="5"/>
      <c r="I134" s="5"/>
      <c r="J134" s="5"/>
      <c r="K134" s="5"/>
      <c r="L134" s="6"/>
    </row>
    <row r="135" spans="1:12" ht="12.75">
      <c r="A135" s="4"/>
      <c r="B135" s="5"/>
      <c r="C135" s="5"/>
      <c r="D135" s="5"/>
      <c r="E135" s="5"/>
      <c r="F135" s="5"/>
      <c r="G135" s="5"/>
      <c r="H135" s="5"/>
      <c r="I135" s="5"/>
      <c r="J135" s="5"/>
      <c r="K135" s="5"/>
      <c r="L135" s="6"/>
    </row>
    <row r="136" spans="1:12" ht="12.75">
      <c r="A136" s="4"/>
      <c r="B136" s="5"/>
      <c r="C136" s="5"/>
      <c r="D136" s="5"/>
      <c r="E136" s="5"/>
      <c r="F136" s="5"/>
      <c r="G136" s="5"/>
      <c r="H136" s="5"/>
      <c r="I136" s="5"/>
      <c r="J136" s="5"/>
      <c r="K136" s="5"/>
      <c r="L136" s="6"/>
    </row>
    <row r="137" spans="1:12" ht="12.75">
      <c r="A137" s="4"/>
      <c r="B137" s="5"/>
      <c r="C137" s="5"/>
      <c r="D137" s="5"/>
      <c r="E137" s="5"/>
      <c r="F137" s="5"/>
      <c r="G137" s="5"/>
      <c r="H137" s="5"/>
      <c r="I137" s="5"/>
      <c r="J137" s="5"/>
      <c r="K137" s="5"/>
      <c r="L137" s="6"/>
    </row>
    <row r="138" spans="1:12" ht="12.75">
      <c r="A138" s="4"/>
      <c r="B138" s="5"/>
      <c r="C138" s="5"/>
      <c r="D138" s="5"/>
      <c r="E138" s="5"/>
      <c r="F138" s="5"/>
      <c r="G138" s="5"/>
      <c r="H138" s="5"/>
      <c r="I138" s="5"/>
      <c r="J138" s="5"/>
      <c r="K138" s="5"/>
      <c r="L138" s="6"/>
    </row>
    <row r="139" spans="1:12" ht="12.75">
      <c r="A139" s="4"/>
      <c r="B139" s="5"/>
      <c r="C139" s="5"/>
      <c r="D139" s="5"/>
      <c r="E139" s="5"/>
      <c r="F139" s="5"/>
      <c r="G139" s="5"/>
      <c r="H139" s="5"/>
      <c r="I139" s="5"/>
      <c r="J139" s="5"/>
      <c r="K139" s="5"/>
      <c r="L139" s="6"/>
    </row>
    <row r="140" spans="1:12" ht="12.75">
      <c r="A140" s="4"/>
      <c r="B140" s="5"/>
      <c r="C140" s="5"/>
      <c r="D140" s="5"/>
      <c r="E140" s="5"/>
      <c r="F140" s="5"/>
      <c r="G140" s="5"/>
      <c r="H140" s="5"/>
      <c r="I140" s="5"/>
      <c r="J140" s="5"/>
      <c r="K140" s="5"/>
      <c r="L140" s="6"/>
    </row>
    <row r="141" spans="1:12" ht="12.75">
      <c r="A141" s="4"/>
      <c r="B141" s="5"/>
      <c r="C141" s="5"/>
      <c r="D141" s="5"/>
      <c r="E141" s="5"/>
      <c r="F141" s="5"/>
      <c r="G141" s="5"/>
      <c r="H141" s="5"/>
      <c r="I141" s="5"/>
      <c r="J141" s="5"/>
      <c r="K141" s="5"/>
      <c r="L141" s="6"/>
    </row>
    <row r="142" spans="1:12" ht="12.75">
      <c r="A142" s="4"/>
      <c r="B142" s="5"/>
      <c r="C142" s="5"/>
      <c r="D142" s="5"/>
      <c r="E142" s="5"/>
      <c r="F142" s="5"/>
      <c r="G142" s="5"/>
      <c r="H142" s="5"/>
      <c r="I142" s="5"/>
      <c r="J142" s="5"/>
      <c r="K142" s="5" t="s">
        <v>1122</v>
      </c>
      <c r="L142" s="6"/>
    </row>
    <row r="143" spans="1:12" ht="12.75">
      <c r="A143" s="4"/>
      <c r="B143" s="5"/>
      <c r="C143" s="5"/>
      <c r="D143" s="5"/>
      <c r="E143" s="5"/>
      <c r="F143" s="5"/>
      <c r="G143" s="5"/>
      <c r="H143" s="5"/>
      <c r="I143" s="5"/>
      <c r="J143" s="5"/>
      <c r="K143" s="5"/>
      <c r="L143" s="6"/>
    </row>
    <row r="144" spans="1:12" ht="12.75">
      <c r="A144" s="4"/>
      <c r="B144" s="5"/>
      <c r="C144" s="5"/>
      <c r="D144" s="5"/>
      <c r="E144" s="5"/>
      <c r="F144" s="5"/>
      <c r="G144" s="5"/>
      <c r="H144" s="5"/>
      <c r="I144" s="5"/>
      <c r="J144" s="5"/>
      <c r="K144" s="5"/>
      <c r="L144" s="6"/>
    </row>
    <row r="145" spans="1:12" ht="12.75">
      <c r="A145" s="4"/>
      <c r="B145" s="5"/>
      <c r="C145" s="5"/>
      <c r="D145" s="5"/>
      <c r="E145" s="5"/>
      <c r="F145" s="5"/>
      <c r="G145" s="5"/>
      <c r="H145" s="5"/>
      <c r="I145" s="5"/>
      <c r="J145" s="5"/>
      <c r="K145" s="5"/>
      <c r="L145" s="6"/>
    </row>
    <row r="146" spans="1:12" ht="12.75">
      <c r="A146" s="4"/>
      <c r="B146" s="5"/>
      <c r="C146" s="5"/>
      <c r="D146" s="5"/>
      <c r="E146" s="5"/>
      <c r="F146" s="5"/>
      <c r="G146" s="5"/>
      <c r="H146" s="5"/>
      <c r="I146" s="5"/>
      <c r="J146" s="5"/>
      <c r="K146" s="5"/>
      <c r="L146" s="6"/>
    </row>
    <row r="147" spans="1:12" ht="12.75">
      <c r="A147" s="4"/>
      <c r="B147" s="5"/>
      <c r="C147" s="5"/>
      <c r="D147" s="5"/>
      <c r="E147" s="5"/>
      <c r="F147" s="5"/>
      <c r="G147" s="5"/>
      <c r="H147" s="5"/>
      <c r="I147" s="5"/>
      <c r="J147" s="5"/>
      <c r="K147" s="5"/>
      <c r="L147" s="6"/>
    </row>
    <row r="148" spans="1:12" ht="12.75">
      <c r="A148" s="4"/>
      <c r="B148" s="5"/>
      <c r="C148" s="5"/>
      <c r="D148" s="5"/>
      <c r="E148" s="5"/>
      <c r="F148" s="5"/>
      <c r="G148" s="5"/>
      <c r="H148" s="5"/>
      <c r="I148" s="131" t="s">
        <v>1381</v>
      </c>
      <c r="J148" s="5"/>
      <c r="K148" s="5"/>
      <c r="L148" s="6"/>
    </row>
    <row r="149" spans="1:12" ht="12.75">
      <c r="A149" s="4"/>
      <c r="B149" s="5"/>
      <c r="C149" s="5"/>
      <c r="D149" s="5"/>
      <c r="E149" s="5"/>
      <c r="F149" s="5"/>
      <c r="G149" s="5"/>
      <c r="H149" s="5"/>
      <c r="I149" s="5"/>
      <c r="J149" s="5"/>
      <c r="K149" s="5"/>
      <c r="L149" s="6"/>
    </row>
    <row r="150" spans="1:12" ht="12.75">
      <c r="A150" s="4"/>
      <c r="B150" s="5"/>
      <c r="C150" s="5"/>
      <c r="D150" s="5"/>
      <c r="E150" s="5"/>
      <c r="F150" s="5"/>
      <c r="G150" s="5"/>
      <c r="H150" s="5"/>
      <c r="I150" s="5"/>
      <c r="J150" s="5"/>
      <c r="K150" s="5"/>
      <c r="L150" s="6"/>
    </row>
    <row r="151" spans="1:12" ht="12.75">
      <c r="A151" s="4"/>
      <c r="B151" s="5"/>
      <c r="C151" s="5"/>
      <c r="D151" s="5"/>
      <c r="E151" s="5"/>
      <c r="F151" s="5"/>
      <c r="G151" s="5"/>
      <c r="H151" s="5"/>
      <c r="I151" s="5"/>
      <c r="J151" s="5"/>
      <c r="K151" s="5"/>
      <c r="L151" s="6"/>
    </row>
    <row r="152" spans="1:12" ht="12.75">
      <c r="A152" s="4"/>
      <c r="B152" s="5"/>
      <c r="C152" s="5"/>
      <c r="D152" s="5"/>
      <c r="E152" s="5"/>
      <c r="F152" s="5"/>
      <c r="G152" s="5"/>
      <c r="H152" s="5"/>
      <c r="I152" s="5"/>
      <c r="J152" s="5"/>
      <c r="K152" s="5"/>
      <c r="L152" s="6"/>
    </row>
    <row r="153" spans="1:12" ht="12.75">
      <c r="A153" s="4"/>
      <c r="B153" s="5"/>
      <c r="C153" s="5"/>
      <c r="D153" s="5"/>
      <c r="E153" s="5"/>
      <c r="F153" s="5"/>
      <c r="G153" s="5"/>
      <c r="H153" s="5" t="s">
        <v>1392</v>
      </c>
      <c r="I153" s="5"/>
      <c r="J153" s="5"/>
      <c r="K153" s="5"/>
      <c r="L153" s="6"/>
    </row>
    <row r="154" spans="1:12" ht="12.75">
      <c r="A154" s="4"/>
      <c r="B154" s="5"/>
      <c r="C154" s="5"/>
      <c r="D154" s="5"/>
      <c r="E154" s="5"/>
      <c r="F154" s="5"/>
      <c r="G154" s="5"/>
      <c r="H154" s="5"/>
      <c r="I154" s="5"/>
      <c r="J154" s="5"/>
      <c r="K154" s="5" t="s">
        <v>434</v>
      </c>
      <c r="L154" s="6"/>
    </row>
    <row r="155" spans="1:12" ht="12.75">
      <c r="A155" s="4"/>
      <c r="B155" s="5"/>
      <c r="C155" s="5"/>
      <c r="D155" s="5"/>
      <c r="E155" s="5"/>
      <c r="F155" s="5"/>
      <c r="G155" s="5"/>
      <c r="H155" s="5"/>
      <c r="I155" s="5"/>
      <c r="J155" s="5"/>
      <c r="K155" s="5" t="s">
        <v>1382</v>
      </c>
      <c r="L155" s="6"/>
    </row>
    <row r="156" spans="1:12" ht="12.75">
      <c r="A156" s="4"/>
      <c r="B156" s="5"/>
      <c r="C156" s="5"/>
      <c r="D156" s="5"/>
      <c r="E156" s="5"/>
      <c r="F156" s="5"/>
      <c r="G156" s="186" t="s">
        <v>1393</v>
      </c>
      <c r="H156" s="186"/>
      <c r="I156" s="5"/>
      <c r="J156" s="5"/>
      <c r="K156" s="5"/>
      <c r="L156" s="6"/>
    </row>
    <row r="157" spans="1:12" ht="12.75">
      <c r="A157" s="4"/>
      <c r="B157" s="5"/>
      <c r="C157" s="5"/>
      <c r="D157" s="5"/>
      <c r="E157" s="5"/>
      <c r="F157" s="5"/>
      <c r="G157" s="5"/>
      <c r="H157" s="5"/>
      <c r="I157" s="5"/>
      <c r="J157" s="5"/>
      <c r="K157" s="5"/>
      <c r="L157" s="6"/>
    </row>
    <row r="158" spans="1:12" ht="12.75">
      <c r="A158" s="4"/>
      <c r="B158" s="5"/>
      <c r="C158" s="5"/>
      <c r="D158" s="5"/>
      <c r="E158" s="5"/>
      <c r="F158" s="5"/>
      <c r="G158" s="5"/>
      <c r="H158" s="5"/>
      <c r="I158" s="5"/>
      <c r="J158" s="5"/>
      <c r="K158" s="5"/>
      <c r="L158" s="6"/>
    </row>
    <row r="159" spans="1:12" ht="12.75">
      <c r="A159" s="4"/>
      <c r="B159" s="5"/>
      <c r="C159" s="5"/>
      <c r="D159" s="5"/>
      <c r="E159" s="5"/>
      <c r="F159" s="5"/>
      <c r="G159" s="5"/>
      <c r="H159" s="5"/>
      <c r="I159" s="5"/>
      <c r="J159" s="5"/>
      <c r="K159" s="5"/>
      <c r="L159" s="6"/>
    </row>
    <row r="160" spans="1:12" ht="12.75">
      <c r="A160" s="4"/>
      <c r="B160" s="5"/>
      <c r="C160" s="5"/>
      <c r="D160" s="5" t="s">
        <v>435</v>
      </c>
      <c r="E160" s="5"/>
      <c r="F160" s="5"/>
      <c r="G160" s="5"/>
      <c r="H160" s="5"/>
      <c r="I160" s="5"/>
      <c r="J160" s="5"/>
      <c r="K160" s="5"/>
      <c r="L160" s="6"/>
    </row>
    <row r="161" spans="1:12" ht="12.75">
      <c r="A161" s="4"/>
      <c r="B161" s="5"/>
      <c r="C161" s="5"/>
      <c r="D161" s="22" t="s">
        <v>1491</v>
      </c>
      <c r="E161" s="5"/>
      <c r="F161" s="5"/>
      <c r="G161" s="5"/>
      <c r="H161" s="5"/>
      <c r="I161" s="5"/>
      <c r="J161" s="5"/>
      <c r="K161" s="5"/>
      <c r="L161" s="6"/>
    </row>
    <row r="162" spans="1:12" ht="12.75">
      <c r="A162" s="4"/>
      <c r="B162" s="5"/>
      <c r="C162" s="5"/>
      <c r="D162" s="5" t="s">
        <v>1492</v>
      </c>
      <c r="E162" s="5"/>
      <c r="F162" s="5"/>
      <c r="G162" s="5"/>
      <c r="H162" s="5"/>
      <c r="I162" s="5"/>
      <c r="J162" s="5"/>
      <c r="K162" s="5"/>
      <c r="L162" s="6"/>
    </row>
    <row r="163" spans="1:12" ht="12.75">
      <c r="A163" s="4"/>
      <c r="B163" s="5"/>
      <c r="C163" s="5"/>
      <c r="D163" s="5"/>
      <c r="E163" s="5"/>
      <c r="F163" s="5"/>
      <c r="G163" s="5"/>
      <c r="H163" s="5"/>
      <c r="I163" s="5"/>
      <c r="J163" s="5"/>
      <c r="K163" s="5"/>
      <c r="L163" s="6"/>
    </row>
    <row r="164" spans="1:12" ht="12.75">
      <c r="A164" s="4"/>
      <c r="B164" s="5"/>
      <c r="C164" s="5"/>
      <c r="D164" s="5" t="s">
        <v>1205</v>
      </c>
      <c r="E164" s="5"/>
      <c r="F164" s="5"/>
      <c r="G164" s="5"/>
      <c r="H164" s="5"/>
      <c r="I164" s="5"/>
      <c r="J164" s="5"/>
      <c r="K164" s="5"/>
      <c r="L164" s="6"/>
    </row>
    <row r="165" spans="1:12" ht="12.75">
      <c r="A165" s="4"/>
      <c r="B165" s="5"/>
      <c r="C165" s="5"/>
      <c r="D165" s="5"/>
      <c r="E165" s="5"/>
      <c r="F165" s="5"/>
      <c r="G165" s="5"/>
      <c r="H165" s="5"/>
      <c r="I165" s="5"/>
      <c r="J165" s="5"/>
      <c r="K165" s="5"/>
      <c r="L165" s="6"/>
    </row>
    <row r="166" spans="1:12" ht="12.75">
      <c r="A166" s="4"/>
      <c r="B166" s="5"/>
      <c r="C166" s="5"/>
      <c r="D166" s="279" t="s">
        <v>436</v>
      </c>
      <c r="E166" s="5"/>
      <c r="F166" s="5"/>
      <c r="G166" s="5"/>
      <c r="H166" s="5"/>
      <c r="I166" s="5"/>
      <c r="J166" s="5"/>
      <c r="K166" s="5"/>
      <c r="L166" s="6"/>
    </row>
    <row r="167" spans="1:12" ht="12.75">
      <c r="A167" s="4"/>
      <c r="B167" s="5"/>
      <c r="C167" s="5"/>
      <c r="D167" s="5"/>
      <c r="E167" s="5" t="s">
        <v>730</v>
      </c>
      <c r="F167" s="5"/>
      <c r="G167" s="5"/>
      <c r="H167" s="5"/>
      <c r="I167" s="5"/>
      <c r="J167" s="5"/>
      <c r="K167" s="5"/>
      <c r="L167" s="6"/>
    </row>
    <row r="168" spans="1:12" ht="12.75">
      <c r="A168" s="4"/>
      <c r="B168" s="5"/>
      <c r="C168" s="5"/>
      <c r="D168" s="5"/>
      <c r="E168" s="5"/>
      <c r="F168" s="5"/>
      <c r="G168" s="5"/>
      <c r="H168" s="5"/>
      <c r="I168" s="5"/>
      <c r="J168" s="5"/>
      <c r="K168" s="5"/>
      <c r="L168" s="6"/>
    </row>
    <row r="169" spans="1:12" ht="12.75">
      <c r="A169" s="4"/>
      <c r="B169" s="5"/>
      <c r="C169" s="5"/>
      <c r="D169" t="s">
        <v>1493</v>
      </c>
      <c r="E169" s="5"/>
      <c r="F169" s="5"/>
      <c r="G169" s="5"/>
      <c r="H169" s="5"/>
      <c r="I169" s="5"/>
      <c r="J169" s="5"/>
      <c r="K169" s="5"/>
      <c r="L169" s="6"/>
    </row>
    <row r="170" spans="1:12" ht="12.75">
      <c r="A170" s="4"/>
      <c r="B170" s="5"/>
      <c r="C170" s="5"/>
      <c r="E170" s="5"/>
      <c r="F170" s="5"/>
      <c r="G170" s="5"/>
      <c r="H170" s="5"/>
      <c r="I170" s="5"/>
      <c r="J170" s="5"/>
      <c r="K170" s="5"/>
      <c r="L170" s="6"/>
    </row>
    <row r="171" spans="1:12" ht="12.75">
      <c r="A171" s="4"/>
      <c r="B171" s="5"/>
      <c r="C171" s="5"/>
      <c r="D171" s="280" t="s">
        <v>328</v>
      </c>
      <c r="E171" s="5"/>
      <c r="F171" s="5"/>
      <c r="G171" s="5"/>
      <c r="H171" s="5"/>
      <c r="I171" s="5"/>
      <c r="J171" s="5"/>
      <c r="K171" s="5"/>
      <c r="L171" s="6"/>
    </row>
    <row r="172" spans="1:12" ht="12.75">
      <c r="A172" s="4"/>
      <c r="B172" s="5"/>
      <c r="C172" s="5"/>
      <c r="D172" s="280" t="s">
        <v>134</v>
      </c>
      <c r="E172" s="5"/>
      <c r="F172" s="5"/>
      <c r="G172" s="5"/>
      <c r="H172" s="5"/>
      <c r="I172" s="5"/>
      <c r="J172" s="5"/>
      <c r="K172" s="5"/>
      <c r="L172" s="6"/>
    </row>
    <row r="173" spans="1:12" ht="12.75">
      <c r="A173" s="4"/>
      <c r="B173" s="5"/>
      <c r="C173" s="5"/>
      <c r="E173" s="5"/>
      <c r="F173" s="5"/>
      <c r="G173" s="5"/>
      <c r="H173" s="5"/>
      <c r="I173" s="5"/>
      <c r="J173" s="5"/>
      <c r="K173" s="5"/>
      <c r="L173" s="6"/>
    </row>
    <row r="174" spans="1:12" ht="12.75">
      <c r="A174" s="4"/>
      <c r="B174" s="5"/>
      <c r="C174" s="5"/>
      <c r="E174" s="5"/>
      <c r="F174" s="5"/>
      <c r="G174" s="5"/>
      <c r="H174" s="5"/>
      <c r="I174" s="5"/>
      <c r="J174" s="5"/>
      <c r="K174" s="5"/>
      <c r="L174" s="6"/>
    </row>
    <row r="175" spans="1:12" ht="12.75">
      <c r="A175" s="4"/>
      <c r="B175" s="5"/>
      <c r="C175" s="5" t="s">
        <v>676</v>
      </c>
      <c r="D175" s="5"/>
      <c r="E175" s="5"/>
      <c r="F175" s="5"/>
      <c r="G175" s="5"/>
      <c r="H175" s="5"/>
      <c r="I175" s="5"/>
      <c r="J175" s="5"/>
      <c r="K175" s="5"/>
      <c r="L175" s="6"/>
    </row>
    <row r="176" spans="1:12" ht="12.75">
      <c r="A176" s="4"/>
      <c r="B176" s="5"/>
      <c r="C176" s="5"/>
      <c r="D176" s="5"/>
      <c r="E176" s="5"/>
      <c r="F176" s="5"/>
      <c r="G176" s="5"/>
      <c r="H176" s="5"/>
      <c r="I176" s="5"/>
      <c r="J176" s="5"/>
      <c r="K176" s="5"/>
      <c r="L176" s="6"/>
    </row>
    <row r="177" spans="1:12" ht="12.75">
      <c r="A177" s="4"/>
      <c r="B177" s="5"/>
      <c r="C177" s="5"/>
      <c r="D177" s="5" t="s">
        <v>677</v>
      </c>
      <c r="E177" s="5" t="s">
        <v>586</v>
      </c>
      <c r="F177" s="5"/>
      <c r="G177" s="5"/>
      <c r="H177" s="5"/>
      <c r="I177" s="5"/>
      <c r="J177" s="5"/>
      <c r="K177" s="5"/>
      <c r="L177" s="6"/>
    </row>
    <row r="178" spans="1:12" ht="12.75">
      <c r="A178" s="4"/>
      <c r="B178" s="5"/>
      <c r="C178" s="5"/>
      <c r="D178" s="5"/>
      <c r="E178" s="5"/>
      <c r="F178" s="5"/>
      <c r="G178" s="5"/>
      <c r="H178" s="5"/>
      <c r="I178" s="5"/>
      <c r="J178" s="5"/>
      <c r="K178" s="5"/>
      <c r="L178" s="6"/>
    </row>
    <row r="179" spans="1:12" ht="12.75">
      <c r="A179" s="4"/>
      <c r="B179" s="5"/>
      <c r="C179" s="5"/>
      <c r="D179" s="5"/>
      <c r="E179" s="5"/>
      <c r="F179" s="5"/>
      <c r="G179" s="5"/>
      <c r="H179" s="5"/>
      <c r="I179" s="5"/>
      <c r="J179" s="5"/>
      <c r="K179" s="5"/>
      <c r="L179" s="6"/>
    </row>
    <row r="180" spans="1:12" ht="12.75">
      <c r="A180" s="4"/>
      <c r="B180" s="5"/>
      <c r="C180" s="5" t="s">
        <v>588</v>
      </c>
      <c r="D180" s="5"/>
      <c r="E180" s="5"/>
      <c r="F180" s="5"/>
      <c r="G180" s="5"/>
      <c r="H180" s="5"/>
      <c r="I180" s="5"/>
      <c r="J180" s="5"/>
      <c r="K180" s="5"/>
      <c r="L180" s="6"/>
    </row>
    <row r="181" spans="1:12" ht="12.75">
      <c r="A181" s="4"/>
      <c r="B181" s="5"/>
      <c r="C181" s="5"/>
      <c r="D181" s="5"/>
      <c r="E181" s="5"/>
      <c r="F181" s="5"/>
      <c r="G181" s="5"/>
      <c r="H181" s="5"/>
      <c r="I181" s="5"/>
      <c r="J181" s="5"/>
      <c r="K181" s="5"/>
      <c r="L181" s="6"/>
    </row>
    <row r="182" spans="1:12" ht="12.75">
      <c r="A182" s="4"/>
      <c r="B182" s="5"/>
      <c r="C182" s="5"/>
      <c r="D182" s="22" t="s">
        <v>589</v>
      </c>
      <c r="E182" s="5"/>
      <c r="F182" s="5"/>
      <c r="G182" s="5"/>
      <c r="H182" s="5"/>
      <c r="I182" s="5"/>
      <c r="J182" s="5"/>
      <c r="K182" s="5"/>
      <c r="L182" s="6"/>
    </row>
    <row r="183" spans="1:12" ht="12.75">
      <c r="A183" s="4"/>
      <c r="B183" s="5"/>
      <c r="C183" s="5"/>
      <c r="D183" s="5"/>
      <c r="E183" s="5"/>
      <c r="F183" s="5"/>
      <c r="G183" s="5"/>
      <c r="H183" s="5"/>
      <c r="I183" s="5"/>
      <c r="J183" s="5"/>
      <c r="K183" s="5"/>
      <c r="L183" s="6"/>
    </row>
    <row r="184" spans="1:12" ht="12.75">
      <c r="A184" s="4"/>
      <c r="B184" s="5"/>
      <c r="C184" s="5"/>
      <c r="D184" s="5"/>
      <c r="E184" s="5"/>
      <c r="F184" s="5" t="s">
        <v>1724</v>
      </c>
      <c r="G184" s="5"/>
      <c r="H184" s="5"/>
      <c r="I184" s="5"/>
      <c r="J184" s="5"/>
      <c r="K184" s="5"/>
      <c r="L184" s="6"/>
    </row>
    <row r="185" spans="1:12" ht="12.75">
      <c r="A185" s="4"/>
      <c r="B185" s="5"/>
      <c r="C185" s="5"/>
      <c r="D185" s="5"/>
      <c r="E185" s="5"/>
      <c r="F185" s="5"/>
      <c r="G185" s="5"/>
      <c r="H185" s="5"/>
      <c r="I185" s="5"/>
      <c r="J185" s="5"/>
      <c r="K185" s="5"/>
      <c r="L185" s="6"/>
    </row>
    <row r="186" spans="1:12" ht="12.75">
      <c r="A186" s="4"/>
      <c r="B186" s="5"/>
      <c r="C186" s="5" t="s">
        <v>1729</v>
      </c>
      <c r="D186" s="5"/>
      <c r="E186" s="5"/>
      <c r="F186" s="5"/>
      <c r="G186" s="5"/>
      <c r="H186" s="5"/>
      <c r="I186" s="5"/>
      <c r="J186" s="5"/>
      <c r="K186" s="5"/>
      <c r="L186" s="6"/>
    </row>
    <row r="187" spans="1:12" ht="12.75">
      <c r="A187" s="4"/>
      <c r="B187" s="5"/>
      <c r="C187" s="5" t="s">
        <v>1267</v>
      </c>
      <c r="D187" s="5"/>
      <c r="E187" s="5"/>
      <c r="F187" s="5"/>
      <c r="G187" s="5"/>
      <c r="H187" s="5"/>
      <c r="I187" s="5"/>
      <c r="J187" s="5"/>
      <c r="K187" s="5"/>
      <c r="L187" s="6"/>
    </row>
    <row r="188" spans="1:12" ht="12.75">
      <c r="A188" s="4"/>
      <c r="B188" s="5"/>
      <c r="C188" s="5"/>
      <c r="D188" s="5"/>
      <c r="E188" s="5"/>
      <c r="F188" s="5"/>
      <c r="G188" s="5"/>
      <c r="H188" s="5"/>
      <c r="I188" s="5"/>
      <c r="J188" s="5"/>
      <c r="K188" s="5"/>
      <c r="L188" s="6"/>
    </row>
    <row r="189" spans="1:12" ht="12.75">
      <c r="A189" s="4"/>
      <c r="B189" s="5"/>
      <c r="C189" s="5"/>
      <c r="D189" s="5" t="s">
        <v>1268</v>
      </c>
      <c r="E189" s="5"/>
      <c r="F189" s="5" t="s">
        <v>1269</v>
      </c>
      <c r="G189" s="5"/>
      <c r="H189" s="5"/>
      <c r="I189" s="5"/>
      <c r="J189" s="5"/>
      <c r="K189" s="5"/>
      <c r="L189" s="6"/>
    </row>
    <row r="190" spans="1:12" ht="12.75">
      <c r="A190" s="4"/>
      <c r="B190" s="5"/>
      <c r="C190" s="5"/>
      <c r="D190" s="5" t="s">
        <v>1270</v>
      </c>
      <c r="E190" s="5"/>
      <c r="F190" s="5" t="s">
        <v>1064</v>
      </c>
      <c r="G190" s="5"/>
      <c r="H190" s="5"/>
      <c r="I190" s="5"/>
      <c r="J190" s="5"/>
      <c r="K190" s="5"/>
      <c r="L190" s="6"/>
    </row>
    <row r="191" spans="1:12" ht="12.75">
      <c r="A191" s="4"/>
      <c r="B191" s="5"/>
      <c r="C191" s="5"/>
      <c r="D191" s="5" t="s">
        <v>222</v>
      </c>
      <c r="E191" s="5"/>
      <c r="F191" s="5" t="s">
        <v>223</v>
      </c>
      <c r="G191" s="5"/>
      <c r="H191" s="5"/>
      <c r="I191" s="5"/>
      <c r="J191" s="5"/>
      <c r="K191" s="5"/>
      <c r="L191" s="6"/>
    </row>
    <row r="192" spans="1:12" ht="12.75">
      <c r="A192" s="4"/>
      <c r="B192" s="5"/>
      <c r="C192" s="5"/>
      <c r="D192" s="5"/>
      <c r="E192" s="5"/>
      <c r="F192" s="5"/>
      <c r="G192" s="5"/>
      <c r="H192" s="5"/>
      <c r="I192" s="5"/>
      <c r="J192" s="5"/>
      <c r="K192" s="5"/>
      <c r="L192" s="6"/>
    </row>
    <row r="193" spans="1:12" ht="13.5" thickBot="1">
      <c r="A193" s="7"/>
      <c r="B193" s="8"/>
      <c r="C193" s="8"/>
      <c r="D193" s="8"/>
      <c r="E193" s="8"/>
      <c r="F193" s="8"/>
      <c r="G193" s="8"/>
      <c r="H193" s="8"/>
      <c r="I193" s="8"/>
      <c r="J193" s="8"/>
      <c r="K193" s="8"/>
      <c r="L193" s="9"/>
    </row>
    <row r="194" ht="13.5" thickBot="1"/>
    <row r="195" spans="1:12" ht="12.75">
      <c r="A195" s="1"/>
      <c r="B195" s="2"/>
      <c r="C195" s="2"/>
      <c r="D195" s="2"/>
      <c r="E195" s="2"/>
      <c r="F195" s="2"/>
      <c r="G195" s="2"/>
      <c r="H195" s="2"/>
      <c r="I195" s="2"/>
      <c r="J195" s="2"/>
      <c r="K195" s="2"/>
      <c r="L195" s="3"/>
    </row>
    <row r="196" spans="1:12" ht="12.75">
      <c r="A196" s="10" t="s">
        <v>1658</v>
      </c>
      <c r="B196" s="5"/>
      <c r="C196" s="5"/>
      <c r="D196" s="5"/>
      <c r="E196" s="5"/>
      <c r="F196" s="5"/>
      <c r="G196" s="5"/>
      <c r="H196" s="5"/>
      <c r="I196" s="5"/>
      <c r="J196" s="5"/>
      <c r="K196" s="5"/>
      <c r="L196" s="6"/>
    </row>
    <row r="197" spans="1:12" ht="12.75">
      <c r="A197" s="4"/>
      <c r="B197" s="5"/>
      <c r="C197" s="5"/>
      <c r="D197" s="5"/>
      <c r="E197" s="5"/>
      <c r="F197" s="5"/>
      <c r="G197" s="5"/>
      <c r="H197" s="5"/>
      <c r="I197" s="5"/>
      <c r="J197" s="5"/>
      <c r="K197" s="5"/>
      <c r="L197" s="6"/>
    </row>
    <row r="198" spans="1:12" ht="12.75">
      <c r="A198" s="4"/>
      <c r="B198" s="5" t="s">
        <v>1659</v>
      </c>
      <c r="C198" s="5"/>
      <c r="D198" s="5"/>
      <c r="E198" s="5"/>
      <c r="F198" s="5"/>
      <c r="G198" s="5"/>
      <c r="H198" s="5"/>
      <c r="I198" s="5"/>
      <c r="J198" s="5"/>
      <c r="K198" s="5"/>
      <c r="L198" s="6"/>
    </row>
    <row r="199" spans="1:12" ht="12.75">
      <c r="A199" s="4"/>
      <c r="B199" s="5"/>
      <c r="C199" s="5"/>
      <c r="D199" s="5"/>
      <c r="E199" s="5"/>
      <c r="F199" s="5"/>
      <c r="G199" s="5"/>
      <c r="H199" s="5"/>
      <c r="I199" s="5"/>
      <c r="J199" s="5"/>
      <c r="K199" s="5"/>
      <c r="L199" s="6"/>
    </row>
    <row r="200" spans="1:12" ht="12.75">
      <c r="A200" s="4"/>
      <c r="B200" s="5" t="s">
        <v>791</v>
      </c>
      <c r="C200" s="98" t="s">
        <v>908</v>
      </c>
      <c r="D200" s="95">
        <f>Trans_Origin!E359</f>
        <v>4.656612873077393E-10</v>
      </c>
      <c r="E200" s="5" t="s">
        <v>167</v>
      </c>
      <c r="F200" s="5"/>
      <c r="G200" s="5" t="s">
        <v>1660</v>
      </c>
      <c r="H200" s="98" t="s">
        <v>1773</v>
      </c>
      <c r="I200" s="95">
        <f>Trans_Origin!E345</f>
        <v>0</v>
      </c>
      <c r="J200" s="5" t="s">
        <v>167</v>
      </c>
      <c r="K200" s="5"/>
      <c r="L200" s="6"/>
    </row>
    <row r="201" spans="1:12" ht="12.75">
      <c r="A201" s="4"/>
      <c r="B201" s="5"/>
      <c r="C201" s="98" t="s">
        <v>722</v>
      </c>
      <c r="D201" s="95">
        <f>Trans_Origin!E360</f>
        <v>-1.1641532182693481E-10</v>
      </c>
      <c r="E201" s="5" t="s">
        <v>167</v>
      </c>
      <c r="F201" s="5"/>
      <c r="G201" s="5"/>
      <c r="H201" s="98" t="s">
        <v>1774</v>
      </c>
      <c r="I201" s="95">
        <f>Trans_Origin!E346</f>
        <v>0</v>
      </c>
      <c r="J201" s="5" t="s">
        <v>167</v>
      </c>
      <c r="K201" s="5"/>
      <c r="L201" s="6"/>
    </row>
    <row r="202" spans="1:12" ht="12.75">
      <c r="A202" s="4"/>
      <c r="B202" s="5"/>
      <c r="C202" s="98" t="s">
        <v>723</v>
      </c>
      <c r="D202" s="95">
        <f>Trans_Origin!E361</f>
        <v>0</v>
      </c>
      <c r="E202" s="5" t="s">
        <v>167</v>
      </c>
      <c r="F202" s="5"/>
      <c r="G202" s="5"/>
      <c r="H202" s="98" t="s">
        <v>1777</v>
      </c>
      <c r="I202" s="95">
        <f>Trans_Origin!E347</f>
        <v>-6666652.740665482</v>
      </c>
      <c r="J202" s="5" t="s">
        <v>167</v>
      </c>
      <c r="K202" s="5"/>
      <c r="L202" s="6"/>
    </row>
    <row r="203" spans="1:12" ht="12.75">
      <c r="A203" s="4"/>
      <c r="B203" s="5"/>
      <c r="C203" s="5"/>
      <c r="D203" s="5"/>
      <c r="E203" s="5"/>
      <c r="F203" s="5"/>
      <c r="G203" s="5"/>
      <c r="H203" s="5"/>
      <c r="I203" s="5"/>
      <c r="J203" s="5"/>
      <c r="K203" s="5"/>
      <c r="L203" s="6"/>
    </row>
    <row r="204" spans="1:12" ht="12.75">
      <c r="A204" s="4"/>
      <c r="B204" s="5"/>
      <c r="C204" s="5" t="s">
        <v>1661</v>
      </c>
      <c r="D204" s="5"/>
      <c r="E204" s="5"/>
      <c r="F204" s="5"/>
      <c r="G204" s="5" t="s">
        <v>1662</v>
      </c>
      <c r="H204" s="95">
        <f>SQRT((D200-I200)^2+(D201-I201)^2+(D202-I202)^2)</f>
        <v>6666652.740665482</v>
      </c>
      <c r="I204" s="5" t="s">
        <v>167</v>
      </c>
      <c r="J204" s="5"/>
      <c r="K204" s="5"/>
      <c r="L204" s="6"/>
    </row>
    <row r="205" spans="1:12" ht="12.75">
      <c r="A205" s="4"/>
      <c r="B205" s="5"/>
      <c r="C205" s="5"/>
      <c r="D205" s="5"/>
      <c r="E205" s="5"/>
      <c r="F205" s="5"/>
      <c r="G205" s="5"/>
      <c r="H205" s="5"/>
      <c r="I205" s="5"/>
      <c r="J205" s="5"/>
      <c r="K205" s="5"/>
      <c r="L205" s="6"/>
    </row>
    <row r="206" spans="1:12" ht="12.75">
      <c r="A206" s="4"/>
      <c r="B206" s="5"/>
      <c r="C206" s="5"/>
      <c r="D206" s="5" t="s">
        <v>1752</v>
      </c>
      <c r="E206" s="5"/>
      <c r="F206" s="5"/>
      <c r="G206" s="5"/>
      <c r="H206" s="5"/>
      <c r="I206" s="5"/>
      <c r="J206" s="5"/>
      <c r="K206" s="5"/>
      <c r="L206" s="6"/>
    </row>
    <row r="207" spans="1:12" ht="12.75">
      <c r="A207" s="4"/>
      <c r="B207" s="5"/>
      <c r="C207" s="5"/>
      <c r="D207" s="5"/>
      <c r="E207" s="5"/>
      <c r="F207" s="5" t="s">
        <v>1753</v>
      </c>
      <c r="G207" s="5" t="s">
        <v>1754</v>
      </c>
      <c r="H207" s="5"/>
      <c r="I207" s="336">
        <f>(I200-D200)/H$204</f>
        <v>-6.984933900445755E-17</v>
      </c>
      <c r="J207" s="5"/>
      <c r="K207" s="5"/>
      <c r="L207" s="6"/>
    </row>
    <row r="208" spans="1:12" ht="12.75">
      <c r="A208" s="4"/>
      <c r="B208" s="5"/>
      <c r="C208" s="5"/>
      <c r="D208" s="5"/>
      <c r="E208" s="5"/>
      <c r="F208" s="5" t="s">
        <v>1081</v>
      </c>
      <c r="G208" s="5" t="s">
        <v>1082</v>
      </c>
      <c r="H208" s="5"/>
      <c r="I208" s="336">
        <f>(I201-D201)/H$204</f>
        <v>1.7462334751114387E-17</v>
      </c>
      <c r="J208" s="5"/>
      <c r="K208" s="5"/>
      <c r="L208" s="6"/>
    </row>
    <row r="209" spans="1:12" ht="12.75">
      <c r="A209" s="4"/>
      <c r="B209" s="5"/>
      <c r="C209" s="5"/>
      <c r="D209" s="5"/>
      <c r="E209" s="5"/>
      <c r="F209" s="5" t="s">
        <v>1083</v>
      </c>
      <c r="G209" s="5" t="s">
        <v>1082</v>
      </c>
      <c r="H209" s="5"/>
      <c r="I209" s="336">
        <f>(I202-D202)/H$204</f>
        <v>-1</v>
      </c>
      <c r="L209" s="6"/>
    </row>
    <row r="210" spans="1:12" ht="12.75">
      <c r="A210" s="4"/>
      <c r="B210" s="5"/>
      <c r="C210" s="5"/>
      <c r="D210" s="5"/>
      <c r="E210" s="5"/>
      <c r="F210" s="5"/>
      <c r="G210" s="5"/>
      <c r="H210" s="5"/>
      <c r="I210" s="123"/>
      <c r="K210" s="113"/>
      <c r="L210" s="6"/>
    </row>
    <row r="211" spans="1:12" ht="12.75">
      <c r="A211" s="4"/>
      <c r="B211" s="5"/>
      <c r="C211" s="5"/>
      <c r="D211" s="5"/>
      <c r="E211" s="5"/>
      <c r="F211" s="5" t="s">
        <v>1084</v>
      </c>
      <c r="G211" s="5"/>
      <c r="H211" s="5"/>
      <c r="I211" s="72">
        <f>SQRT($I$207^2+$I$208^2+$I$209^2)</f>
        <v>1</v>
      </c>
      <c r="K211" s="113"/>
      <c r="L211" s="6"/>
    </row>
    <row r="212" spans="1:12" ht="13.5" thickBot="1">
      <c r="A212" s="7"/>
      <c r="B212" s="8"/>
      <c r="C212" s="8"/>
      <c r="D212" s="8"/>
      <c r="E212" s="8"/>
      <c r="F212" s="8"/>
      <c r="G212" s="8"/>
      <c r="H212" s="8"/>
      <c r="I212" s="8"/>
      <c r="J212" s="8"/>
      <c r="K212" s="8"/>
      <c r="L212" s="9"/>
    </row>
    <row r="213" ht="13.5" thickBot="1"/>
    <row r="214" spans="1:12" ht="12.75">
      <c r="A214" s="1"/>
      <c r="B214" s="2"/>
      <c r="C214" s="2"/>
      <c r="D214" s="2"/>
      <c r="E214" s="2"/>
      <c r="F214" s="2"/>
      <c r="G214" s="2"/>
      <c r="H214" s="2"/>
      <c r="I214" s="2"/>
      <c r="J214" s="2"/>
      <c r="K214" s="2"/>
      <c r="L214" s="3"/>
    </row>
    <row r="215" spans="1:12" ht="12.75">
      <c r="A215" s="10" t="s">
        <v>1193</v>
      </c>
      <c r="B215" s="5"/>
      <c r="C215" s="5"/>
      <c r="D215" s="5"/>
      <c r="E215" s="5"/>
      <c r="F215" s="5"/>
      <c r="G215" s="5"/>
      <c r="H215" s="5"/>
      <c r="I215" s="5"/>
      <c r="J215" s="5"/>
      <c r="K215" s="5"/>
      <c r="L215" s="6"/>
    </row>
    <row r="216" spans="1:12" ht="12.75">
      <c r="A216" s="4"/>
      <c r="B216" s="5"/>
      <c r="C216" s="5"/>
      <c r="D216" s="5"/>
      <c r="E216" s="5"/>
      <c r="F216" s="5"/>
      <c r="G216" s="5"/>
      <c r="H216" s="5"/>
      <c r="I216" s="5"/>
      <c r="J216" s="5"/>
      <c r="K216" s="5"/>
      <c r="L216" s="6"/>
    </row>
    <row r="217" spans="1:12" ht="12.75">
      <c r="A217" s="4" t="s">
        <v>1194</v>
      </c>
      <c r="B217" s="5" t="s">
        <v>317</v>
      </c>
      <c r="C217" s="5"/>
      <c r="D217" s="5"/>
      <c r="E217" s="5"/>
      <c r="F217" s="5"/>
      <c r="G217" s="5"/>
      <c r="H217" s="5"/>
      <c r="I217" s="5"/>
      <c r="J217" s="5"/>
      <c r="K217" s="5"/>
      <c r="L217" s="6"/>
    </row>
    <row r="218" spans="1:12" ht="12.75">
      <c r="A218" s="4"/>
      <c r="B218" s="5"/>
      <c r="C218" s="5"/>
      <c r="D218" s="5"/>
      <c r="E218" s="5"/>
      <c r="F218" s="5"/>
      <c r="G218" s="5"/>
      <c r="H218" s="5"/>
      <c r="I218" s="5"/>
      <c r="J218" s="5"/>
      <c r="K218" s="5"/>
      <c r="L218" s="6"/>
    </row>
    <row r="219" spans="1:12" ht="12.75">
      <c r="A219" s="4"/>
      <c r="B219" s="22" t="s">
        <v>231</v>
      </c>
      <c r="C219" s="5" t="str">
        <f>Photo_Setup!J165</f>
        <v>i_SX_p1 = </v>
      </c>
      <c r="D219" s="187">
        <f>Photo_Setup!K165</f>
        <v>-0.541052223621373</v>
      </c>
      <c r="E219" s="190" t="s">
        <v>232</v>
      </c>
      <c r="F219" s="148"/>
      <c r="G219" s="26" t="s">
        <v>233</v>
      </c>
      <c r="H219" s="5" t="s">
        <v>234</v>
      </c>
      <c r="I219" s="5" t="str">
        <f>C219</f>
        <v>i_SX_p1 = </v>
      </c>
      <c r="J219" s="187">
        <f>-D219</f>
        <v>0.541052223621373</v>
      </c>
      <c r="K219" s="5"/>
      <c r="L219" s="6"/>
    </row>
    <row r="220" spans="1:12" ht="12.75">
      <c r="A220" s="4"/>
      <c r="B220" s="5"/>
      <c r="C220" s="5" t="str">
        <f>Photo_Setup!J166</f>
        <v>j_SY_p1 = </v>
      </c>
      <c r="D220" s="187">
        <f>Photo_Setup!K166</f>
        <v>0.14030594078736208</v>
      </c>
      <c r="E220" s="5"/>
      <c r="F220" s="5"/>
      <c r="G220" s="26" t="s">
        <v>235</v>
      </c>
      <c r="H220" s="5" t="s">
        <v>234</v>
      </c>
      <c r="I220" s="5" t="str">
        <f>C220</f>
        <v>j_SY_p1 = </v>
      </c>
      <c r="J220" s="187">
        <f>-D220</f>
        <v>-0.14030594078736208</v>
      </c>
      <c r="K220" s="5"/>
      <c r="L220" s="6"/>
    </row>
    <row r="221" spans="1:12" ht="12.75">
      <c r="A221" s="4"/>
      <c r="B221" s="5"/>
      <c r="C221" s="5" t="str">
        <f>Photo_Setup!J167</f>
        <v>k_SZ_p1 = </v>
      </c>
      <c r="D221" s="187">
        <f>Photo_Setup!K167</f>
        <v>0.8292024688181658</v>
      </c>
      <c r="E221" s="5"/>
      <c r="F221" s="5"/>
      <c r="G221" s="26" t="s">
        <v>236</v>
      </c>
      <c r="H221" s="5" t="s">
        <v>234</v>
      </c>
      <c r="I221" s="5" t="str">
        <f>C221</f>
        <v>k_SZ_p1 = </v>
      </c>
      <c r="J221" s="187">
        <f>-D221</f>
        <v>-0.8292024688181658</v>
      </c>
      <c r="K221" s="5"/>
      <c r="L221" s="6"/>
    </row>
    <row r="222" spans="1:12" ht="12.75">
      <c r="A222" s="4"/>
      <c r="B222" s="5"/>
      <c r="C222" s="5"/>
      <c r="D222" s="5"/>
      <c r="E222" s="5"/>
      <c r="F222" s="5"/>
      <c r="G222" s="5"/>
      <c r="H222" s="5"/>
      <c r="I222" s="5"/>
      <c r="J222" s="5"/>
      <c r="K222" s="5"/>
      <c r="L222" s="6"/>
    </row>
    <row r="223" spans="1:12" ht="12.75">
      <c r="A223" s="4" t="s">
        <v>237</v>
      </c>
      <c r="B223" s="5" t="s">
        <v>238</v>
      </c>
      <c r="C223" s="5"/>
      <c r="D223" s="5"/>
      <c r="E223" s="5"/>
      <c r="F223" s="5"/>
      <c r="G223" s="5"/>
      <c r="H223" s="5"/>
      <c r="I223" s="5"/>
      <c r="J223" s="5"/>
      <c r="K223" s="5"/>
      <c r="L223" s="6"/>
    </row>
    <row r="224" spans="1:12" ht="12.75">
      <c r="A224" s="4"/>
      <c r="B224" s="5"/>
      <c r="C224" s="5"/>
      <c r="D224" s="5"/>
      <c r="E224" s="5"/>
      <c r="F224" s="5"/>
      <c r="G224" s="5"/>
      <c r="H224" s="5"/>
      <c r="I224" s="5"/>
      <c r="J224" s="5"/>
      <c r="K224" s="5"/>
      <c r="L224" s="6"/>
    </row>
    <row r="225" spans="1:12" ht="12.75">
      <c r="A225" s="4"/>
      <c r="B225" s="147" t="s">
        <v>239</v>
      </c>
      <c r="C225" s="46" t="s">
        <v>389</v>
      </c>
      <c r="D225" s="46"/>
      <c r="E225" s="46"/>
      <c r="F225" s="26"/>
      <c r="G225" s="52"/>
      <c r="H225" s="5"/>
      <c r="I225" s="22" t="s">
        <v>390</v>
      </c>
      <c r="J225" s="5"/>
      <c r="K225" s="5"/>
      <c r="L225" s="6"/>
    </row>
    <row r="226" spans="1:12" ht="12.75">
      <c r="A226" s="4"/>
      <c r="B226" s="5"/>
      <c r="C226" s="46"/>
      <c r="D226" s="46"/>
      <c r="E226" s="46"/>
      <c r="F226" s="26"/>
      <c r="G226" s="52"/>
      <c r="H226" s="5"/>
      <c r="I226" s="5" t="s">
        <v>391</v>
      </c>
      <c r="J226" s="5"/>
      <c r="K226" s="5"/>
      <c r="L226" s="6"/>
    </row>
    <row r="227" spans="1:12" ht="12.75">
      <c r="A227" s="4"/>
      <c r="B227" s="5"/>
      <c r="C227" s="70"/>
      <c r="D227" s="46"/>
      <c r="E227" s="70" t="s">
        <v>127</v>
      </c>
      <c r="F227" s="72">
        <f>$I$207*J219+$I$208*J220+$I$209*J221</f>
        <v>0.8292024688181658</v>
      </c>
      <c r="G227" s="52"/>
      <c r="H227" s="5"/>
      <c r="I227" s="5" t="s">
        <v>480</v>
      </c>
      <c r="J227" s="5"/>
      <c r="K227" s="5"/>
      <c r="L227" s="6"/>
    </row>
    <row r="228" spans="1:12" ht="12.75">
      <c r="A228" s="4"/>
      <c r="B228" s="5"/>
      <c r="C228" s="46"/>
      <c r="D228" s="46"/>
      <c r="E228" s="70" t="s">
        <v>128</v>
      </c>
      <c r="F228" s="72">
        <f>$I$211</f>
        <v>1</v>
      </c>
      <c r="G228" s="52"/>
      <c r="H228" s="5"/>
      <c r="I228" s="5"/>
      <c r="J228" s="5"/>
      <c r="K228" s="5"/>
      <c r="L228" s="6"/>
    </row>
    <row r="229" spans="1:12" ht="12.75">
      <c r="A229" s="4"/>
      <c r="B229" s="5"/>
      <c r="C229" s="46"/>
      <c r="D229" s="46"/>
      <c r="E229" s="70" t="s">
        <v>129</v>
      </c>
      <c r="F229" s="72">
        <f>SQRT(J219^2+J220^2+J221^2)</f>
        <v>1</v>
      </c>
      <c r="G229" s="52"/>
      <c r="H229" s="5"/>
      <c r="I229" s="5"/>
      <c r="J229" s="5"/>
      <c r="K229" s="5"/>
      <c r="L229" s="6"/>
    </row>
    <row r="230" spans="1:12" ht="12.75">
      <c r="A230" s="4"/>
      <c r="B230" s="5"/>
      <c r="C230" s="85" t="s">
        <v>866</v>
      </c>
      <c r="D230" s="5"/>
      <c r="E230" s="70"/>
      <c r="F230" s="72">
        <f>F227/(F228*F229)</f>
        <v>0.8292024688181658</v>
      </c>
      <c r="G230" s="5"/>
      <c r="H230" s="5"/>
      <c r="I230" s="5"/>
      <c r="J230" s="5"/>
      <c r="K230" s="5"/>
      <c r="L230" s="6"/>
    </row>
    <row r="231" spans="1:12" ht="13.5" thickBot="1">
      <c r="A231" s="4"/>
      <c r="B231" s="5"/>
      <c r="C231" s="46"/>
      <c r="D231" s="46"/>
      <c r="E231" s="46"/>
      <c r="F231" s="26"/>
      <c r="G231" s="52"/>
      <c r="H231" s="5"/>
      <c r="I231" s="88" t="s">
        <v>1196</v>
      </c>
      <c r="J231" s="115"/>
      <c r="K231" s="115"/>
      <c r="L231" s="192"/>
    </row>
    <row r="232" spans="1:12" ht="16.5" thickBot="1">
      <c r="A232" s="4"/>
      <c r="B232" s="5"/>
      <c r="C232" s="16" t="s">
        <v>239</v>
      </c>
      <c r="D232" s="72">
        <f>IF((F228*F229)=0,0,ACOS(F230))</f>
        <v>0.5931169985765388</v>
      </c>
      <c r="E232" s="52" t="s">
        <v>1483</v>
      </c>
      <c r="F232" s="73">
        <f>DEGREES(D232)</f>
        <v>33.98310077590253</v>
      </c>
      <c r="G232" s="46" t="s">
        <v>1233</v>
      </c>
      <c r="H232" s="5"/>
      <c r="I232" s="86" t="str">
        <f>IF((F228*F229)&lt;&gt;1,"Vector A or B Not a Unit Vector","None")</f>
        <v>None</v>
      </c>
      <c r="J232" s="116"/>
      <c r="K232" s="116"/>
      <c r="L232" s="87"/>
    </row>
    <row r="233" spans="1:12" ht="12.75">
      <c r="A233" s="4"/>
      <c r="B233" s="5"/>
      <c r="C233" s="5"/>
      <c r="D233" s="5"/>
      <c r="E233" s="5"/>
      <c r="F233" s="5"/>
      <c r="G233" s="5"/>
      <c r="H233" s="5"/>
      <c r="I233" s="5"/>
      <c r="J233" s="5"/>
      <c r="K233" s="5"/>
      <c r="L233" s="6"/>
    </row>
    <row r="234" spans="1:12" ht="12.75">
      <c r="A234" s="4"/>
      <c r="B234" s="5"/>
      <c r="C234" s="5"/>
      <c r="D234" s="5"/>
      <c r="E234" s="5"/>
      <c r="F234" s="5"/>
      <c r="G234" s="5"/>
      <c r="H234" s="5"/>
      <c r="I234" s="5"/>
      <c r="J234" s="5"/>
      <c r="K234" s="5"/>
      <c r="L234" s="6"/>
    </row>
    <row r="235" spans="1:12" ht="12.75">
      <c r="A235" s="4" t="s">
        <v>534</v>
      </c>
      <c r="B235" s="5" t="s">
        <v>1197</v>
      </c>
      <c r="C235" s="5"/>
      <c r="D235" s="5"/>
      <c r="E235" s="5"/>
      <c r="F235" s="5"/>
      <c r="G235" s="5"/>
      <c r="H235" s="5"/>
      <c r="I235" s="5"/>
      <c r="J235" s="5"/>
      <c r="K235" s="5"/>
      <c r="L235" s="6"/>
    </row>
    <row r="236" spans="1:12" ht="12.75">
      <c r="A236" s="4"/>
      <c r="B236" s="5"/>
      <c r="C236" s="5"/>
      <c r="D236" s="5"/>
      <c r="E236" s="5"/>
      <c r="F236" s="5"/>
      <c r="G236" s="5"/>
      <c r="H236" s="5"/>
      <c r="I236" s="5"/>
      <c r="J236" s="5"/>
      <c r="K236" s="5"/>
      <c r="L236" s="6"/>
    </row>
    <row r="237" spans="1:12" ht="12.75">
      <c r="A237" s="4"/>
      <c r="B237" s="147" t="s">
        <v>1198</v>
      </c>
      <c r="C237" s="5" t="s">
        <v>1507</v>
      </c>
      <c r="D237" s="5"/>
      <c r="E237" s="5"/>
      <c r="F237" s="5"/>
      <c r="G237" s="5"/>
      <c r="H237" s="5"/>
      <c r="I237" s="5"/>
      <c r="J237" s="5"/>
      <c r="K237" s="5"/>
      <c r="L237" s="6"/>
    </row>
    <row r="238" spans="1:12" ht="12.75">
      <c r="A238" s="4"/>
      <c r="B238" s="147"/>
      <c r="C238" s="5"/>
      <c r="D238" s="5"/>
      <c r="E238" s="5"/>
      <c r="F238" s="5"/>
      <c r="G238" s="5"/>
      <c r="H238" s="5"/>
      <c r="I238" s="5"/>
      <c r="J238" s="5"/>
      <c r="K238" s="5"/>
      <c r="L238" s="6"/>
    </row>
    <row r="239" spans="1:12" ht="12.75">
      <c r="A239" s="4"/>
      <c r="B239" s="147"/>
      <c r="C239" s="52" t="s">
        <v>1508</v>
      </c>
      <c r="E239" s="5"/>
      <c r="G239" s="68">
        <f>SIN(D232)*$H$204/$I$89</f>
        <v>0.5849481883069698</v>
      </c>
      <c r="H239" s="5"/>
      <c r="I239" s="5"/>
      <c r="J239" s="5"/>
      <c r="K239" s="5"/>
      <c r="L239" s="6"/>
    </row>
    <row r="240" spans="1:12" ht="12.75">
      <c r="A240" s="4"/>
      <c r="B240" s="147"/>
      <c r="C240" s="5"/>
      <c r="D240" s="5"/>
      <c r="E240" s="5"/>
      <c r="F240" s="5"/>
      <c r="G240" s="5"/>
      <c r="H240" s="5"/>
      <c r="I240" s="5"/>
      <c r="J240" s="5"/>
      <c r="K240" s="5"/>
      <c r="L240" s="6"/>
    </row>
    <row r="241" spans="1:12" ht="12.75">
      <c r="A241" s="4"/>
      <c r="B241" s="147"/>
      <c r="C241" s="126" t="s">
        <v>1509</v>
      </c>
      <c r="E241" s="5"/>
      <c r="F241" s="5"/>
      <c r="G241" s="5"/>
      <c r="H241" s="5"/>
      <c r="I241" s="5"/>
      <c r="J241" s="5"/>
      <c r="K241" s="5"/>
      <c r="L241" s="6"/>
    </row>
    <row r="242" spans="1:12" ht="12.75">
      <c r="A242" s="4"/>
      <c r="B242" s="147"/>
      <c r="C242" s="280" t="s">
        <v>249</v>
      </c>
      <c r="I242" s="5"/>
      <c r="J242" s="5"/>
      <c r="K242" s="5"/>
      <c r="L242" s="6"/>
    </row>
    <row r="243" spans="1:12" ht="13.5" thickBot="1">
      <c r="A243" s="4"/>
      <c r="B243" s="5"/>
      <c r="C243" s="5"/>
      <c r="D243" s="5"/>
      <c r="E243" s="5"/>
      <c r="G243" s="5"/>
      <c r="H243" s="5"/>
      <c r="I243" s="241" t="s">
        <v>250</v>
      </c>
      <c r="J243" s="242"/>
      <c r="K243" s="242"/>
      <c r="L243" s="243"/>
    </row>
    <row r="244" spans="1:12" ht="13.5" thickBot="1">
      <c r="A244" s="4"/>
      <c r="B244" s="5"/>
      <c r="C244" s="147" t="s">
        <v>1198</v>
      </c>
      <c r="D244" s="68">
        <f>IF(G239&lt;=1,ASIN(G239),"")</f>
        <v>0.6248161756741787</v>
      </c>
      <c r="E244" s="52" t="s">
        <v>1483</v>
      </c>
      <c r="F244" s="68">
        <f>IF(D244="","",DEGREES(D244))</f>
        <v>35.79932983763505</v>
      </c>
      <c r="G244" s="5" t="s">
        <v>1233</v>
      </c>
      <c r="H244" s="5"/>
      <c r="I244" s="244" t="str">
        <f>IF(G239&lt;=1,"None","Asin(Zeta)&gt;1 - Vector Does not Intersect Earth")</f>
        <v>None</v>
      </c>
      <c r="J244" s="245"/>
      <c r="K244" s="245"/>
      <c r="L244" s="246"/>
    </row>
    <row r="245" spans="1:12" ht="12.75">
      <c r="A245" s="4"/>
      <c r="B245" s="5"/>
      <c r="C245" s="5"/>
      <c r="D245" s="5"/>
      <c r="E245" s="5"/>
      <c r="F245" s="5"/>
      <c r="G245" s="5"/>
      <c r="H245" s="5"/>
      <c r="I245" s="5"/>
      <c r="J245" s="5"/>
      <c r="K245" s="5"/>
      <c r="L245" s="6"/>
    </row>
    <row r="246" spans="1:12" ht="12.75">
      <c r="A246" s="4"/>
      <c r="B246" s="5"/>
      <c r="C246" s="5" t="s">
        <v>1611</v>
      </c>
      <c r="D246" s="5"/>
      <c r="E246" s="5"/>
      <c r="F246" s="5"/>
      <c r="G246" s="5"/>
      <c r="H246" s="5"/>
      <c r="I246" s="5"/>
      <c r="J246" s="5"/>
      <c r="K246" s="5"/>
      <c r="L246" s="6"/>
    </row>
    <row r="247" spans="1:12" ht="12.75">
      <c r="A247" s="4"/>
      <c r="B247" s="5"/>
      <c r="C247" s="5" t="s">
        <v>1519</v>
      </c>
      <c r="D247" s="5"/>
      <c r="E247" s="5"/>
      <c r="F247" s="5"/>
      <c r="G247" s="5"/>
      <c r="H247" s="5"/>
      <c r="I247" s="5"/>
      <c r="J247" s="5"/>
      <c r="K247" s="5"/>
      <c r="L247" s="6"/>
    </row>
    <row r="248" spans="1:12" ht="12.75">
      <c r="A248" s="4"/>
      <c r="B248" s="5"/>
      <c r="C248" s="5"/>
      <c r="D248" s="5" t="s">
        <v>1384</v>
      </c>
      <c r="E248" s="5"/>
      <c r="F248" s="5"/>
      <c r="G248" s="5"/>
      <c r="H248" s="5"/>
      <c r="I248" s="5"/>
      <c r="J248" s="5"/>
      <c r="K248" s="5"/>
      <c r="L248" s="6"/>
    </row>
    <row r="249" spans="1:12" ht="12.75">
      <c r="A249" s="4"/>
      <c r="B249" s="5"/>
      <c r="C249" s="5"/>
      <c r="D249" s="5" t="s">
        <v>1060</v>
      </c>
      <c r="E249" s="5"/>
      <c r="F249" s="5"/>
      <c r="G249" s="5"/>
      <c r="H249" s="5"/>
      <c r="I249" s="5"/>
      <c r="J249" s="5"/>
      <c r="K249" s="5"/>
      <c r="L249" s="6"/>
    </row>
    <row r="250" spans="1:12" ht="12.75">
      <c r="A250" s="4"/>
      <c r="B250" s="5"/>
      <c r="C250" s="5"/>
      <c r="D250" s="5"/>
      <c r="E250" s="5"/>
      <c r="F250" s="5"/>
      <c r="G250" s="5"/>
      <c r="H250" s="5"/>
      <c r="I250" s="5"/>
      <c r="J250" s="5"/>
      <c r="K250" s="5"/>
      <c r="L250" s="6"/>
    </row>
    <row r="251" spans="1:12" ht="12.75">
      <c r="A251" s="4"/>
      <c r="B251" s="5"/>
      <c r="C251" s="22" t="s">
        <v>1061</v>
      </c>
      <c r="D251" s="68">
        <f>IF(G239&gt;1,"",IF(D244&lt;(PI()/2),PI()-D244,D244))</f>
        <v>2.5167764779156143</v>
      </c>
      <c r="E251" s="5" t="s">
        <v>599</v>
      </c>
      <c r="F251" s="68">
        <f>IF(D251="","",DEGREES(D251))</f>
        <v>144.20067016236493</v>
      </c>
      <c r="G251" s="5" t="s">
        <v>1233</v>
      </c>
      <c r="H251" s="5"/>
      <c r="I251" s="5"/>
      <c r="J251" s="5"/>
      <c r="K251" s="5"/>
      <c r="L251" s="6"/>
    </row>
    <row r="252" spans="1:12" ht="12.75">
      <c r="A252" s="4"/>
      <c r="B252" s="5"/>
      <c r="C252" s="5"/>
      <c r="D252" s="5"/>
      <c r="E252" s="5"/>
      <c r="F252" s="5"/>
      <c r="G252" s="5"/>
      <c r="H252" s="5"/>
      <c r="I252" s="5"/>
      <c r="J252" s="5"/>
      <c r="K252" s="5"/>
      <c r="L252" s="6"/>
    </row>
    <row r="253" spans="1:12" ht="12.75">
      <c r="A253" s="4"/>
      <c r="B253" s="5"/>
      <c r="C253" s="5"/>
      <c r="D253" s="5"/>
      <c r="E253" s="5"/>
      <c r="F253" s="5"/>
      <c r="G253" s="5"/>
      <c r="H253" s="5"/>
      <c r="I253" s="5"/>
      <c r="J253" s="5"/>
      <c r="K253" s="5"/>
      <c r="L253" s="6"/>
    </row>
    <row r="254" spans="1:12" ht="12.75">
      <c r="A254" s="4" t="s">
        <v>600</v>
      </c>
      <c r="B254" s="5" t="s">
        <v>1599</v>
      </c>
      <c r="C254" s="5"/>
      <c r="D254" s="5"/>
      <c r="E254" s="5"/>
      <c r="F254" s="5"/>
      <c r="G254" s="5"/>
      <c r="H254" s="5"/>
      <c r="I254" s="5"/>
      <c r="J254" s="5"/>
      <c r="K254" s="5"/>
      <c r="L254" s="6"/>
    </row>
    <row r="255" spans="1:12" ht="12.75">
      <c r="A255" s="4"/>
      <c r="B255" s="5"/>
      <c r="C255" s="5"/>
      <c r="D255" s="5"/>
      <c r="E255" s="5"/>
      <c r="F255" s="5"/>
      <c r="G255" s="5"/>
      <c r="H255" s="5"/>
      <c r="I255" s="5"/>
      <c r="J255" s="5"/>
      <c r="K255" s="5"/>
      <c r="L255" s="6"/>
    </row>
    <row r="256" spans="1:12" ht="12.75">
      <c r="A256" s="4"/>
      <c r="B256" s="5"/>
      <c r="C256" s="5" t="s">
        <v>762</v>
      </c>
      <c r="D256" s="5"/>
      <c r="E256" s="5"/>
      <c r="F256" s="5"/>
      <c r="G256" s="5"/>
      <c r="H256" s="5"/>
      <c r="I256" s="5"/>
      <c r="J256" s="5"/>
      <c r="K256" s="5"/>
      <c r="L256" s="6"/>
    </row>
    <row r="257" spans="1:12" ht="13.5" thickBot="1">
      <c r="A257" s="4"/>
      <c r="B257" s="5"/>
      <c r="C257" s="5"/>
      <c r="D257" s="5"/>
      <c r="E257" s="5"/>
      <c r="F257" s="5"/>
      <c r="G257" s="5"/>
      <c r="H257" s="5"/>
      <c r="I257" s="88" t="s">
        <v>1779</v>
      </c>
      <c r="J257" s="115"/>
      <c r="K257" s="115"/>
      <c r="L257" s="192"/>
    </row>
    <row r="258" spans="1:12" ht="13.5" thickBot="1">
      <c r="A258" s="4"/>
      <c r="B258" s="22" t="s">
        <v>1781</v>
      </c>
      <c r="C258" s="5"/>
      <c r="D258" s="68">
        <f>IF(G239&gt;1,"",PI()-D232-D251)</f>
        <v>0.03169917709763981</v>
      </c>
      <c r="E258" s="5" t="s">
        <v>599</v>
      </c>
      <c r="F258" s="68">
        <f>IF(G239&gt;1,"",DEGREES(D258))</f>
        <v>1.8162290617325192</v>
      </c>
      <c r="G258" s="5" t="s">
        <v>1233</v>
      </c>
      <c r="H258" s="5"/>
      <c r="I258" s="86" t="str">
        <f>IF(G239&gt;1,"None",IF(F258&lt;0,"Remaining Angle Less then Zero","None"))</f>
        <v>None</v>
      </c>
      <c r="J258" s="116"/>
      <c r="K258" s="116"/>
      <c r="L258" s="87"/>
    </row>
    <row r="259" spans="1:12" ht="12.75">
      <c r="A259" s="4"/>
      <c r="B259" s="5"/>
      <c r="C259" s="5"/>
      <c r="D259" s="5"/>
      <c r="E259" s="5"/>
      <c r="F259" s="5"/>
      <c r="G259" s="5"/>
      <c r="H259" s="5"/>
      <c r="I259" s="5"/>
      <c r="J259" s="5"/>
      <c r="K259" s="5"/>
      <c r="L259" s="6"/>
    </row>
    <row r="260" spans="1:12" ht="12.75">
      <c r="A260" s="4"/>
      <c r="B260" s="5"/>
      <c r="C260" s="5"/>
      <c r="D260" s="5"/>
      <c r="E260" s="5"/>
      <c r="F260" s="5"/>
      <c r="G260" s="5"/>
      <c r="H260" s="5"/>
      <c r="I260" s="5"/>
      <c r="J260" s="5"/>
      <c r="K260" s="5"/>
      <c r="L260" s="6"/>
    </row>
    <row r="261" spans="1:12" ht="12.75">
      <c r="A261" s="4" t="s">
        <v>1782</v>
      </c>
      <c r="B261" s="5" t="s">
        <v>516</v>
      </c>
      <c r="C261" s="5"/>
      <c r="D261" s="5"/>
      <c r="E261" s="5"/>
      <c r="F261" s="5"/>
      <c r="G261" s="5"/>
      <c r="H261" s="5"/>
      <c r="I261" s="5"/>
      <c r="J261" s="5"/>
      <c r="K261" s="5"/>
      <c r="L261" s="6"/>
    </row>
    <row r="262" spans="1:12" ht="13.5" thickBot="1">
      <c r="A262" s="4"/>
      <c r="B262" s="5"/>
      <c r="C262" s="5"/>
      <c r="D262" s="5"/>
      <c r="E262" s="5"/>
      <c r="F262" s="5"/>
      <c r="G262" s="5"/>
      <c r="H262" s="5"/>
      <c r="I262" s="88" t="s">
        <v>517</v>
      </c>
      <c r="J262" s="115"/>
      <c r="K262" s="115"/>
      <c r="L262" s="192"/>
    </row>
    <row r="263" spans="1:12" ht="13.5" thickBot="1">
      <c r="A263" s="4"/>
      <c r="B263" s="5"/>
      <c r="C263" s="22" t="s">
        <v>772</v>
      </c>
      <c r="D263" s="5"/>
      <c r="E263" s="5"/>
      <c r="F263" s="189">
        <f>IF(G239&gt;1,"",SQRT($H$204^2+$I$89^2-(2*$H$204*$I$89*COS(D258))))</f>
        <v>361214.9250959574</v>
      </c>
      <c r="G263" s="5" t="s">
        <v>167</v>
      </c>
      <c r="H263" s="5"/>
      <c r="I263" s="86" t="str">
        <f>IF(G239&gt;1,"None",IF(($H$204^2+$I$89^2-(2*$H$204*$I$89*COS(D258)))&lt;0,"Taking Square Root of Negative Number","None"))</f>
        <v>None</v>
      </c>
      <c r="J263" s="116"/>
      <c r="K263" s="116"/>
      <c r="L263" s="87"/>
    </row>
    <row r="264" spans="1:12" ht="12.75">
      <c r="A264" s="4"/>
      <c r="B264" s="5"/>
      <c r="C264" s="5"/>
      <c r="D264" s="5"/>
      <c r="E264" s="5"/>
      <c r="F264" s="5"/>
      <c r="G264" s="5"/>
      <c r="H264" s="5"/>
      <c r="I264" s="5"/>
      <c r="J264" s="5"/>
      <c r="K264" s="5"/>
      <c r="L264" s="6"/>
    </row>
    <row r="265" spans="1:12" ht="12.75">
      <c r="A265" s="4" t="s">
        <v>773</v>
      </c>
      <c r="B265" s="5" t="s">
        <v>1520</v>
      </c>
      <c r="C265" s="5"/>
      <c r="D265" s="5"/>
      <c r="E265" s="5"/>
      <c r="F265" s="5"/>
      <c r="G265" s="5"/>
      <c r="H265" s="5"/>
      <c r="I265" s="5"/>
      <c r="J265" s="5"/>
      <c r="K265" s="5"/>
      <c r="L265" s="6"/>
    </row>
    <row r="266" spans="1:12" ht="12.75">
      <c r="A266" s="4"/>
      <c r="B266" s="5"/>
      <c r="C266" s="5"/>
      <c r="D266" s="5"/>
      <c r="E266" s="5"/>
      <c r="F266" s="5"/>
      <c r="G266" s="5"/>
      <c r="H266" s="5"/>
      <c r="I266" s="5"/>
      <c r="J266" s="5"/>
      <c r="K266" s="5"/>
      <c r="L266" s="6"/>
    </row>
    <row r="267" spans="1:12" ht="12.75">
      <c r="A267" s="4"/>
      <c r="B267" s="5"/>
      <c r="C267" s="5" t="s">
        <v>1521</v>
      </c>
      <c r="D267" s="5" t="s">
        <v>1432</v>
      </c>
      <c r="E267" s="5"/>
      <c r="F267" s="5"/>
      <c r="G267" s="5"/>
      <c r="H267" s="5"/>
      <c r="I267" s="189">
        <f>IF(G239&gt;1,"",$F$263*J219)</f>
        <v>195436.13842839544</v>
      </c>
      <c r="J267" s="5" t="s">
        <v>167</v>
      </c>
      <c r="K267" s="5"/>
      <c r="L267" s="6"/>
    </row>
    <row r="268" spans="1:12" ht="12.75">
      <c r="A268" s="4"/>
      <c r="B268" s="5"/>
      <c r="C268" s="5" t="s">
        <v>1433</v>
      </c>
      <c r="D268" s="5" t="s">
        <v>1434</v>
      </c>
      <c r="E268" s="5"/>
      <c r="F268" s="5"/>
      <c r="G268" s="5"/>
      <c r="H268" s="5"/>
      <c r="I268" s="189">
        <f>IF(G239&gt;1,"",$F$263*J220)</f>
        <v>-50680.59989202483</v>
      </c>
      <c r="J268" s="5" t="s">
        <v>167</v>
      </c>
      <c r="K268" s="5"/>
      <c r="L268" s="6"/>
    </row>
    <row r="269" spans="1:12" ht="12.75">
      <c r="A269" s="4"/>
      <c r="B269" s="5"/>
      <c r="C269" s="5" t="s">
        <v>1435</v>
      </c>
      <c r="D269" s="5" t="s">
        <v>284</v>
      </c>
      <c r="E269" s="5"/>
      <c r="F269" s="5"/>
      <c r="G269" s="5"/>
      <c r="H269" s="5"/>
      <c r="I269" s="189">
        <f>IF(G239&gt;1,"",$F$263*J221)</f>
        <v>-299520.30766353675</v>
      </c>
      <c r="J269" s="5" t="s">
        <v>167</v>
      </c>
      <c r="K269" s="5">
        <f>SQRT((I267-$I$200)^2+(I268-$I$201)^2+(I269-$I$202)^2)</f>
        <v>6370332.740665474</v>
      </c>
      <c r="L269" s="487">
        <f>K269-SPH_REC!$F$196</f>
        <v>-8.381903171539307E-09</v>
      </c>
    </row>
    <row r="270" spans="1:12" ht="12.75">
      <c r="A270" s="4"/>
      <c r="B270" s="5"/>
      <c r="C270" s="5"/>
      <c r="D270" s="5"/>
      <c r="E270" s="5"/>
      <c r="F270" s="5"/>
      <c r="G270" s="5"/>
      <c r="H270" s="5"/>
      <c r="I270" s="5"/>
      <c r="J270" s="5"/>
      <c r="K270" s="5"/>
      <c r="L270" s="6"/>
    </row>
    <row r="271" spans="1:12" ht="13.5" thickBot="1">
      <c r="A271" s="7"/>
      <c r="B271" s="8"/>
      <c r="C271" s="8"/>
      <c r="D271" s="8"/>
      <c r="E271" s="8"/>
      <c r="F271" s="8"/>
      <c r="G271" s="8"/>
      <c r="H271" s="8"/>
      <c r="I271" s="8"/>
      <c r="J271" s="8"/>
      <c r="K271" s="8"/>
      <c r="L271" s="9"/>
    </row>
    <row r="272" ht="13.5" thickBot="1"/>
    <row r="273" spans="1:12" ht="12.75">
      <c r="A273" s="1"/>
      <c r="B273" s="2"/>
      <c r="C273" s="2"/>
      <c r="D273" s="2"/>
      <c r="E273" s="2"/>
      <c r="F273" s="2"/>
      <c r="G273" s="2"/>
      <c r="H273" s="2"/>
      <c r="I273" s="2"/>
      <c r="J273" s="2"/>
      <c r="K273" s="2"/>
      <c r="L273" s="3"/>
    </row>
    <row r="274" spans="1:12" ht="12.75">
      <c r="A274" s="10" t="s">
        <v>285</v>
      </c>
      <c r="B274" s="5"/>
      <c r="C274" s="5"/>
      <c r="D274" s="5"/>
      <c r="E274" s="5"/>
      <c r="F274" s="5"/>
      <c r="G274" s="5"/>
      <c r="H274" s="5"/>
      <c r="I274" s="5"/>
      <c r="J274" s="5"/>
      <c r="K274" s="5"/>
      <c r="L274" s="6"/>
    </row>
    <row r="275" spans="1:12" ht="12.75">
      <c r="A275" s="4"/>
      <c r="B275" s="5"/>
      <c r="C275" s="5"/>
      <c r="D275" s="5"/>
      <c r="E275" s="5"/>
      <c r="F275" s="5"/>
      <c r="G275" s="5"/>
      <c r="H275" s="5"/>
      <c r="I275" s="5"/>
      <c r="J275" s="5"/>
      <c r="K275" s="5"/>
      <c r="L275" s="6"/>
    </row>
    <row r="276" spans="1:12" ht="12.75">
      <c r="A276" s="4" t="s">
        <v>1194</v>
      </c>
      <c r="B276" s="5" t="s">
        <v>317</v>
      </c>
      <c r="C276" s="5"/>
      <c r="D276" s="5"/>
      <c r="E276" s="5"/>
      <c r="F276" s="5"/>
      <c r="G276" s="5"/>
      <c r="H276" s="5"/>
      <c r="I276" s="5"/>
      <c r="J276" s="5"/>
      <c r="K276" s="5"/>
      <c r="L276" s="6"/>
    </row>
    <row r="277" spans="1:12" ht="12.75">
      <c r="A277" s="4"/>
      <c r="B277" s="5"/>
      <c r="C277" s="5"/>
      <c r="D277" s="5"/>
      <c r="E277" s="5"/>
      <c r="F277" s="5"/>
      <c r="G277" s="5"/>
      <c r="H277" s="5"/>
      <c r="I277" s="5"/>
      <c r="J277" s="5"/>
      <c r="K277" s="5"/>
      <c r="L277" s="6"/>
    </row>
    <row r="278" spans="1:12" ht="12.75">
      <c r="A278" s="4"/>
      <c r="B278" s="22" t="s">
        <v>231</v>
      </c>
      <c r="C278" s="5" t="str">
        <f>Photo_Setup!J173</f>
        <v>i_SX_p2 = </v>
      </c>
      <c r="D278" s="187">
        <f>Photo_Setup!K173</f>
        <v>-0.37061528057309695</v>
      </c>
      <c r="E278" s="190" t="s">
        <v>232</v>
      </c>
      <c r="F278" s="148"/>
      <c r="G278" s="26" t="s">
        <v>645</v>
      </c>
      <c r="H278" s="5" t="s">
        <v>234</v>
      </c>
      <c r="I278" s="5" t="str">
        <f>C278</f>
        <v>i_SX_p2 = </v>
      </c>
      <c r="J278" s="187">
        <f>-D278</f>
        <v>0.37061528057309695</v>
      </c>
      <c r="K278" s="5"/>
      <c r="L278" s="6"/>
    </row>
    <row r="279" spans="1:12" ht="12.75">
      <c r="A279" s="4"/>
      <c r="B279" s="5"/>
      <c r="C279" s="5" t="str">
        <f>Photo_Setup!J174</f>
        <v>j_SY_p2 = </v>
      </c>
      <c r="D279" s="187">
        <f>Photo_Setup!K174</f>
        <v>0.21741493705842305</v>
      </c>
      <c r="E279" s="5"/>
      <c r="F279" s="5"/>
      <c r="G279" s="26" t="s">
        <v>1114</v>
      </c>
      <c r="H279" s="5" t="s">
        <v>234</v>
      </c>
      <c r="I279" s="5" t="str">
        <f>C279</f>
        <v>j_SY_p2 = </v>
      </c>
      <c r="J279" s="187">
        <f>-D279</f>
        <v>-0.21741493705842305</v>
      </c>
      <c r="K279" s="5"/>
      <c r="L279" s="6"/>
    </row>
    <row r="280" spans="1:12" ht="12.75">
      <c r="A280" s="4"/>
      <c r="B280" s="5"/>
      <c r="C280" s="5" t="str">
        <f>Photo_Setup!J175</f>
        <v>k_SZ_p2 = </v>
      </c>
      <c r="D280" s="187">
        <f>Photo_Setup!K175</f>
        <v>0.902981206310301</v>
      </c>
      <c r="E280" s="5"/>
      <c r="F280" s="5"/>
      <c r="G280" s="26" t="s">
        <v>1101</v>
      </c>
      <c r="H280" s="5" t="s">
        <v>234</v>
      </c>
      <c r="I280" s="5" t="str">
        <f>C280</f>
        <v>k_SZ_p2 = </v>
      </c>
      <c r="J280" s="187">
        <f>-D280</f>
        <v>-0.902981206310301</v>
      </c>
      <c r="K280" s="5"/>
      <c r="L280" s="6"/>
    </row>
    <row r="281" spans="1:12" ht="12.75">
      <c r="A281" s="4"/>
      <c r="B281" s="5"/>
      <c r="C281" s="5"/>
      <c r="D281" s="5"/>
      <c r="E281" s="5"/>
      <c r="F281" s="5"/>
      <c r="G281" s="5"/>
      <c r="H281" s="5"/>
      <c r="I281" s="5"/>
      <c r="J281" s="5"/>
      <c r="K281" s="5"/>
      <c r="L281" s="6"/>
    </row>
    <row r="282" spans="1:12" ht="12.75">
      <c r="A282" s="4" t="s">
        <v>237</v>
      </c>
      <c r="B282" s="5" t="s">
        <v>238</v>
      </c>
      <c r="C282" s="5"/>
      <c r="D282" s="5"/>
      <c r="E282" s="5"/>
      <c r="F282" s="5"/>
      <c r="G282" s="5"/>
      <c r="H282" s="5"/>
      <c r="I282" s="5"/>
      <c r="J282" s="5"/>
      <c r="K282" s="5"/>
      <c r="L282" s="6"/>
    </row>
    <row r="283" spans="1:12" ht="12.75">
      <c r="A283" s="4"/>
      <c r="B283" s="5"/>
      <c r="C283" s="70"/>
      <c r="D283" s="46"/>
      <c r="E283" s="70" t="s">
        <v>127</v>
      </c>
      <c r="F283" s="72">
        <f>$I$207*J278+$I$208*J279+$I$209*J280</f>
        <v>0.902981206310301</v>
      </c>
      <c r="G283" s="52"/>
      <c r="H283" s="5"/>
      <c r="I283" s="5"/>
      <c r="J283" s="5"/>
      <c r="K283" s="5"/>
      <c r="L283" s="6"/>
    </row>
    <row r="284" spans="1:12" ht="12.75">
      <c r="A284" s="4"/>
      <c r="B284" s="5"/>
      <c r="C284" s="46"/>
      <c r="D284" s="46"/>
      <c r="E284" s="70" t="s">
        <v>128</v>
      </c>
      <c r="F284" s="72">
        <f>$I$211</f>
        <v>1</v>
      </c>
      <c r="G284" s="52"/>
      <c r="H284" s="5"/>
      <c r="I284" s="5"/>
      <c r="J284" s="5"/>
      <c r="K284" s="5"/>
      <c r="L284" s="6"/>
    </row>
    <row r="285" spans="1:12" ht="12.75">
      <c r="A285" s="4"/>
      <c r="B285" s="5"/>
      <c r="C285" s="46"/>
      <c r="D285" s="46"/>
      <c r="E285" s="70" t="s">
        <v>129</v>
      </c>
      <c r="F285" s="72">
        <f>SQRT(J278^2+J279^2+J280^2)</f>
        <v>0.9999999999999999</v>
      </c>
      <c r="G285" s="52"/>
      <c r="H285" s="5"/>
      <c r="I285" s="5"/>
      <c r="J285" s="5"/>
      <c r="K285" s="5"/>
      <c r="L285" s="6"/>
    </row>
    <row r="286" spans="1:12" ht="12.75">
      <c r="A286" s="4"/>
      <c r="B286" s="5"/>
      <c r="C286" s="85" t="s">
        <v>866</v>
      </c>
      <c r="D286" s="5"/>
      <c r="E286" s="70"/>
      <c r="F286" s="72">
        <f>F283/(F284*F285)</f>
        <v>0.9029812063103011</v>
      </c>
      <c r="G286" s="5"/>
      <c r="H286" s="5"/>
      <c r="I286" s="5"/>
      <c r="J286" s="5"/>
      <c r="K286" s="5"/>
      <c r="L286" s="6"/>
    </row>
    <row r="287" spans="1:12" ht="13.5" thickBot="1">
      <c r="A287" s="4"/>
      <c r="B287" s="5"/>
      <c r="C287" s="46"/>
      <c r="D287" s="46"/>
      <c r="E287" s="46"/>
      <c r="F287" s="26"/>
      <c r="G287" s="52"/>
      <c r="H287" s="5"/>
      <c r="I287" s="88" t="s">
        <v>286</v>
      </c>
      <c r="J287" s="115"/>
      <c r="K287" s="115"/>
      <c r="L287" s="192"/>
    </row>
    <row r="288" spans="1:12" ht="16.5" thickBot="1">
      <c r="A288" s="4"/>
      <c r="B288" s="5"/>
      <c r="C288" s="16" t="s">
        <v>239</v>
      </c>
      <c r="D288" s="72">
        <f>IF((F284*F285)=0,0,ACOS(F286))</f>
        <v>0.44413841517654773</v>
      </c>
      <c r="E288" s="52" t="s">
        <v>1483</v>
      </c>
      <c r="F288" s="73">
        <f>DEGREES(D288)</f>
        <v>25.447256709245295</v>
      </c>
      <c r="G288" s="46" t="s">
        <v>1233</v>
      </c>
      <c r="H288" s="5"/>
      <c r="I288" s="86" t="str">
        <f>IF((F284*F285)&lt;&gt;1,"Vector A or B Not a Unit Vector","None")</f>
        <v>None</v>
      </c>
      <c r="J288" s="116"/>
      <c r="K288" s="116"/>
      <c r="L288" s="87"/>
    </row>
    <row r="289" spans="1:12" ht="12.75">
      <c r="A289" s="4"/>
      <c r="B289" s="5"/>
      <c r="C289" s="5"/>
      <c r="D289" s="5"/>
      <c r="E289" s="5"/>
      <c r="F289" s="5"/>
      <c r="G289" s="5"/>
      <c r="H289" s="5"/>
      <c r="I289" s="5"/>
      <c r="J289" s="5"/>
      <c r="K289" s="5"/>
      <c r="L289" s="6"/>
    </row>
    <row r="290" spans="1:12" ht="12.75">
      <c r="A290" s="4" t="s">
        <v>534</v>
      </c>
      <c r="B290" s="5" t="s">
        <v>1197</v>
      </c>
      <c r="C290" s="5"/>
      <c r="D290" s="5"/>
      <c r="E290" s="5"/>
      <c r="F290" s="5"/>
      <c r="G290" s="5"/>
      <c r="H290" s="5"/>
      <c r="I290" s="5"/>
      <c r="J290" s="5"/>
      <c r="K290" s="5"/>
      <c r="L290" s="6"/>
    </row>
    <row r="291" spans="1:12" ht="12.75">
      <c r="A291" s="4"/>
      <c r="B291" s="5"/>
      <c r="C291" s="5"/>
      <c r="D291" s="5"/>
      <c r="E291" s="5"/>
      <c r="F291" s="5"/>
      <c r="G291" s="5"/>
      <c r="H291" s="5"/>
      <c r="I291" s="5"/>
      <c r="J291" s="5"/>
      <c r="K291" s="5"/>
      <c r="L291" s="6"/>
    </row>
    <row r="292" spans="1:12" ht="12.75">
      <c r="A292" s="4"/>
      <c r="B292" s="5"/>
      <c r="C292" s="52" t="s">
        <v>1508</v>
      </c>
      <c r="E292" s="5"/>
      <c r="G292" s="68">
        <f>SIN(D288)*$H$204/$I$89</f>
        <v>0.4496668802182294</v>
      </c>
      <c r="I292" s="5"/>
      <c r="J292" s="5"/>
      <c r="K292" s="5"/>
      <c r="L292" s="6"/>
    </row>
    <row r="293" spans="1:12" ht="13.5" thickBot="1">
      <c r="A293" s="4"/>
      <c r="B293" s="5"/>
      <c r="C293" s="5"/>
      <c r="D293" s="5"/>
      <c r="E293" s="5"/>
      <c r="G293" s="5"/>
      <c r="H293" s="5"/>
      <c r="I293" s="241" t="s">
        <v>250</v>
      </c>
      <c r="J293" s="242"/>
      <c r="K293" s="242"/>
      <c r="L293" s="243"/>
    </row>
    <row r="294" spans="1:12" ht="13.5" thickBot="1">
      <c r="A294" s="4"/>
      <c r="B294" s="5"/>
      <c r="C294" s="147" t="s">
        <v>1198</v>
      </c>
      <c r="D294" s="68">
        <f>IF(G292&lt;=1,ASIN(G292),"")</f>
        <v>0.46639235154794717</v>
      </c>
      <c r="E294" s="52" t="s">
        <v>1483</v>
      </c>
      <c r="F294" s="68">
        <f>IF(D294="","",DEGREES(D294))</f>
        <v>26.72231334087916</v>
      </c>
      <c r="G294" s="5" t="s">
        <v>1233</v>
      </c>
      <c r="H294" s="5"/>
      <c r="I294" s="244" t="str">
        <f>IF(G292&lt;=1,"None","Asin(Zeta)&gt;1 - Vector Does not Intersect Earth")</f>
        <v>None</v>
      </c>
      <c r="J294" s="245"/>
      <c r="K294" s="245"/>
      <c r="L294" s="246"/>
    </row>
    <row r="295" spans="1:12" ht="12.75">
      <c r="A295" s="4"/>
      <c r="B295" s="5"/>
      <c r="C295" s="5"/>
      <c r="D295" s="5"/>
      <c r="E295" s="5"/>
      <c r="F295" s="5"/>
      <c r="G295" s="5"/>
      <c r="H295" s="5"/>
      <c r="I295" s="5"/>
      <c r="J295" s="5"/>
      <c r="K295" s="5"/>
      <c r="L295" s="6"/>
    </row>
    <row r="296" spans="1:12" ht="12.75">
      <c r="A296" s="4"/>
      <c r="B296" s="5"/>
      <c r="C296" s="5"/>
      <c r="D296" s="5" t="s">
        <v>1384</v>
      </c>
      <c r="E296" s="5"/>
      <c r="F296" s="5"/>
      <c r="G296" s="5"/>
      <c r="H296" s="5"/>
      <c r="I296" s="5"/>
      <c r="J296" s="5"/>
      <c r="K296" s="5"/>
      <c r="L296" s="6"/>
    </row>
    <row r="297" spans="1:12" ht="12.75">
      <c r="A297" s="4"/>
      <c r="B297" s="5"/>
      <c r="C297" s="5"/>
      <c r="D297" s="5" t="s">
        <v>1060</v>
      </c>
      <c r="E297" s="5"/>
      <c r="F297" s="5"/>
      <c r="G297" s="5"/>
      <c r="H297" s="5"/>
      <c r="I297" s="5"/>
      <c r="J297" s="5"/>
      <c r="K297" s="5"/>
      <c r="L297" s="6"/>
    </row>
    <row r="298" spans="1:12" ht="12.75">
      <c r="A298" s="4"/>
      <c r="B298" s="5"/>
      <c r="C298" s="5"/>
      <c r="D298" s="5"/>
      <c r="E298" s="5"/>
      <c r="F298" s="5"/>
      <c r="G298" s="5"/>
      <c r="H298" s="5"/>
      <c r="I298" s="5"/>
      <c r="J298" s="5"/>
      <c r="K298" s="5"/>
      <c r="L298" s="6"/>
    </row>
    <row r="299" spans="1:12" ht="12.75">
      <c r="A299" s="4"/>
      <c r="B299" s="5"/>
      <c r="C299" s="22" t="s">
        <v>1061</v>
      </c>
      <c r="D299" s="68">
        <f>IF(G292&gt;1,"",IF(D294&lt;(PI()/2),PI()-D294,D294))</f>
        <v>2.675200302041846</v>
      </c>
      <c r="E299" s="5" t="s">
        <v>599</v>
      </c>
      <c r="F299" s="68">
        <f>IF(D299="","",DEGREES(D299))</f>
        <v>153.27768665912083</v>
      </c>
      <c r="G299" s="5" t="s">
        <v>1233</v>
      </c>
      <c r="H299" s="5"/>
      <c r="I299" s="5"/>
      <c r="J299" s="5"/>
      <c r="K299" s="5"/>
      <c r="L299" s="6"/>
    </row>
    <row r="300" spans="1:12" ht="12.75">
      <c r="A300" s="4"/>
      <c r="B300" s="5"/>
      <c r="C300" s="5"/>
      <c r="D300" s="5"/>
      <c r="E300" s="5"/>
      <c r="F300" s="5"/>
      <c r="G300" s="5"/>
      <c r="H300" s="5"/>
      <c r="I300" s="5"/>
      <c r="J300" s="5"/>
      <c r="K300" s="5"/>
      <c r="L300" s="6"/>
    </row>
    <row r="301" spans="1:12" ht="12.75">
      <c r="A301" s="4" t="s">
        <v>600</v>
      </c>
      <c r="B301" s="5" t="s">
        <v>1599</v>
      </c>
      <c r="C301" s="5"/>
      <c r="D301" s="5"/>
      <c r="E301" s="5"/>
      <c r="F301" s="5"/>
      <c r="G301" s="5"/>
      <c r="H301" s="5"/>
      <c r="I301" s="5"/>
      <c r="J301" s="5"/>
      <c r="K301" s="5"/>
      <c r="L301" s="6"/>
    </row>
    <row r="302" spans="1:12" ht="13.5" thickBot="1">
      <c r="A302" s="4"/>
      <c r="B302" s="5"/>
      <c r="C302" s="5"/>
      <c r="D302" s="5"/>
      <c r="E302" s="5"/>
      <c r="F302" s="5"/>
      <c r="G302" s="5"/>
      <c r="H302" s="5"/>
      <c r="I302" s="88" t="s">
        <v>287</v>
      </c>
      <c r="J302" s="115"/>
      <c r="K302" s="115"/>
      <c r="L302" s="192"/>
    </row>
    <row r="303" spans="1:12" ht="13.5" thickBot="1">
      <c r="A303" s="4"/>
      <c r="B303" s="22" t="s">
        <v>1781</v>
      </c>
      <c r="C303" s="5"/>
      <c r="D303" s="68">
        <f>IF(G292&gt;1,"",PI()-D288-D299)</f>
        <v>0.022253936371399163</v>
      </c>
      <c r="E303" s="5" t="s">
        <v>599</v>
      </c>
      <c r="F303" s="68">
        <f>IF(D303="","",DEGREES(D303))</f>
        <v>1.2750566316338499</v>
      </c>
      <c r="G303" s="5" t="s">
        <v>1233</v>
      </c>
      <c r="H303" s="5"/>
      <c r="I303" s="86" t="str">
        <f>IF(G292&gt;1,"None",IF(F303&lt;0,"Remaining Angle Less then Zero","None"))</f>
        <v>None</v>
      </c>
      <c r="J303" s="116"/>
      <c r="K303" s="116"/>
      <c r="L303" s="87"/>
    </row>
    <row r="304" spans="1:12" ht="12.75">
      <c r="A304" s="4"/>
      <c r="B304" s="5"/>
      <c r="C304" s="5"/>
      <c r="D304" s="5"/>
      <c r="E304" s="5"/>
      <c r="F304" s="5"/>
      <c r="G304" s="5"/>
      <c r="H304" s="5"/>
      <c r="I304" s="5"/>
      <c r="J304" s="5"/>
      <c r="K304" s="5"/>
      <c r="L304" s="6"/>
    </row>
    <row r="305" spans="1:12" ht="12.75">
      <c r="A305" s="4" t="s">
        <v>1782</v>
      </c>
      <c r="B305" s="5" t="s">
        <v>516</v>
      </c>
      <c r="C305" s="5"/>
      <c r="D305" s="5"/>
      <c r="E305" s="5"/>
      <c r="F305" s="5"/>
      <c r="G305" s="5"/>
      <c r="H305" s="5"/>
      <c r="I305" s="5"/>
      <c r="J305" s="5"/>
      <c r="K305" s="5"/>
      <c r="L305" s="6"/>
    </row>
    <row r="306" spans="1:12" ht="13.5" thickBot="1">
      <c r="A306" s="4"/>
      <c r="B306" s="5"/>
      <c r="C306" s="5"/>
      <c r="D306" s="5"/>
      <c r="E306" s="5"/>
      <c r="F306" s="5"/>
      <c r="G306" s="5"/>
      <c r="H306" s="5"/>
      <c r="I306" s="88" t="s">
        <v>1448</v>
      </c>
      <c r="J306" s="115"/>
      <c r="K306" s="115"/>
      <c r="L306" s="192"/>
    </row>
    <row r="307" spans="1:12" ht="13.5" thickBot="1">
      <c r="A307" s="4"/>
      <c r="B307" s="5"/>
      <c r="C307" s="22" t="s">
        <v>772</v>
      </c>
      <c r="D307" s="5"/>
      <c r="E307" s="5"/>
      <c r="F307" s="189">
        <f>IF(G292&gt;1,"",SQRT($H$204^2+$I$89^2-(2*$H$204*$I$89*COS(D303))))</f>
        <v>329904.2629416336</v>
      </c>
      <c r="G307" s="5" t="s">
        <v>167</v>
      </c>
      <c r="H307" s="5"/>
      <c r="I307" s="86" t="str">
        <f>IF(G292&gt;1,"None",IF(($H$204^2+$I$89^2-(2*$H$204*$I$89*COS(D302)))&lt;0,"Taking Square Root of Negative Number","None"))</f>
        <v>None</v>
      </c>
      <c r="J307" s="116"/>
      <c r="K307" s="116"/>
      <c r="L307" s="87"/>
    </row>
    <row r="308" spans="1:12" ht="12.75">
      <c r="A308" s="4"/>
      <c r="B308" s="5"/>
      <c r="C308" s="5"/>
      <c r="D308" s="5"/>
      <c r="E308" s="5"/>
      <c r="F308" s="5"/>
      <c r="G308" s="5"/>
      <c r="H308" s="5"/>
      <c r="I308" s="5"/>
      <c r="J308" s="5"/>
      <c r="K308" s="5"/>
      <c r="L308" s="6"/>
    </row>
    <row r="309" spans="1:12" ht="12.75">
      <c r="A309" s="4" t="s">
        <v>773</v>
      </c>
      <c r="B309" s="5" t="s">
        <v>1520</v>
      </c>
      <c r="C309" s="5"/>
      <c r="D309" s="5"/>
      <c r="E309" s="5"/>
      <c r="F309" s="5"/>
      <c r="G309" s="5"/>
      <c r="H309" s="5"/>
      <c r="I309" s="5"/>
      <c r="J309" s="5"/>
      <c r="K309" s="5"/>
      <c r="L309" s="6"/>
    </row>
    <row r="310" spans="1:12" ht="12.75">
      <c r="A310" s="4"/>
      <c r="B310" s="5"/>
      <c r="C310" s="5"/>
      <c r="D310" s="5"/>
      <c r="E310" s="5"/>
      <c r="F310" s="5"/>
      <c r="G310" s="5"/>
      <c r="H310" s="5"/>
      <c r="I310" s="5"/>
      <c r="J310" s="5"/>
      <c r="K310" s="5"/>
      <c r="L310" s="6"/>
    </row>
    <row r="311" spans="1:12" ht="12.75">
      <c r="A311" s="4"/>
      <c r="B311" s="5"/>
      <c r="C311" s="5" t="s">
        <v>1449</v>
      </c>
      <c r="D311" s="5" t="s">
        <v>1432</v>
      </c>
      <c r="E311" s="5"/>
      <c r="F311" s="5"/>
      <c r="G311" s="5"/>
      <c r="H311" s="5"/>
      <c r="I311" s="189">
        <f>IF(G292&gt;1,"",F307*J278)</f>
        <v>122267.56097237428</v>
      </c>
      <c r="J311" s="5" t="s">
        <v>167</v>
      </c>
      <c r="K311" s="5"/>
      <c r="L311" s="6"/>
    </row>
    <row r="312" spans="1:12" ht="12.75">
      <c r="A312" s="4"/>
      <c r="B312" s="5"/>
      <c r="C312" s="5" t="s">
        <v>1450</v>
      </c>
      <c r="D312" s="5" t="s">
        <v>1434</v>
      </c>
      <c r="E312" s="5"/>
      <c r="F312" s="5"/>
      <c r="G312" s="5"/>
      <c r="H312" s="5"/>
      <c r="I312" s="189">
        <f>IF(G292&gt;1,"",F307*J279)</f>
        <v>-71726.11456276072</v>
      </c>
      <c r="J312" s="5" t="s">
        <v>167</v>
      </c>
      <c r="K312" s="5"/>
      <c r="L312" s="6"/>
    </row>
    <row r="313" spans="1:12" ht="12.75">
      <c r="A313" s="4"/>
      <c r="B313" s="5"/>
      <c r="C313" s="5" t="s">
        <v>1451</v>
      </c>
      <c r="D313" s="5" t="s">
        <v>284</v>
      </c>
      <c r="E313" s="5"/>
      <c r="F313" s="5"/>
      <c r="G313" s="5"/>
      <c r="H313" s="5"/>
      <c r="I313" s="189">
        <f>IF(G292&gt;1,"",F307*J280)</f>
        <v>-297897.349317947</v>
      </c>
      <c r="J313" s="5" t="s">
        <v>167</v>
      </c>
      <c r="K313" s="5">
        <f>SQRT((I311-$I$200)^2+(I312-$I$201)^2+(I313-$I$202)^2)</f>
        <v>6370332.740665491</v>
      </c>
      <c r="L313" s="487">
        <f>K313-SPH_REC!$F$196</f>
        <v>8.381903171539307E-09</v>
      </c>
    </row>
    <row r="314" spans="1:12" ht="12.75">
      <c r="A314" s="4"/>
      <c r="B314" s="5"/>
      <c r="C314" s="5"/>
      <c r="D314" s="5"/>
      <c r="E314" s="5"/>
      <c r="F314" s="5"/>
      <c r="G314" s="5"/>
      <c r="H314" s="5"/>
      <c r="I314" s="5"/>
      <c r="J314" s="5"/>
      <c r="K314" s="5"/>
      <c r="L314" s="6"/>
    </row>
    <row r="315" spans="1:12" ht="13.5" thickBot="1">
      <c r="A315" s="7"/>
      <c r="B315" s="8"/>
      <c r="C315" s="8"/>
      <c r="D315" s="8"/>
      <c r="E315" s="8"/>
      <c r="F315" s="8"/>
      <c r="G315" s="8"/>
      <c r="H315" s="8"/>
      <c r="I315" s="8"/>
      <c r="J315" s="8"/>
      <c r="K315" s="8"/>
      <c r="L315" s="9"/>
    </row>
    <row r="316" ht="13.5" thickBot="1"/>
    <row r="317" spans="1:12" ht="12.75">
      <c r="A317" s="1"/>
      <c r="B317" s="2"/>
      <c r="C317" s="2"/>
      <c r="D317" s="2"/>
      <c r="E317" s="2"/>
      <c r="F317" s="2"/>
      <c r="G317" s="2"/>
      <c r="H317" s="2"/>
      <c r="I317" s="2"/>
      <c r="J317" s="2"/>
      <c r="K317" s="2"/>
      <c r="L317" s="3"/>
    </row>
    <row r="318" spans="1:12" ht="12.75">
      <c r="A318" s="10" t="s">
        <v>1177</v>
      </c>
      <c r="B318" s="5"/>
      <c r="C318" s="5"/>
      <c r="D318" s="5"/>
      <c r="E318" s="5"/>
      <c r="F318" s="5"/>
      <c r="G318" s="5"/>
      <c r="H318" s="5"/>
      <c r="I318" s="5"/>
      <c r="J318" s="5"/>
      <c r="K318" s="5"/>
      <c r="L318" s="6"/>
    </row>
    <row r="319" spans="1:12" ht="12.75">
      <c r="A319" s="4"/>
      <c r="B319" s="5"/>
      <c r="C319" s="5"/>
      <c r="D319" s="5"/>
      <c r="E319" s="5"/>
      <c r="F319" s="5"/>
      <c r="G319" s="5"/>
      <c r="H319" s="5"/>
      <c r="I319" s="5"/>
      <c r="J319" s="5"/>
      <c r="K319" s="5"/>
      <c r="L319" s="6"/>
    </row>
    <row r="320" spans="1:12" ht="12.75">
      <c r="A320" s="4" t="s">
        <v>1194</v>
      </c>
      <c r="B320" s="5" t="s">
        <v>317</v>
      </c>
      <c r="C320" s="5"/>
      <c r="D320" s="5"/>
      <c r="E320" s="5"/>
      <c r="F320" s="5"/>
      <c r="G320" s="5"/>
      <c r="H320" s="5"/>
      <c r="I320" s="5"/>
      <c r="J320" s="5"/>
      <c r="K320" s="5"/>
      <c r="L320" s="6"/>
    </row>
    <row r="321" spans="1:12" ht="12.75">
      <c r="A321" s="4"/>
      <c r="B321" s="5"/>
      <c r="C321" s="5"/>
      <c r="D321" s="5"/>
      <c r="E321" s="5"/>
      <c r="F321" s="5"/>
      <c r="G321" s="5"/>
      <c r="H321" s="5"/>
      <c r="I321" s="5"/>
      <c r="J321" s="5"/>
      <c r="K321" s="5"/>
      <c r="L321" s="6"/>
    </row>
    <row r="322" spans="1:12" ht="12.75">
      <c r="A322" s="4"/>
      <c r="B322" s="22" t="s">
        <v>231</v>
      </c>
      <c r="C322" s="26" t="s">
        <v>1633</v>
      </c>
      <c r="D322" s="187">
        <f>Photo_Setup!K181</f>
        <v>-0.1851914520427262</v>
      </c>
      <c r="E322" s="190" t="s">
        <v>232</v>
      </c>
      <c r="F322" s="148"/>
      <c r="G322" s="26" t="s">
        <v>1102</v>
      </c>
      <c r="H322" s="5" t="s">
        <v>234</v>
      </c>
      <c r="I322" s="5" t="str">
        <f>C322</f>
        <v>i_SX_p3 = </v>
      </c>
      <c r="J322" s="187">
        <f>-D322</f>
        <v>0.1851914520427262</v>
      </c>
      <c r="K322" s="5"/>
      <c r="L322" s="6"/>
    </row>
    <row r="323" spans="1:12" ht="12.75">
      <c r="A323" s="4"/>
      <c r="B323" s="5"/>
      <c r="C323" s="26" t="s">
        <v>1738</v>
      </c>
      <c r="D323" s="187">
        <f>Photo_Setup!K182</f>
        <v>0.285732140506606</v>
      </c>
      <c r="E323" s="5"/>
      <c r="F323" s="5"/>
      <c r="G323" s="26" t="s">
        <v>1103</v>
      </c>
      <c r="H323" s="5" t="s">
        <v>234</v>
      </c>
      <c r="I323" s="5" t="str">
        <f>C323</f>
        <v>j_SY_p3 = </v>
      </c>
      <c r="J323" s="187">
        <f>-D323</f>
        <v>-0.285732140506606</v>
      </c>
      <c r="K323" s="5"/>
      <c r="L323" s="6"/>
    </row>
    <row r="324" spans="1:12" ht="12.75">
      <c r="A324" s="4"/>
      <c r="B324" s="5"/>
      <c r="C324" s="26" t="s">
        <v>1699</v>
      </c>
      <c r="D324" s="187">
        <f>Photo_Setup!K183</f>
        <v>0.9402453243552025</v>
      </c>
      <c r="E324" s="5"/>
      <c r="F324" s="5"/>
      <c r="G324" s="26" t="s">
        <v>1104</v>
      </c>
      <c r="H324" s="5" t="s">
        <v>234</v>
      </c>
      <c r="I324" s="5" t="str">
        <f>C324</f>
        <v>k_SZ_p3 = </v>
      </c>
      <c r="J324" s="187">
        <f>-D324</f>
        <v>-0.9402453243552025</v>
      </c>
      <c r="K324" s="5"/>
      <c r="L324" s="6"/>
    </row>
    <row r="325" spans="1:12" ht="12.75">
      <c r="A325" s="4"/>
      <c r="B325" s="5"/>
      <c r="C325" s="5"/>
      <c r="D325" s="5"/>
      <c r="E325" s="5"/>
      <c r="F325" s="5"/>
      <c r="G325" s="5"/>
      <c r="H325" s="5"/>
      <c r="I325" s="5"/>
      <c r="J325" s="5"/>
      <c r="K325" s="5"/>
      <c r="L325" s="6"/>
    </row>
    <row r="326" spans="1:12" ht="12.75">
      <c r="A326" s="4" t="s">
        <v>237</v>
      </c>
      <c r="B326" s="5" t="s">
        <v>238</v>
      </c>
      <c r="C326" s="5"/>
      <c r="D326" s="5"/>
      <c r="E326" s="5"/>
      <c r="F326" s="5"/>
      <c r="G326" s="5"/>
      <c r="H326" s="5"/>
      <c r="I326" s="5"/>
      <c r="J326" s="5"/>
      <c r="K326" s="5"/>
      <c r="L326" s="6"/>
    </row>
    <row r="327" spans="1:12" ht="12.75">
      <c r="A327" s="4"/>
      <c r="B327" s="5"/>
      <c r="C327" s="70"/>
      <c r="D327" s="46"/>
      <c r="E327" s="70" t="s">
        <v>127</v>
      </c>
      <c r="F327" s="72">
        <f>$I$207*J322+$I$208*J323+$I$209*J324</f>
        <v>0.9402453243552025</v>
      </c>
      <c r="G327" s="52"/>
      <c r="H327" s="5"/>
      <c r="I327" s="5"/>
      <c r="J327" s="5"/>
      <c r="K327" s="5"/>
      <c r="L327" s="6"/>
    </row>
    <row r="328" spans="1:12" ht="12.75">
      <c r="A328" s="4"/>
      <c r="B328" s="5"/>
      <c r="C328" s="46"/>
      <c r="D328" s="46"/>
      <c r="E328" s="70" t="s">
        <v>128</v>
      </c>
      <c r="F328" s="72">
        <f>$I$211</f>
        <v>1</v>
      </c>
      <c r="G328" s="52"/>
      <c r="H328" s="5"/>
      <c r="I328" s="5"/>
      <c r="J328" s="5"/>
      <c r="K328" s="5"/>
      <c r="L328" s="6"/>
    </row>
    <row r="329" spans="1:12" ht="12.75">
      <c r="A329" s="4"/>
      <c r="B329" s="5"/>
      <c r="C329" s="46"/>
      <c r="D329" s="46"/>
      <c r="E329" s="70" t="s">
        <v>129</v>
      </c>
      <c r="F329" s="72">
        <f>SQRT(J322^2+J323^2+J324^2)</f>
        <v>1</v>
      </c>
      <c r="G329" s="52"/>
      <c r="H329" s="5"/>
      <c r="I329" s="5"/>
      <c r="J329" s="5"/>
      <c r="K329" s="5"/>
      <c r="L329" s="6"/>
    </row>
    <row r="330" spans="1:12" ht="12.75">
      <c r="A330" s="4"/>
      <c r="B330" s="5"/>
      <c r="C330" s="85" t="s">
        <v>866</v>
      </c>
      <c r="D330" s="5"/>
      <c r="E330" s="70"/>
      <c r="F330" s="72">
        <f>F327/(F328*F329)</f>
        <v>0.9402453243552025</v>
      </c>
      <c r="G330" s="5"/>
      <c r="H330" s="5"/>
      <c r="I330" s="5"/>
      <c r="J330" s="5"/>
      <c r="K330" s="5"/>
      <c r="L330" s="6"/>
    </row>
    <row r="331" spans="1:12" ht="13.5" thickBot="1">
      <c r="A331" s="4"/>
      <c r="B331" s="5"/>
      <c r="C331" s="46"/>
      <c r="D331" s="46"/>
      <c r="E331" s="46"/>
      <c r="F331" s="26"/>
      <c r="G331" s="52"/>
      <c r="H331" s="5"/>
      <c r="I331" s="88" t="s">
        <v>1646</v>
      </c>
      <c r="J331" s="115"/>
      <c r="K331" s="115"/>
      <c r="L331" s="192"/>
    </row>
    <row r="332" spans="1:12" ht="16.5" thickBot="1">
      <c r="A332" s="4"/>
      <c r="B332" s="5"/>
      <c r="C332" s="16" t="s">
        <v>239</v>
      </c>
      <c r="D332" s="72">
        <f>IF((F328*F329)=0,0,ACOS(F330))</f>
        <v>0.3474462490981889</v>
      </c>
      <c r="E332" s="52" t="s">
        <v>1483</v>
      </c>
      <c r="F332" s="73">
        <f>DEGREES(D332)</f>
        <v>19.907203680977307</v>
      </c>
      <c r="G332" s="46" t="s">
        <v>1233</v>
      </c>
      <c r="H332" s="5"/>
      <c r="I332" s="86" t="str">
        <f>IF((F328*F329)&lt;&gt;1,"Vector A or B Not a Unit Vector","None")</f>
        <v>None</v>
      </c>
      <c r="J332" s="116"/>
      <c r="K332" s="116"/>
      <c r="L332" s="87"/>
    </row>
    <row r="333" spans="1:12" ht="12.75">
      <c r="A333" s="4"/>
      <c r="B333" s="5"/>
      <c r="C333" s="5"/>
      <c r="D333" s="5"/>
      <c r="E333" s="5"/>
      <c r="F333" s="5"/>
      <c r="G333" s="5"/>
      <c r="H333" s="5"/>
      <c r="I333" s="5"/>
      <c r="J333" s="5"/>
      <c r="K333" s="5"/>
      <c r="L333" s="6"/>
    </row>
    <row r="334" spans="1:12" ht="12.75">
      <c r="A334" s="4" t="s">
        <v>534</v>
      </c>
      <c r="B334" s="5" t="s">
        <v>1197</v>
      </c>
      <c r="C334" s="5"/>
      <c r="D334" s="5"/>
      <c r="E334" s="5"/>
      <c r="F334" s="5"/>
      <c r="G334" s="5"/>
      <c r="H334" s="5"/>
      <c r="I334" s="5"/>
      <c r="J334" s="5"/>
      <c r="K334" s="5"/>
      <c r="L334" s="6"/>
    </row>
    <row r="335" spans="1:12" ht="12.75">
      <c r="A335" s="4"/>
      <c r="B335" s="5"/>
      <c r="C335" s="5"/>
      <c r="D335" s="5"/>
      <c r="E335" s="5"/>
      <c r="F335" s="5"/>
      <c r="G335" s="5"/>
      <c r="H335" s="5"/>
      <c r="I335" s="5"/>
      <c r="J335" s="5"/>
      <c r="K335" s="5"/>
      <c r="L335" s="6"/>
    </row>
    <row r="336" spans="1:12" ht="12.75">
      <c r="A336" s="4"/>
      <c r="B336" s="5"/>
      <c r="C336" s="52" t="s">
        <v>1508</v>
      </c>
      <c r="E336" s="5"/>
      <c r="G336" s="68">
        <f>SIN(D332)*$H$204/$I$89</f>
        <v>0.35633623403780457</v>
      </c>
      <c r="I336" s="5"/>
      <c r="J336" s="5"/>
      <c r="K336" s="5"/>
      <c r="L336" s="6"/>
    </row>
    <row r="337" spans="1:12" ht="13.5" thickBot="1">
      <c r="A337" s="4"/>
      <c r="B337" s="5"/>
      <c r="C337" s="5"/>
      <c r="D337" s="5"/>
      <c r="E337" s="5"/>
      <c r="G337" s="5"/>
      <c r="H337" s="5"/>
      <c r="I337" s="241" t="s">
        <v>250</v>
      </c>
      <c r="J337" s="242"/>
      <c r="K337" s="242"/>
      <c r="L337" s="243"/>
    </row>
    <row r="338" spans="1:12" ht="13.5" thickBot="1">
      <c r="A338" s="4"/>
      <c r="B338" s="5"/>
      <c r="C338" s="147" t="s">
        <v>1198</v>
      </c>
      <c r="D338" s="68">
        <f>IF(G336&lt;=1,ASIN(G336),"")</f>
        <v>0.36434378756352276</v>
      </c>
      <c r="E338" s="52" t="s">
        <v>1483</v>
      </c>
      <c r="F338" s="68">
        <f>IF(D338="","",DEGREES(D338))</f>
        <v>20.875361319200906</v>
      </c>
      <c r="G338" s="5" t="s">
        <v>1233</v>
      </c>
      <c r="H338" s="5"/>
      <c r="I338" s="244" t="str">
        <f>IF(G336&lt;=1,"None","Asin(Zeta)&gt;1 - Vector Does not Intersect Earth")</f>
        <v>None</v>
      </c>
      <c r="J338" s="245"/>
      <c r="K338" s="245"/>
      <c r="L338" s="246"/>
    </row>
    <row r="339" spans="1:12" ht="12.75">
      <c r="A339" s="4"/>
      <c r="B339" s="5"/>
      <c r="C339" s="5"/>
      <c r="D339" s="5"/>
      <c r="E339" s="5"/>
      <c r="F339" s="5"/>
      <c r="G339" s="5"/>
      <c r="H339" s="5"/>
      <c r="I339" s="5"/>
      <c r="J339" s="5"/>
      <c r="K339" s="5"/>
      <c r="L339" s="6"/>
    </row>
    <row r="340" spans="1:12" ht="12.75">
      <c r="A340" s="4"/>
      <c r="B340" s="5"/>
      <c r="C340" s="5"/>
      <c r="D340" s="5" t="s">
        <v>1384</v>
      </c>
      <c r="E340" s="5"/>
      <c r="F340" s="5"/>
      <c r="G340" s="5"/>
      <c r="H340" s="5"/>
      <c r="I340" s="5"/>
      <c r="J340" s="5"/>
      <c r="K340" s="5"/>
      <c r="L340" s="6"/>
    </row>
    <row r="341" spans="1:12" ht="12.75">
      <c r="A341" s="4"/>
      <c r="B341" s="5"/>
      <c r="C341" s="5"/>
      <c r="D341" s="5" t="s">
        <v>1060</v>
      </c>
      <c r="E341" s="5"/>
      <c r="F341" s="5"/>
      <c r="G341" s="5"/>
      <c r="H341" s="5"/>
      <c r="I341" s="5"/>
      <c r="J341" s="5"/>
      <c r="K341" s="5"/>
      <c r="L341" s="6"/>
    </row>
    <row r="342" spans="1:12" ht="12.75">
      <c r="A342" s="4"/>
      <c r="B342" s="5"/>
      <c r="C342" s="5"/>
      <c r="D342" s="5"/>
      <c r="E342" s="5"/>
      <c r="F342" s="5"/>
      <c r="G342" s="5"/>
      <c r="H342" s="5"/>
      <c r="I342" s="5"/>
      <c r="J342" s="5"/>
      <c r="K342" s="5"/>
      <c r="L342" s="6"/>
    </row>
    <row r="343" spans="1:12" ht="12.75">
      <c r="A343" s="4"/>
      <c r="B343" s="5"/>
      <c r="C343" s="22" t="s">
        <v>1061</v>
      </c>
      <c r="D343" s="68">
        <f>IF(G336&gt;1,"",IF(D338&lt;(PI()/2),PI()-D338,D338))</f>
        <v>2.7772488660262704</v>
      </c>
      <c r="E343" s="5" t="s">
        <v>599</v>
      </c>
      <c r="F343" s="68">
        <f>IF(D343="","",DEGREES(D343))</f>
        <v>159.1246386807991</v>
      </c>
      <c r="G343" s="5" t="s">
        <v>1233</v>
      </c>
      <c r="H343" s="5"/>
      <c r="I343" s="5"/>
      <c r="J343" s="5"/>
      <c r="K343" s="5"/>
      <c r="L343" s="6"/>
    </row>
    <row r="344" spans="1:12" ht="12.75">
      <c r="A344" s="4"/>
      <c r="B344" s="5"/>
      <c r="C344" s="5"/>
      <c r="D344" s="5"/>
      <c r="E344" s="5"/>
      <c r="F344" s="5"/>
      <c r="G344" s="5"/>
      <c r="H344" s="5"/>
      <c r="I344" s="5"/>
      <c r="J344" s="5"/>
      <c r="K344" s="5"/>
      <c r="L344" s="6"/>
    </row>
    <row r="345" spans="1:12" ht="12.75">
      <c r="A345" s="4" t="s">
        <v>600</v>
      </c>
      <c r="B345" s="5" t="s">
        <v>1599</v>
      </c>
      <c r="C345" s="5"/>
      <c r="D345" s="5"/>
      <c r="E345" s="5"/>
      <c r="F345" s="5"/>
      <c r="G345" s="5"/>
      <c r="H345" s="5"/>
      <c r="I345" s="5"/>
      <c r="J345" s="5"/>
      <c r="K345" s="5"/>
      <c r="L345" s="6"/>
    </row>
    <row r="346" spans="1:12" ht="13.5" thickBot="1">
      <c r="A346" s="4"/>
      <c r="B346" s="5"/>
      <c r="C346" s="5"/>
      <c r="D346" s="5"/>
      <c r="E346" s="5"/>
      <c r="F346" s="5"/>
      <c r="G346" s="5"/>
      <c r="H346" s="5"/>
      <c r="I346" s="88" t="s">
        <v>1647</v>
      </c>
      <c r="J346" s="115"/>
      <c r="K346" s="115"/>
      <c r="L346" s="192"/>
    </row>
    <row r="347" spans="1:12" ht="13.5" thickBot="1">
      <c r="A347" s="4"/>
      <c r="B347" s="22" t="s">
        <v>1781</v>
      </c>
      <c r="C347" s="5"/>
      <c r="D347" s="68">
        <f>IF(G336&gt;1,"",PI()-D332-D343)</f>
        <v>0.016897538465333817</v>
      </c>
      <c r="E347" s="5" t="s">
        <v>599</v>
      </c>
      <c r="F347" s="68">
        <f>IF(D347="","",DEGREES(D347))</f>
        <v>0.9681576382235938</v>
      </c>
      <c r="G347" s="5" t="s">
        <v>1233</v>
      </c>
      <c r="H347" s="5"/>
      <c r="I347" s="86" t="str">
        <f>IF(G336&gt;1,"None",IF(F347&lt;0,"Remaining Angle Less then Zero","None"))</f>
        <v>None</v>
      </c>
      <c r="J347" s="116"/>
      <c r="K347" s="116"/>
      <c r="L347" s="87"/>
    </row>
    <row r="348" spans="1:12" ht="12.75">
      <c r="A348" s="4"/>
      <c r="B348" s="5"/>
      <c r="C348" s="5"/>
      <c r="D348" s="5"/>
      <c r="E348" s="5"/>
      <c r="F348" s="5"/>
      <c r="G348" s="5"/>
      <c r="H348" s="5"/>
      <c r="I348" s="5"/>
      <c r="J348" s="5"/>
      <c r="K348" s="5"/>
      <c r="L348" s="6"/>
    </row>
    <row r="349" spans="1:12" ht="12.75">
      <c r="A349" s="4" t="s">
        <v>1782</v>
      </c>
      <c r="B349" s="5" t="s">
        <v>516</v>
      </c>
      <c r="C349" s="5"/>
      <c r="D349" s="5"/>
      <c r="E349" s="5"/>
      <c r="F349" s="5"/>
      <c r="G349" s="5"/>
      <c r="H349" s="5"/>
      <c r="I349" s="5"/>
      <c r="J349" s="5"/>
      <c r="K349" s="5"/>
      <c r="L349" s="6"/>
    </row>
    <row r="350" spans="1:12" ht="13.5" thickBot="1">
      <c r="A350" s="4"/>
      <c r="B350" s="5"/>
      <c r="C350" s="5"/>
      <c r="D350" s="5"/>
      <c r="E350" s="5"/>
      <c r="F350" s="5"/>
      <c r="G350" s="5"/>
      <c r="H350" s="5"/>
      <c r="I350" s="88" t="s">
        <v>1648</v>
      </c>
      <c r="J350" s="115"/>
      <c r="K350" s="115"/>
      <c r="L350" s="192"/>
    </row>
    <row r="351" spans="1:12" ht="13.5" thickBot="1">
      <c r="A351" s="4"/>
      <c r="B351" s="5"/>
      <c r="C351" s="22" t="s">
        <v>772</v>
      </c>
      <c r="D351" s="5"/>
      <c r="E351" s="5"/>
      <c r="F351" s="189">
        <f>IF(G336&gt;1,"",SQRT($H$204^2+$I$89^2-(2*$H$204*$I$89*COS(D347))))</f>
        <v>316119.018135575</v>
      </c>
      <c r="G351" s="5" t="s">
        <v>167</v>
      </c>
      <c r="H351" s="5"/>
      <c r="I351" s="86" t="str">
        <f>IF(G336&gt;1,"None",IF(($H$204^2+$I$89^2-(2*$H$204*$I$89*COS(D346)))&lt;0,"Taking Square Root of Negative Number","None"))</f>
        <v>None</v>
      </c>
      <c r="J351" s="116"/>
      <c r="K351" s="116"/>
      <c r="L351" s="87"/>
    </row>
    <row r="352" spans="1:12" ht="12.75">
      <c r="A352" s="4"/>
      <c r="B352" s="5"/>
      <c r="C352" s="5"/>
      <c r="D352" s="5"/>
      <c r="E352" s="5"/>
      <c r="F352" s="5"/>
      <c r="G352" s="5"/>
      <c r="H352" s="5"/>
      <c r="I352" s="5"/>
      <c r="J352" s="5"/>
      <c r="K352" s="5"/>
      <c r="L352" s="6"/>
    </row>
    <row r="353" spans="1:12" ht="12.75">
      <c r="A353" s="4" t="s">
        <v>773</v>
      </c>
      <c r="B353" s="5" t="s">
        <v>1520</v>
      </c>
      <c r="C353" s="5"/>
      <c r="D353" s="5"/>
      <c r="E353" s="5"/>
      <c r="F353" s="5"/>
      <c r="G353" s="5"/>
      <c r="H353" s="5"/>
      <c r="I353" s="5"/>
      <c r="J353" s="5"/>
      <c r="K353" s="5"/>
      <c r="L353" s="6"/>
    </row>
    <row r="354" spans="1:12" ht="12.75">
      <c r="A354" s="4"/>
      <c r="B354" s="5"/>
      <c r="C354" s="5"/>
      <c r="D354" s="5"/>
      <c r="E354" s="5"/>
      <c r="F354" s="5"/>
      <c r="G354" s="5"/>
      <c r="H354" s="5"/>
      <c r="I354" s="5"/>
      <c r="J354" s="5"/>
      <c r="K354" s="5"/>
      <c r="L354" s="6"/>
    </row>
    <row r="355" spans="1:12" ht="12.75">
      <c r="A355" s="4"/>
      <c r="B355" s="5"/>
      <c r="C355" s="5" t="s">
        <v>1649</v>
      </c>
      <c r="D355" s="5" t="s">
        <v>1432</v>
      </c>
      <c r="E355" s="5"/>
      <c r="F355" s="5"/>
      <c r="G355" s="5"/>
      <c r="H355" s="5"/>
      <c r="I355" s="189">
        <f>IF(G336&gt;1,"",F351*J322)</f>
        <v>58542.53998684803</v>
      </c>
      <c r="J355" s="5" t="s">
        <v>167</v>
      </c>
      <c r="K355" s="5"/>
      <c r="L355" s="6"/>
    </row>
    <row r="356" spans="1:12" ht="12.75">
      <c r="A356" s="4"/>
      <c r="B356" s="5"/>
      <c r="C356" s="5" t="s">
        <v>1650</v>
      </c>
      <c r="D356" s="5" t="s">
        <v>1434</v>
      </c>
      <c r="E356" s="5"/>
      <c r="F356" s="5"/>
      <c r="G356" s="5"/>
      <c r="H356" s="5"/>
      <c r="I356" s="189">
        <f>IF(G336&gt;1,"",F351*J323)</f>
        <v>-90325.36370672444</v>
      </c>
      <c r="J356" s="5" t="s">
        <v>167</v>
      </c>
      <c r="K356" s="5"/>
      <c r="L356" s="6"/>
    </row>
    <row r="357" spans="1:12" ht="12.75">
      <c r="A357" s="4"/>
      <c r="B357" s="5"/>
      <c r="C357" s="5" t="s">
        <v>1542</v>
      </c>
      <c r="D357" s="5" t="s">
        <v>284</v>
      </c>
      <c r="E357" s="5"/>
      <c r="F357" s="5"/>
      <c r="G357" s="5"/>
      <c r="H357" s="5"/>
      <c r="I357" s="189">
        <f>IF(G336&gt;1,"",F351*J324)</f>
        <v>-297229.42874173186</v>
      </c>
      <c r="J357" s="5" t="s">
        <v>167</v>
      </c>
      <c r="K357" s="5"/>
      <c r="L357" s="6"/>
    </row>
    <row r="358" spans="1:12" ht="12.75">
      <c r="A358" s="4"/>
      <c r="B358" s="5"/>
      <c r="C358" s="5"/>
      <c r="D358" s="5"/>
      <c r="E358" s="5"/>
      <c r="F358" s="5"/>
      <c r="G358" s="5"/>
      <c r="H358" s="5"/>
      <c r="I358" s="5"/>
      <c r="J358" s="5"/>
      <c r="K358" s="5"/>
      <c r="L358" s="6"/>
    </row>
    <row r="359" spans="1:12" ht="13.5" thickBot="1">
      <c r="A359" s="7"/>
      <c r="B359" s="8"/>
      <c r="C359" s="8"/>
      <c r="D359" s="8"/>
      <c r="E359" s="8"/>
      <c r="F359" s="8"/>
      <c r="G359" s="8"/>
      <c r="H359" s="8"/>
      <c r="I359" s="8"/>
      <c r="J359" s="8"/>
      <c r="K359" s="8"/>
      <c r="L359" s="9"/>
    </row>
    <row r="360" ht="13.5" thickBot="1"/>
    <row r="361" spans="1:12" ht="12.75">
      <c r="A361" s="1"/>
      <c r="B361" s="2"/>
      <c r="C361" s="2"/>
      <c r="D361" s="2"/>
      <c r="E361" s="2"/>
      <c r="F361" s="2"/>
      <c r="G361" s="2"/>
      <c r="H361" s="2"/>
      <c r="I361" s="2"/>
      <c r="J361" s="2"/>
      <c r="K361" s="2"/>
      <c r="L361" s="3"/>
    </row>
    <row r="362" spans="1:12" ht="12.75">
      <c r="A362" s="10" t="s">
        <v>684</v>
      </c>
      <c r="B362" s="5"/>
      <c r="C362" s="5"/>
      <c r="D362" s="5"/>
      <c r="E362" s="5"/>
      <c r="F362" s="5"/>
      <c r="G362" s="5"/>
      <c r="H362" s="5"/>
      <c r="I362" s="5"/>
      <c r="J362" s="5"/>
      <c r="K362" s="5"/>
      <c r="L362" s="6"/>
    </row>
    <row r="363" spans="1:12" ht="12.75">
      <c r="A363" s="4"/>
      <c r="B363" s="5"/>
      <c r="C363" s="5"/>
      <c r="D363" s="5"/>
      <c r="E363" s="5"/>
      <c r="F363" s="5"/>
      <c r="G363" s="5"/>
      <c r="H363" s="5"/>
      <c r="I363" s="5"/>
      <c r="J363" s="5"/>
      <c r="K363" s="5"/>
      <c r="L363" s="6"/>
    </row>
    <row r="364" spans="1:12" ht="12.75">
      <c r="A364" s="4" t="s">
        <v>1194</v>
      </c>
      <c r="B364" s="5" t="s">
        <v>317</v>
      </c>
      <c r="C364" s="5"/>
      <c r="D364" s="5"/>
      <c r="E364" s="5"/>
      <c r="F364" s="5"/>
      <c r="G364" s="5"/>
      <c r="H364" s="5"/>
      <c r="I364" s="5"/>
      <c r="J364" s="5"/>
      <c r="K364" s="5"/>
      <c r="L364" s="6"/>
    </row>
    <row r="365" spans="1:12" ht="12.75">
      <c r="A365" s="4"/>
      <c r="B365" s="5"/>
      <c r="C365" s="5"/>
      <c r="D365" s="5"/>
      <c r="E365" s="5"/>
      <c r="F365" s="5"/>
      <c r="G365" s="5"/>
      <c r="H365" s="5"/>
      <c r="I365" s="5"/>
      <c r="J365" s="5"/>
      <c r="K365" s="5"/>
      <c r="L365" s="6"/>
    </row>
    <row r="366" spans="1:12" ht="12.75">
      <c r="A366" s="4"/>
      <c r="B366" s="22" t="s">
        <v>231</v>
      </c>
      <c r="C366" s="5" t="str">
        <f>Photo_Setup!J189</f>
        <v>i_SX_p4 = </v>
      </c>
      <c r="D366" s="152">
        <f>Photo_Setup!K189</f>
        <v>-0.4742889284653748</v>
      </c>
      <c r="E366" s="190" t="s">
        <v>232</v>
      </c>
      <c r="F366" s="148"/>
      <c r="G366" s="26" t="s">
        <v>1105</v>
      </c>
      <c r="H366" s="5" t="s">
        <v>234</v>
      </c>
      <c r="I366" s="5" t="str">
        <f>C366</f>
        <v>i_SX_p4 = </v>
      </c>
      <c r="J366" s="152">
        <f>-D366</f>
        <v>0.4742889284653748</v>
      </c>
      <c r="K366" s="5"/>
      <c r="L366" s="6"/>
    </row>
    <row r="367" spans="1:12" ht="12.75">
      <c r="A367" s="4"/>
      <c r="B367" s="5"/>
      <c r="C367" s="5" t="str">
        <f>Photo_Setup!J190</f>
        <v>j_SY_p4 = </v>
      </c>
      <c r="D367" s="152">
        <f>Photo_Setup!K190</f>
        <v>-0.07469186205270666</v>
      </c>
      <c r="E367" s="5"/>
      <c r="F367" s="5"/>
      <c r="G367" s="26" t="s">
        <v>1106</v>
      </c>
      <c r="H367" s="5" t="s">
        <v>234</v>
      </c>
      <c r="I367" s="5" t="str">
        <f>C367</f>
        <v>j_SY_p4 = </v>
      </c>
      <c r="J367" s="152">
        <f>-D367</f>
        <v>0.07469186205270666</v>
      </c>
      <c r="K367" s="5"/>
      <c r="L367" s="6"/>
    </row>
    <row r="368" spans="1:12" ht="12.75">
      <c r="A368" s="4"/>
      <c r="B368" s="5"/>
      <c r="C368" s="5" t="str">
        <f>Photo_Setup!J191</f>
        <v>k_SZ_p4 = </v>
      </c>
      <c r="D368" s="152">
        <f>Photo_Setup!K191</f>
        <v>0.8771950399302689</v>
      </c>
      <c r="E368" s="5"/>
      <c r="F368" s="5"/>
      <c r="G368" s="26" t="s">
        <v>1107</v>
      </c>
      <c r="H368" s="5" t="s">
        <v>234</v>
      </c>
      <c r="I368" s="5" t="str">
        <f>C368</f>
        <v>k_SZ_p4 = </v>
      </c>
      <c r="J368" s="152">
        <f>-D368</f>
        <v>-0.8771950399302689</v>
      </c>
      <c r="K368" s="5"/>
      <c r="L368" s="6"/>
    </row>
    <row r="369" spans="1:12" ht="12.75">
      <c r="A369" s="4"/>
      <c r="B369" s="5"/>
      <c r="C369" s="5"/>
      <c r="D369" s="5"/>
      <c r="E369" s="5"/>
      <c r="F369" s="5"/>
      <c r="G369" s="5"/>
      <c r="H369" s="5"/>
      <c r="I369" s="5"/>
      <c r="J369" s="5"/>
      <c r="K369" s="5"/>
      <c r="L369" s="6"/>
    </row>
    <row r="370" spans="1:12" ht="12.75">
      <c r="A370" s="4" t="s">
        <v>237</v>
      </c>
      <c r="B370" s="5" t="s">
        <v>238</v>
      </c>
      <c r="C370" s="5"/>
      <c r="D370" s="5"/>
      <c r="E370" s="5"/>
      <c r="F370" s="5"/>
      <c r="G370" s="5"/>
      <c r="H370" s="5"/>
      <c r="I370" s="5"/>
      <c r="J370" s="5"/>
      <c r="K370" s="5"/>
      <c r="L370" s="6"/>
    </row>
    <row r="371" spans="1:12" ht="12.75">
      <c r="A371" s="4"/>
      <c r="B371" s="5"/>
      <c r="C371" s="70"/>
      <c r="D371" s="46"/>
      <c r="E371" s="70" t="s">
        <v>127</v>
      </c>
      <c r="F371" s="72">
        <f>$I$207*J366+$I$208*J367+$I$209*J368</f>
        <v>0.8771950399302689</v>
      </c>
      <c r="G371" s="52"/>
      <c r="H371" s="5"/>
      <c r="I371" s="5"/>
      <c r="J371" s="5"/>
      <c r="K371" s="5"/>
      <c r="L371" s="6"/>
    </row>
    <row r="372" spans="1:12" ht="12.75">
      <c r="A372" s="4"/>
      <c r="B372" s="5"/>
      <c r="C372" s="46"/>
      <c r="D372" s="46"/>
      <c r="E372" s="70" t="s">
        <v>128</v>
      </c>
      <c r="F372" s="72">
        <f>$I$211</f>
        <v>1</v>
      </c>
      <c r="G372" s="52"/>
      <c r="H372" s="5"/>
      <c r="I372" s="5"/>
      <c r="J372" s="5"/>
      <c r="K372" s="5"/>
      <c r="L372" s="6"/>
    </row>
    <row r="373" spans="1:12" ht="12.75">
      <c r="A373" s="4"/>
      <c r="B373" s="5"/>
      <c r="C373" s="46"/>
      <c r="D373" s="46"/>
      <c r="E373" s="70" t="s">
        <v>129</v>
      </c>
      <c r="F373" s="72">
        <f>SQRT(J366^2+J367^2+J368^2)</f>
        <v>1</v>
      </c>
      <c r="G373" s="52"/>
      <c r="H373" s="5"/>
      <c r="I373" s="5"/>
      <c r="J373" s="5"/>
      <c r="K373" s="5"/>
      <c r="L373" s="6"/>
    </row>
    <row r="374" spans="1:12" ht="12.75">
      <c r="A374" s="4"/>
      <c r="B374" s="5"/>
      <c r="C374" s="85" t="s">
        <v>866</v>
      </c>
      <c r="D374" s="5"/>
      <c r="E374" s="70"/>
      <c r="F374" s="72">
        <f>F371/(F372*F373)</f>
        <v>0.8771950399302689</v>
      </c>
      <c r="G374" s="5"/>
      <c r="H374" s="5"/>
      <c r="I374" s="5"/>
      <c r="J374" s="5"/>
      <c r="K374" s="5"/>
      <c r="L374" s="6"/>
    </row>
    <row r="375" spans="1:12" ht="13.5" thickBot="1">
      <c r="A375" s="4"/>
      <c r="B375" s="5"/>
      <c r="C375" s="46"/>
      <c r="D375" s="46"/>
      <c r="E375" s="46"/>
      <c r="F375" s="26"/>
      <c r="G375" s="52"/>
      <c r="H375" s="5"/>
      <c r="I375" s="88" t="s">
        <v>685</v>
      </c>
      <c r="J375" s="115"/>
      <c r="K375" s="115"/>
      <c r="L375" s="192"/>
    </row>
    <row r="376" spans="1:12" ht="16.5" thickBot="1">
      <c r="A376" s="4"/>
      <c r="B376" s="5"/>
      <c r="C376" s="16" t="s">
        <v>239</v>
      </c>
      <c r="D376" s="72">
        <f>IF((F372*F373)=0,0,ACOS(F374))</f>
        <v>0.5008077077818827</v>
      </c>
      <c r="E376" s="52" t="s">
        <v>1483</v>
      </c>
      <c r="F376" s="73">
        <f>DEGREES(D376)</f>
        <v>28.69416800352291</v>
      </c>
      <c r="G376" s="46" t="s">
        <v>1233</v>
      </c>
      <c r="H376" s="5"/>
      <c r="I376" s="86" t="str">
        <f>IF((F372*F373)&lt;&gt;1,"Vector A or B Not a Unit Vector","None")</f>
        <v>None</v>
      </c>
      <c r="J376" s="116"/>
      <c r="K376" s="116"/>
      <c r="L376" s="87"/>
    </row>
    <row r="377" spans="1:12" ht="12.75">
      <c r="A377" s="4"/>
      <c r="B377" s="5"/>
      <c r="C377" s="5"/>
      <c r="D377" s="5"/>
      <c r="E377" s="5"/>
      <c r="F377" s="5"/>
      <c r="G377" s="5"/>
      <c r="H377" s="5"/>
      <c r="I377" s="5"/>
      <c r="J377" s="5"/>
      <c r="K377" s="5"/>
      <c r="L377" s="6"/>
    </row>
    <row r="378" spans="1:12" ht="12.75">
      <c r="A378" s="4" t="s">
        <v>534</v>
      </c>
      <c r="B378" s="5" t="s">
        <v>1197</v>
      </c>
      <c r="C378" s="5"/>
      <c r="D378" s="5"/>
      <c r="E378" s="5"/>
      <c r="F378" s="5"/>
      <c r="G378" s="5"/>
      <c r="H378" s="5"/>
      <c r="I378" s="5"/>
      <c r="J378" s="5"/>
      <c r="K378" s="5"/>
      <c r="L378" s="6"/>
    </row>
    <row r="379" spans="1:12" ht="12.75">
      <c r="A379" s="4"/>
      <c r="B379" s="5"/>
      <c r="C379" s="5"/>
      <c r="D379" s="5"/>
      <c r="E379" s="5"/>
      <c r="F379" s="5"/>
      <c r="G379" s="5"/>
      <c r="H379" s="5"/>
      <c r="I379" s="5"/>
      <c r="J379" s="5"/>
      <c r="K379" s="5"/>
      <c r="L379" s="6"/>
    </row>
    <row r="380" spans="1:12" ht="12.75">
      <c r="A380" s="4"/>
      <c r="B380" s="5"/>
      <c r="C380" s="52" t="s">
        <v>1508</v>
      </c>
      <c r="E380" s="5"/>
      <c r="G380" s="68">
        <f>SIN(D376)*$H$204/$I$89</f>
        <v>0.5024679547088186</v>
      </c>
      <c r="I380" s="5"/>
      <c r="J380" s="5"/>
      <c r="K380" s="5"/>
      <c r="L380" s="6"/>
    </row>
    <row r="381" spans="1:12" ht="13.5" thickBot="1">
      <c r="A381" s="4"/>
      <c r="B381" s="5"/>
      <c r="C381" s="5"/>
      <c r="D381" s="5"/>
      <c r="E381" s="5"/>
      <c r="G381" s="5"/>
      <c r="H381" s="5"/>
      <c r="I381" s="241" t="s">
        <v>250</v>
      </c>
      <c r="J381" s="242"/>
      <c r="K381" s="242"/>
      <c r="L381" s="243"/>
    </row>
    <row r="382" spans="1:12" ht="13.5" thickBot="1">
      <c r="A382" s="4"/>
      <c r="B382" s="5"/>
      <c r="C382" s="147" t="s">
        <v>1198</v>
      </c>
      <c r="D382" s="68">
        <f>IF(G380&lt;=1,ASIN(G380),"")</f>
        <v>0.5264508763160762</v>
      </c>
      <c r="E382" s="52" t="s">
        <v>1483</v>
      </c>
      <c r="F382" s="68">
        <f>IF(D382="","",DEGREES(D382))</f>
        <v>30.163413333874878</v>
      </c>
      <c r="G382" s="5" t="s">
        <v>1233</v>
      </c>
      <c r="H382" s="5"/>
      <c r="I382" s="244" t="str">
        <f>IF(G380&lt;=1,"None","Asin(Zeta)&gt;1 - Vector Does not Intersect Earth")</f>
        <v>None</v>
      </c>
      <c r="J382" s="245"/>
      <c r="K382" s="245"/>
      <c r="L382" s="246"/>
    </row>
    <row r="383" spans="1:12" ht="12.75">
      <c r="A383" s="4"/>
      <c r="B383" s="5"/>
      <c r="C383" s="5"/>
      <c r="D383" s="5"/>
      <c r="E383" s="5"/>
      <c r="F383" s="5"/>
      <c r="G383" s="5"/>
      <c r="H383" s="5"/>
      <c r="I383" s="5"/>
      <c r="J383" s="5"/>
      <c r="K383" s="5"/>
      <c r="L383" s="6"/>
    </row>
    <row r="384" spans="1:12" ht="12.75">
      <c r="A384" s="4"/>
      <c r="B384" s="5"/>
      <c r="C384" s="5"/>
      <c r="D384" s="5" t="s">
        <v>1384</v>
      </c>
      <c r="E384" s="5"/>
      <c r="F384" s="5"/>
      <c r="G384" s="5"/>
      <c r="H384" s="5"/>
      <c r="I384" s="5"/>
      <c r="J384" s="5"/>
      <c r="K384" s="5"/>
      <c r="L384" s="6"/>
    </row>
    <row r="385" spans="1:12" ht="12.75">
      <c r="A385" s="4"/>
      <c r="B385" s="5"/>
      <c r="C385" s="5"/>
      <c r="D385" s="5" t="s">
        <v>1060</v>
      </c>
      <c r="E385" s="5"/>
      <c r="F385" s="5"/>
      <c r="G385" s="5"/>
      <c r="H385" s="5"/>
      <c r="I385" s="5"/>
      <c r="J385" s="5"/>
      <c r="K385" s="5"/>
      <c r="L385" s="6"/>
    </row>
    <row r="386" spans="1:12" ht="12.75">
      <c r="A386" s="4"/>
      <c r="B386" s="5"/>
      <c r="C386" s="5"/>
      <c r="D386" s="5"/>
      <c r="E386" s="5"/>
      <c r="F386" s="5"/>
      <c r="G386" s="5"/>
      <c r="H386" s="5"/>
      <c r="I386" s="5"/>
      <c r="J386" s="5"/>
      <c r="K386" s="5"/>
      <c r="L386" s="6"/>
    </row>
    <row r="387" spans="1:12" ht="12.75">
      <c r="A387" s="4"/>
      <c r="B387" s="5"/>
      <c r="C387" s="22" t="s">
        <v>1061</v>
      </c>
      <c r="D387" s="68">
        <f>IF(G380&gt;1,"",IF(D382&lt;(PI()/2),PI()-D382,D382))</f>
        <v>2.615141777273717</v>
      </c>
      <c r="E387" s="5" t="s">
        <v>599</v>
      </c>
      <c r="F387" s="68">
        <f>IF(D387="","",DEGREES(D387))</f>
        <v>149.83658666612513</v>
      </c>
      <c r="G387" s="5" t="s">
        <v>1233</v>
      </c>
      <c r="H387" s="5"/>
      <c r="I387" s="5"/>
      <c r="J387" s="5"/>
      <c r="K387" s="5"/>
      <c r="L387" s="6"/>
    </row>
    <row r="388" spans="1:12" ht="12.75">
      <c r="A388" s="4"/>
      <c r="B388" s="5"/>
      <c r="C388" s="5"/>
      <c r="D388" s="5"/>
      <c r="E388" s="5"/>
      <c r="F388" s="5"/>
      <c r="G388" s="5"/>
      <c r="H388" s="5"/>
      <c r="I388" s="5"/>
      <c r="J388" s="5"/>
      <c r="K388" s="5"/>
      <c r="L388" s="6"/>
    </row>
    <row r="389" spans="1:12" ht="12.75">
      <c r="A389" s="4" t="s">
        <v>600</v>
      </c>
      <c r="B389" s="5" t="s">
        <v>1599</v>
      </c>
      <c r="C389" s="5"/>
      <c r="D389" s="5"/>
      <c r="E389" s="5"/>
      <c r="F389" s="5"/>
      <c r="G389" s="5"/>
      <c r="H389" s="5"/>
      <c r="I389" s="5"/>
      <c r="J389" s="5"/>
      <c r="K389" s="5"/>
      <c r="L389" s="6"/>
    </row>
    <row r="390" spans="1:12" ht="13.5" thickBot="1">
      <c r="A390" s="4"/>
      <c r="B390" s="5"/>
      <c r="C390" s="5"/>
      <c r="D390" s="5"/>
      <c r="E390" s="5"/>
      <c r="F390" s="5"/>
      <c r="G390" s="5"/>
      <c r="H390" s="5"/>
      <c r="I390" s="88" t="s">
        <v>1653</v>
      </c>
      <c r="J390" s="115"/>
      <c r="K390" s="115"/>
      <c r="L390" s="192"/>
    </row>
    <row r="391" spans="1:12" ht="13.5" thickBot="1">
      <c r="A391" s="4"/>
      <c r="B391" s="22" t="s">
        <v>1781</v>
      </c>
      <c r="C391" s="5"/>
      <c r="D391" s="68">
        <f>IF(G380&gt;1,"",PI()-D376-D387)</f>
        <v>0.02564316853419335</v>
      </c>
      <c r="E391" s="5" t="s">
        <v>599</v>
      </c>
      <c r="F391" s="68">
        <f>IF(D391="","",DEGREES(D391))</f>
        <v>1.4692453303519526</v>
      </c>
      <c r="G391" s="5" t="s">
        <v>1233</v>
      </c>
      <c r="H391" s="5"/>
      <c r="I391" s="86" t="str">
        <f>IF(G380&gt;1,"None",IF(F391&lt;0,"Remaining Angle Less then Zero","None"))</f>
        <v>None</v>
      </c>
      <c r="J391" s="116"/>
      <c r="K391" s="116"/>
      <c r="L391" s="87"/>
    </row>
    <row r="392" spans="1:12" ht="12.75">
      <c r="A392" s="4"/>
      <c r="B392" s="5"/>
      <c r="C392" s="5"/>
      <c r="D392" s="5"/>
      <c r="E392" s="5"/>
      <c r="F392" s="5"/>
      <c r="G392" s="5"/>
      <c r="H392" s="5"/>
      <c r="I392" s="5"/>
      <c r="J392" s="5"/>
      <c r="K392" s="5"/>
      <c r="L392" s="6"/>
    </row>
    <row r="393" spans="1:12" ht="12.75">
      <c r="A393" s="4" t="s">
        <v>1782</v>
      </c>
      <c r="B393" s="5" t="s">
        <v>516</v>
      </c>
      <c r="C393" s="5"/>
      <c r="D393" s="5"/>
      <c r="E393" s="5"/>
      <c r="F393" s="5"/>
      <c r="G393" s="5"/>
      <c r="H393" s="5"/>
      <c r="I393" s="5"/>
      <c r="J393" s="5"/>
      <c r="K393" s="5"/>
      <c r="L393" s="6"/>
    </row>
    <row r="394" spans="1:12" ht="13.5" thickBot="1">
      <c r="A394" s="4"/>
      <c r="B394" s="5"/>
      <c r="C394" s="5"/>
      <c r="D394" s="5"/>
      <c r="E394" s="5"/>
      <c r="F394" s="5"/>
      <c r="G394" s="5"/>
      <c r="H394" s="5"/>
      <c r="I394" s="88" t="s">
        <v>1178</v>
      </c>
      <c r="J394" s="115"/>
      <c r="K394" s="115"/>
      <c r="L394" s="192"/>
    </row>
    <row r="395" spans="1:12" ht="13.5" thickBot="1">
      <c r="A395" s="4"/>
      <c r="B395" s="5"/>
      <c r="C395" s="22" t="s">
        <v>772</v>
      </c>
      <c r="D395" s="5"/>
      <c r="E395" s="5"/>
      <c r="F395" s="189">
        <f>IF(G380&gt;1,"",SQRT($H$204^2+$I$89^2-(2*$H$204*$I$89*COS(D391))))</f>
        <v>340191.57446308376</v>
      </c>
      <c r="G395" s="5" t="s">
        <v>167</v>
      </c>
      <c r="H395" s="5"/>
      <c r="I395" s="86" t="str">
        <f>IF(G380&gt;1,"None",IF(($H$204^2+$I$89^2-(2*$H$204*$I$89*COS(D390)))&lt;0,"Taking Square Root of Negative Number","None"))</f>
        <v>None</v>
      </c>
      <c r="J395" s="116"/>
      <c r="K395" s="116"/>
      <c r="L395" s="87"/>
    </row>
    <row r="396" spans="1:12" ht="12.75">
      <c r="A396" s="4"/>
      <c r="B396" s="5"/>
      <c r="C396" s="5"/>
      <c r="D396" s="5"/>
      <c r="E396" s="5"/>
      <c r="F396" s="5"/>
      <c r="G396" s="5"/>
      <c r="H396" s="5"/>
      <c r="I396" s="5"/>
      <c r="J396" s="5"/>
      <c r="K396" s="5"/>
      <c r="L396" s="6"/>
    </row>
    <row r="397" spans="1:12" ht="12.75">
      <c r="A397" s="4" t="s">
        <v>773</v>
      </c>
      <c r="B397" s="5" t="s">
        <v>1520</v>
      </c>
      <c r="C397" s="5"/>
      <c r="D397" s="5"/>
      <c r="E397" s="5"/>
      <c r="F397" s="5"/>
      <c r="G397" s="5"/>
      <c r="H397" s="5"/>
      <c r="I397" s="5"/>
      <c r="J397" s="5"/>
      <c r="K397" s="5"/>
      <c r="L397" s="6"/>
    </row>
    <row r="398" spans="1:12" ht="12.75">
      <c r="A398" s="4"/>
      <c r="B398" s="5"/>
      <c r="C398" s="5"/>
      <c r="D398" s="5"/>
      <c r="E398" s="5"/>
      <c r="F398" s="5"/>
      <c r="G398" s="5"/>
      <c r="H398" s="5"/>
      <c r="I398" s="5"/>
      <c r="J398" s="5"/>
      <c r="K398" s="5"/>
      <c r="L398" s="6"/>
    </row>
    <row r="399" spans="1:12" ht="12.75">
      <c r="A399" s="4"/>
      <c r="B399" s="5"/>
      <c r="C399" s="5" t="s">
        <v>1179</v>
      </c>
      <c r="D399" s="5" t="s">
        <v>1432</v>
      </c>
      <c r="E399" s="5"/>
      <c r="F399" s="5"/>
      <c r="G399" s="5"/>
      <c r="H399" s="5"/>
      <c r="I399" s="189">
        <f>IF(G380&gt;1,"",F395*J366)</f>
        <v>161349.09732504474</v>
      </c>
      <c r="J399" s="5" t="s">
        <v>167</v>
      </c>
      <c r="K399" s="5"/>
      <c r="L399" s="6"/>
    </row>
    <row r="400" spans="1:12" ht="12.75">
      <c r="A400" s="4"/>
      <c r="B400" s="5"/>
      <c r="C400" s="5" t="s">
        <v>1180</v>
      </c>
      <c r="D400" s="5" t="s">
        <v>1434</v>
      </c>
      <c r="E400" s="5"/>
      <c r="F400" s="5"/>
      <c r="G400" s="5"/>
      <c r="H400" s="5"/>
      <c r="I400" s="189">
        <f>IF(G380&gt;1,"",F395*J367)</f>
        <v>25409.542151289737</v>
      </c>
      <c r="J400" s="5" t="s">
        <v>167</v>
      </c>
      <c r="K400" s="5"/>
      <c r="L400" s="6"/>
    </row>
    <row r="401" spans="1:12" ht="12.75">
      <c r="A401" s="4"/>
      <c r="B401" s="5"/>
      <c r="C401" s="5" t="s">
        <v>1181</v>
      </c>
      <c r="D401" s="5" t="s">
        <v>284</v>
      </c>
      <c r="E401" s="5"/>
      <c r="F401" s="5"/>
      <c r="G401" s="5"/>
      <c r="H401" s="5"/>
      <c r="I401" s="189">
        <f>IF(G380&gt;1,"",F395*J368)</f>
        <v>-298414.3617450858</v>
      </c>
      <c r="J401" s="5" t="s">
        <v>167</v>
      </c>
      <c r="K401" s="5"/>
      <c r="L401" s="6"/>
    </row>
    <row r="402" spans="1:12" ht="12.75">
      <c r="A402" s="4"/>
      <c r="B402" s="5"/>
      <c r="C402" s="5"/>
      <c r="D402" s="5"/>
      <c r="E402" s="5"/>
      <c r="F402" s="5"/>
      <c r="G402" s="5"/>
      <c r="H402" s="5"/>
      <c r="I402" s="5"/>
      <c r="J402" s="5"/>
      <c r="K402" s="5"/>
      <c r="L402" s="6"/>
    </row>
    <row r="403" spans="1:12" ht="13.5" thickBot="1">
      <c r="A403" s="7"/>
      <c r="B403" s="8"/>
      <c r="C403" s="8"/>
      <c r="D403" s="8"/>
      <c r="E403" s="8"/>
      <c r="F403" s="8"/>
      <c r="G403" s="8"/>
      <c r="H403" s="8"/>
      <c r="I403" s="8"/>
      <c r="J403" s="8"/>
      <c r="K403" s="8"/>
      <c r="L403" s="9"/>
    </row>
    <row r="404" ht="13.5" thickBot="1"/>
    <row r="405" spans="1:12" ht="12.75">
      <c r="A405" s="1"/>
      <c r="B405" s="2"/>
      <c r="C405" s="2"/>
      <c r="D405" s="2"/>
      <c r="E405" s="2"/>
      <c r="F405" s="2"/>
      <c r="G405" s="2"/>
      <c r="H405" s="2"/>
      <c r="I405" s="2"/>
      <c r="J405" s="2"/>
      <c r="K405" s="2"/>
      <c r="L405" s="3"/>
    </row>
    <row r="406" spans="1:12" ht="12.75">
      <c r="A406" s="10" t="s">
        <v>1065</v>
      </c>
      <c r="B406" s="5"/>
      <c r="C406" s="5"/>
      <c r="D406" s="5"/>
      <c r="E406" s="5"/>
      <c r="F406" s="5"/>
      <c r="G406" s="5"/>
      <c r="H406" s="5"/>
      <c r="I406" s="5"/>
      <c r="J406" s="5"/>
      <c r="K406" s="5"/>
      <c r="L406" s="6"/>
    </row>
    <row r="407" spans="1:12" ht="12.75">
      <c r="A407" s="4"/>
      <c r="B407" s="5"/>
      <c r="C407" s="5"/>
      <c r="D407" s="5"/>
      <c r="E407" s="5"/>
      <c r="F407" s="5"/>
      <c r="G407" s="5"/>
      <c r="H407" s="5"/>
      <c r="I407" s="5"/>
      <c r="J407" s="5"/>
      <c r="K407" s="5"/>
      <c r="L407" s="6"/>
    </row>
    <row r="408" spans="1:12" ht="12.75">
      <c r="A408" s="4" t="s">
        <v>1194</v>
      </c>
      <c r="B408" s="5" t="s">
        <v>317</v>
      </c>
      <c r="C408" s="5"/>
      <c r="D408" s="5"/>
      <c r="E408" s="5"/>
      <c r="F408" s="5"/>
      <c r="G408" s="5"/>
      <c r="H408" s="5"/>
      <c r="I408" s="5"/>
      <c r="J408" s="5"/>
      <c r="K408" s="5"/>
      <c r="L408" s="6"/>
    </row>
    <row r="409" spans="1:12" ht="12.75">
      <c r="A409" s="4"/>
      <c r="B409" s="5"/>
      <c r="C409" s="5"/>
      <c r="D409" s="5"/>
      <c r="E409" s="5"/>
      <c r="F409" s="5"/>
      <c r="G409" s="5"/>
      <c r="H409" s="5"/>
      <c r="I409" s="5"/>
      <c r="J409" s="5"/>
      <c r="K409" s="5"/>
      <c r="L409" s="6"/>
    </row>
    <row r="410" spans="1:12" ht="12.75">
      <c r="A410" s="4"/>
      <c r="B410" s="22" t="s">
        <v>231</v>
      </c>
      <c r="C410" s="5" t="str">
        <f>Photo_Setup!J197</f>
        <v>i_SX_pp = </v>
      </c>
      <c r="D410" s="152">
        <f>Photo_Setup!K197</f>
        <v>-0.29787506372274425</v>
      </c>
      <c r="E410" s="190" t="s">
        <v>232</v>
      </c>
      <c r="F410" s="148"/>
      <c r="G410" s="26" t="s">
        <v>1108</v>
      </c>
      <c r="H410" s="5" t="s">
        <v>234</v>
      </c>
      <c r="I410" s="5" t="str">
        <f>C410</f>
        <v>i_SX_pp = </v>
      </c>
      <c r="J410" s="338">
        <f>-D410</f>
        <v>0.29787506372274425</v>
      </c>
      <c r="K410" s="52"/>
      <c r="L410" s="6"/>
    </row>
    <row r="411" spans="1:12" ht="12.75">
      <c r="A411" s="4"/>
      <c r="B411" s="5"/>
      <c r="C411" s="5" t="str">
        <f>Photo_Setup!J198</f>
        <v>j_SY_pp = </v>
      </c>
      <c r="D411" s="152">
        <f>Photo_Setup!K198</f>
        <v>3.741846014096965E-16</v>
      </c>
      <c r="E411" s="5"/>
      <c r="F411" s="5"/>
      <c r="G411" s="26" t="s">
        <v>1109</v>
      </c>
      <c r="H411" s="5" t="s">
        <v>234</v>
      </c>
      <c r="I411" s="5" t="str">
        <f>C411</f>
        <v>j_SY_pp = </v>
      </c>
      <c r="J411" s="338">
        <f>-D411</f>
        <v>-3.741846014096965E-16</v>
      </c>
      <c r="K411" s="52"/>
      <c r="L411" s="6"/>
    </row>
    <row r="412" spans="1:12" ht="12.75">
      <c r="A412" s="4"/>
      <c r="B412" s="5"/>
      <c r="C412" s="5" t="str">
        <f>Photo_Setup!J199</f>
        <v>k_SZ_pp = </v>
      </c>
      <c r="D412" s="152">
        <f>Photo_Setup!K199</f>
        <v>0.9546048640208006</v>
      </c>
      <c r="E412" s="5"/>
      <c r="F412" s="5"/>
      <c r="G412" s="26" t="s">
        <v>1110</v>
      </c>
      <c r="H412" s="5" t="s">
        <v>234</v>
      </c>
      <c r="I412" s="5" t="str">
        <f>C412</f>
        <v>k_SZ_pp = </v>
      </c>
      <c r="J412" s="338">
        <f>-D412</f>
        <v>-0.9546048640208006</v>
      </c>
      <c r="K412" s="52"/>
      <c r="L412" s="6"/>
    </row>
    <row r="413" spans="1:12" ht="12.75">
      <c r="A413" s="4"/>
      <c r="B413" s="5"/>
      <c r="C413" s="5"/>
      <c r="D413" s="5"/>
      <c r="E413" s="5"/>
      <c r="F413" s="5"/>
      <c r="G413" s="5"/>
      <c r="H413" s="5"/>
      <c r="I413" s="5"/>
      <c r="J413" s="337"/>
      <c r="K413" s="5"/>
      <c r="L413" s="6"/>
    </row>
    <row r="414" spans="1:12" ht="12.75">
      <c r="A414" s="4" t="s">
        <v>237</v>
      </c>
      <c r="B414" s="5" t="s">
        <v>238</v>
      </c>
      <c r="C414" s="5"/>
      <c r="D414" s="5"/>
      <c r="E414" s="5"/>
      <c r="F414" s="5"/>
      <c r="G414" s="52"/>
      <c r="H414" s="5"/>
      <c r="I414" s="5"/>
      <c r="J414" s="5"/>
      <c r="K414" s="5"/>
      <c r="L414" s="6"/>
    </row>
    <row r="415" spans="1:12" ht="12.75">
      <c r="A415" s="4"/>
      <c r="B415" s="5"/>
      <c r="C415" s="70"/>
      <c r="D415" s="46"/>
      <c r="E415" s="70" t="s">
        <v>127</v>
      </c>
      <c r="F415" s="72">
        <f>$I$207*J410+$I$208*J411+$I$209*J412</f>
        <v>0.9546048640208006</v>
      </c>
      <c r="G415" s="52"/>
      <c r="H415" s="5"/>
      <c r="I415" s="5"/>
      <c r="J415" s="5"/>
      <c r="K415" s="5"/>
      <c r="L415" s="6"/>
    </row>
    <row r="416" spans="1:12" ht="12.75">
      <c r="A416" s="4"/>
      <c r="B416" s="5"/>
      <c r="C416" s="46"/>
      <c r="D416" s="46"/>
      <c r="E416" s="70" t="s">
        <v>128</v>
      </c>
      <c r="F416" s="72">
        <f>$I$211</f>
        <v>1</v>
      </c>
      <c r="G416" s="52"/>
      <c r="H416" s="5"/>
      <c r="I416" s="5"/>
      <c r="J416" s="5"/>
      <c r="K416" s="5"/>
      <c r="L416" s="6"/>
    </row>
    <row r="417" spans="1:12" ht="12.75">
      <c r="A417" s="4"/>
      <c r="B417" s="5"/>
      <c r="C417" s="46"/>
      <c r="D417" s="46"/>
      <c r="E417" s="70" t="s">
        <v>129</v>
      </c>
      <c r="F417" s="72">
        <f>SQRT(J410^2+J411^2+J412^2)</f>
        <v>1</v>
      </c>
      <c r="G417" s="52"/>
      <c r="H417" s="5"/>
      <c r="I417" s="5"/>
      <c r="J417" s="5"/>
      <c r="K417" s="5"/>
      <c r="L417" s="6"/>
    </row>
    <row r="418" spans="1:12" ht="12.75">
      <c r="A418" s="4"/>
      <c r="B418" s="5"/>
      <c r="C418" s="85" t="s">
        <v>866</v>
      </c>
      <c r="D418" s="5"/>
      <c r="E418" s="70"/>
      <c r="F418" s="72">
        <f>F415/(F416*F417)</f>
        <v>0.9546048640208006</v>
      </c>
      <c r="G418" s="52"/>
      <c r="H418" s="5"/>
      <c r="I418" s="5"/>
      <c r="J418" s="5"/>
      <c r="K418" s="5"/>
      <c r="L418" s="6"/>
    </row>
    <row r="419" spans="1:12" ht="13.5" thickBot="1">
      <c r="A419" s="4"/>
      <c r="B419" s="5"/>
      <c r="C419" s="46"/>
      <c r="D419" s="46"/>
      <c r="E419" s="46"/>
      <c r="F419" s="26"/>
      <c r="G419" s="52"/>
      <c r="H419" s="5"/>
      <c r="I419" s="88" t="s">
        <v>1066</v>
      </c>
      <c r="J419" s="115"/>
      <c r="K419" s="115"/>
      <c r="L419" s="192"/>
    </row>
    <row r="420" spans="1:12" ht="16.5" thickBot="1">
      <c r="A420" s="4"/>
      <c r="B420" s="5"/>
      <c r="C420" s="16" t="s">
        <v>239</v>
      </c>
      <c r="D420" s="72">
        <f>IF((F416*F417)=0,0,ACOS(F418))</f>
        <v>0.3024658933786355</v>
      </c>
      <c r="E420" s="52" t="s">
        <v>1483</v>
      </c>
      <c r="F420" s="73">
        <f>DEGREES(D420)</f>
        <v>17.330019137249767</v>
      </c>
      <c r="G420" s="46" t="s">
        <v>1233</v>
      </c>
      <c r="H420" s="5"/>
      <c r="I420" s="86" t="str">
        <f>IF((F416*F417)&lt;&gt;1,"Vector A or B Not a Unit Vector","None")</f>
        <v>None</v>
      </c>
      <c r="J420" s="116"/>
      <c r="K420" s="116"/>
      <c r="L420" s="87"/>
    </row>
    <row r="421" spans="1:12" ht="12.75">
      <c r="A421" s="4"/>
      <c r="B421" s="5"/>
      <c r="C421" s="5"/>
      <c r="D421" s="52"/>
      <c r="E421" s="5"/>
      <c r="F421" s="5"/>
      <c r="G421" s="5"/>
      <c r="H421" s="5"/>
      <c r="I421" s="5"/>
      <c r="J421" s="5"/>
      <c r="K421" s="5"/>
      <c r="L421" s="6"/>
    </row>
    <row r="422" spans="1:12" ht="12.75">
      <c r="A422" s="4" t="s">
        <v>534</v>
      </c>
      <c r="B422" s="5" t="s">
        <v>1197</v>
      </c>
      <c r="C422" s="5"/>
      <c r="D422" s="52"/>
      <c r="E422" s="5"/>
      <c r="F422" s="5"/>
      <c r="G422" s="5"/>
      <c r="H422" s="5"/>
      <c r="I422" s="5"/>
      <c r="J422" s="5"/>
      <c r="K422" s="5"/>
      <c r="L422" s="6"/>
    </row>
    <row r="423" spans="1:12" ht="12.75">
      <c r="A423" s="4"/>
      <c r="B423" s="5"/>
      <c r="C423" s="5"/>
      <c r="D423" s="5"/>
      <c r="E423" s="5"/>
      <c r="F423" s="5"/>
      <c r="G423" s="5"/>
      <c r="H423" s="5"/>
      <c r="I423" s="5"/>
      <c r="J423" s="5"/>
      <c r="K423" s="5"/>
      <c r="L423" s="6"/>
    </row>
    <row r="424" spans="1:12" ht="12.75">
      <c r="A424" s="4"/>
      <c r="B424" s="5"/>
      <c r="C424" s="52" t="s">
        <v>1508</v>
      </c>
      <c r="E424" s="5"/>
      <c r="G424" s="68">
        <f>SIN(D420)*$H$204/$I$89</f>
        <v>0.3117309080680273</v>
      </c>
      <c r="I424" s="5"/>
      <c r="J424" s="5"/>
      <c r="K424" s="5"/>
      <c r="L424" s="6"/>
    </row>
    <row r="425" spans="1:12" ht="13.5" thickBot="1">
      <c r="A425" s="4"/>
      <c r="B425" s="5"/>
      <c r="C425" s="5"/>
      <c r="D425" s="5"/>
      <c r="E425" s="5"/>
      <c r="G425" s="5"/>
      <c r="H425" s="5"/>
      <c r="I425" s="241" t="s">
        <v>250</v>
      </c>
      <c r="J425" s="242"/>
      <c r="K425" s="242"/>
      <c r="L425" s="243"/>
    </row>
    <row r="426" spans="1:12" ht="13.5" thickBot="1">
      <c r="A426" s="4"/>
      <c r="B426" s="5"/>
      <c r="C426" s="147" t="s">
        <v>1198</v>
      </c>
      <c r="D426" s="68">
        <f>IF(G424&lt;=1,ASIN(G424),"")</f>
        <v>0.31701417109117785</v>
      </c>
      <c r="E426" s="52" t="s">
        <v>1483</v>
      </c>
      <c r="F426" s="68">
        <f>IF(D426="","",DEGREES(D426))</f>
        <v>18.163574049362683</v>
      </c>
      <c r="G426" s="5" t="s">
        <v>1233</v>
      </c>
      <c r="H426" s="5"/>
      <c r="I426" s="244" t="str">
        <f>IF(G424&lt;=1,"None","Asin(Zeta)&gt;1 - Vector Does not Intersect Earth")</f>
        <v>None</v>
      </c>
      <c r="J426" s="245"/>
      <c r="K426" s="245"/>
      <c r="L426" s="246"/>
    </row>
    <row r="427" spans="1:12" ht="12.75">
      <c r="A427" s="4"/>
      <c r="B427" s="5"/>
      <c r="C427" s="5"/>
      <c r="D427" s="52"/>
      <c r="E427" s="5"/>
      <c r="F427" s="5"/>
      <c r="G427" s="5"/>
      <c r="H427" s="5"/>
      <c r="I427" s="5"/>
      <c r="J427" s="5"/>
      <c r="K427" s="5"/>
      <c r="L427" s="6"/>
    </row>
    <row r="428" spans="1:12" ht="12.75">
      <c r="A428" s="4"/>
      <c r="B428" s="5"/>
      <c r="C428" s="5"/>
      <c r="D428" s="5" t="s">
        <v>1384</v>
      </c>
      <c r="E428" s="5"/>
      <c r="F428" s="5"/>
      <c r="G428" s="5"/>
      <c r="H428" s="5"/>
      <c r="I428" s="5"/>
      <c r="J428" s="5"/>
      <c r="K428" s="5"/>
      <c r="L428" s="6"/>
    </row>
    <row r="429" spans="1:12" ht="12.75">
      <c r="A429" s="4"/>
      <c r="B429" s="5"/>
      <c r="C429" s="5"/>
      <c r="D429" s="5" t="s">
        <v>1060</v>
      </c>
      <c r="E429" s="5"/>
      <c r="F429" s="5"/>
      <c r="G429" s="5"/>
      <c r="H429" s="5"/>
      <c r="I429" s="5"/>
      <c r="J429" s="5"/>
      <c r="K429" s="5"/>
      <c r="L429" s="6"/>
    </row>
    <row r="430" spans="1:12" ht="12.75">
      <c r="A430" s="4"/>
      <c r="B430" s="5"/>
      <c r="C430" s="5"/>
      <c r="D430" s="5"/>
      <c r="E430" s="5"/>
      <c r="F430" s="5"/>
      <c r="G430" s="5"/>
      <c r="H430" s="5"/>
      <c r="I430" s="5"/>
      <c r="J430" s="5"/>
      <c r="K430" s="5"/>
      <c r="L430" s="6"/>
    </row>
    <row r="431" spans="1:12" ht="12.75">
      <c r="A431" s="4"/>
      <c r="B431" s="5"/>
      <c r="C431" s="22" t="s">
        <v>1061</v>
      </c>
      <c r="D431" s="68">
        <f>IF(G424&gt;1,"",IF(D426&lt;(PI()/2),PI()-D426,D426))</f>
        <v>2.824578482498615</v>
      </c>
      <c r="E431" s="5" t="s">
        <v>599</v>
      </c>
      <c r="F431" s="68">
        <f>IF(D431="","",DEGREES(D431))</f>
        <v>161.8364259506373</v>
      </c>
      <c r="G431" s="5" t="s">
        <v>1233</v>
      </c>
      <c r="H431" s="5"/>
      <c r="I431" s="5"/>
      <c r="J431" s="5"/>
      <c r="K431" s="5"/>
      <c r="L431" s="6"/>
    </row>
    <row r="432" spans="1:12" ht="12.75">
      <c r="A432" s="4"/>
      <c r="B432" s="5"/>
      <c r="C432" s="5"/>
      <c r="D432" s="52"/>
      <c r="E432" s="5"/>
      <c r="F432" s="5"/>
      <c r="G432" s="5"/>
      <c r="H432" s="5"/>
      <c r="I432" s="5"/>
      <c r="J432" s="5"/>
      <c r="K432" s="5"/>
      <c r="L432" s="6"/>
    </row>
    <row r="433" spans="1:12" ht="12.75">
      <c r="A433" s="4" t="s">
        <v>600</v>
      </c>
      <c r="B433" s="5" t="s">
        <v>1599</v>
      </c>
      <c r="C433" s="5"/>
      <c r="D433" s="5"/>
      <c r="E433" s="5"/>
      <c r="F433" s="5"/>
      <c r="G433" s="5"/>
      <c r="H433" s="5"/>
      <c r="I433" s="5"/>
      <c r="J433" s="5"/>
      <c r="K433" s="5"/>
      <c r="L433" s="6"/>
    </row>
    <row r="434" spans="1:12" ht="13.5" thickBot="1">
      <c r="A434" s="4"/>
      <c r="B434" s="5"/>
      <c r="C434" s="5"/>
      <c r="D434" s="5"/>
      <c r="E434" s="5"/>
      <c r="F434" s="5"/>
      <c r="G434" s="5"/>
      <c r="H434" s="5"/>
      <c r="I434" s="88" t="s">
        <v>1067</v>
      </c>
      <c r="J434" s="115"/>
      <c r="K434" s="115"/>
      <c r="L434" s="192"/>
    </row>
    <row r="435" spans="1:12" ht="13.5" thickBot="1">
      <c r="A435" s="4"/>
      <c r="B435" s="22" t="s">
        <v>1781</v>
      </c>
      <c r="C435" s="5"/>
      <c r="D435" s="68">
        <f>IF(G424&gt;1,"",PI()-D420-D431)</f>
        <v>0.014548277712542301</v>
      </c>
      <c r="E435" s="5" t="s">
        <v>599</v>
      </c>
      <c r="F435" s="68">
        <f>IF(D435="","",DEGREES(D435))</f>
        <v>0.8335549121129133</v>
      </c>
      <c r="G435" s="5" t="s">
        <v>1233</v>
      </c>
      <c r="H435" s="5"/>
      <c r="I435" s="86" t="str">
        <f>IF(G424&gt;1,"None",IF(F435&lt;0,"Remaining Angle Less then Zero","None"))</f>
        <v>None</v>
      </c>
      <c r="J435" s="116"/>
      <c r="K435" s="116"/>
      <c r="L435" s="87"/>
    </row>
    <row r="436" spans="1:12" ht="12.75">
      <c r="A436" s="4"/>
      <c r="B436" s="5"/>
      <c r="C436" s="5"/>
      <c r="D436" s="52"/>
      <c r="E436" s="5"/>
      <c r="F436" s="5"/>
      <c r="G436" s="5"/>
      <c r="H436" s="5"/>
      <c r="I436" s="5"/>
      <c r="J436" s="5"/>
      <c r="K436" s="5"/>
      <c r="L436" s="6"/>
    </row>
    <row r="437" spans="1:12" ht="12.75">
      <c r="A437" s="4" t="s">
        <v>1782</v>
      </c>
      <c r="B437" s="5" t="s">
        <v>516</v>
      </c>
      <c r="C437" s="5"/>
      <c r="D437" s="5"/>
      <c r="E437" s="5"/>
      <c r="F437" s="5"/>
      <c r="G437" s="5"/>
      <c r="H437" s="5"/>
      <c r="I437" s="5"/>
      <c r="J437" s="5"/>
      <c r="K437" s="5"/>
      <c r="L437" s="6"/>
    </row>
    <row r="438" spans="1:12" ht="13.5" thickBot="1">
      <c r="A438" s="4"/>
      <c r="B438" s="5"/>
      <c r="C438" s="5"/>
      <c r="D438" s="5"/>
      <c r="E438" s="5"/>
      <c r="F438" s="5"/>
      <c r="G438" s="5"/>
      <c r="H438" s="5"/>
      <c r="I438" s="88" t="s">
        <v>1068</v>
      </c>
      <c r="J438" s="115"/>
      <c r="K438" s="115"/>
      <c r="L438" s="192"/>
    </row>
    <row r="439" spans="1:12" ht="13.5" thickBot="1">
      <c r="A439" s="4"/>
      <c r="B439" s="5"/>
      <c r="C439" s="22" t="s">
        <v>772</v>
      </c>
      <c r="D439" s="5"/>
      <c r="E439" s="5"/>
      <c r="F439" s="189">
        <f>IF(G424&gt;1,"",SQRT($H$204^2+$I$89^2-(2*$H$204*$I$89*COS(D435))))</f>
        <v>311117.3506027559</v>
      </c>
      <c r="G439" s="5" t="s">
        <v>167</v>
      </c>
      <c r="H439" s="5"/>
      <c r="I439" s="86" t="str">
        <f>IF(G424&gt;1,"None",IF(($H$204^2+$I$89^2-(2*$H$204*$I$89*COS(D434)))&lt;0,"Taking Square Root of Negative Number","None"))</f>
        <v>None</v>
      </c>
      <c r="J439" s="116"/>
      <c r="K439" s="116"/>
      <c r="L439" s="87"/>
    </row>
    <row r="440" spans="1:12" ht="12.75">
      <c r="A440" s="4"/>
      <c r="B440" s="5"/>
      <c r="C440" s="5"/>
      <c r="D440" s="5"/>
      <c r="E440" s="5"/>
      <c r="F440" s="52"/>
      <c r="G440" s="5"/>
      <c r="H440" s="5"/>
      <c r="I440" s="5"/>
      <c r="J440" s="5"/>
      <c r="K440" s="5"/>
      <c r="L440" s="6"/>
    </row>
    <row r="441" spans="1:12" ht="12.75">
      <c r="A441" s="4" t="s">
        <v>773</v>
      </c>
      <c r="B441" s="5" t="s">
        <v>1520</v>
      </c>
      <c r="C441" s="5"/>
      <c r="D441" s="5"/>
      <c r="E441" s="5"/>
      <c r="F441" s="5"/>
      <c r="G441" s="5"/>
      <c r="H441" s="5"/>
      <c r="I441" s="5"/>
      <c r="J441" s="5"/>
      <c r="K441" s="5"/>
      <c r="L441" s="6"/>
    </row>
    <row r="442" spans="1:12" ht="12.75">
      <c r="A442" s="4"/>
      <c r="B442" s="5"/>
      <c r="C442" s="5"/>
      <c r="D442" s="5"/>
      <c r="E442" s="5"/>
      <c r="F442" s="5"/>
      <c r="G442" s="5"/>
      <c r="H442" s="5"/>
      <c r="I442" s="5"/>
      <c r="J442" s="5"/>
      <c r="K442" s="5"/>
      <c r="L442" s="6"/>
    </row>
    <row r="443" spans="1:12" ht="12.75">
      <c r="A443" s="4"/>
      <c r="B443" s="5"/>
      <c r="C443" s="5" t="s">
        <v>426</v>
      </c>
      <c r="D443" s="5" t="s">
        <v>1432</v>
      </c>
      <c r="E443" s="5"/>
      <c r="F443" s="5"/>
      <c r="G443" s="5"/>
      <c r="H443" s="5"/>
      <c r="I443" s="189">
        <f>IF(G424&gt;1,"",F439*J410)</f>
        <v>92674.10063604728</v>
      </c>
      <c r="J443" s="5" t="s">
        <v>167</v>
      </c>
      <c r="K443" s="5"/>
      <c r="L443" s="6"/>
    </row>
    <row r="444" spans="1:12" ht="12.75">
      <c r="A444" s="4"/>
      <c r="B444" s="5"/>
      <c r="C444" s="5" t="s">
        <v>427</v>
      </c>
      <c r="D444" s="5" t="s">
        <v>1434</v>
      </c>
      <c r="E444" s="5"/>
      <c r="F444" s="5"/>
      <c r="G444" s="5"/>
      <c r="H444" s="5"/>
      <c r="I444" s="189">
        <f>IF(G424&gt;1,"",F439*J411)</f>
        <v>-1.1641532182693302E-10</v>
      </c>
      <c r="J444" s="5" t="s">
        <v>167</v>
      </c>
      <c r="K444" s="5"/>
      <c r="L444" s="6"/>
    </row>
    <row r="445" spans="1:12" ht="12.75">
      <c r="A445" s="4"/>
      <c r="B445" s="5"/>
      <c r="C445" s="5" t="s">
        <v>428</v>
      </c>
      <c r="D445" s="5" t="s">
        <v>284</v>
      </c>
      <c r="E445" s="5"/>
      <c r="F445" s="5"/>
      <c r="G445" s="5"/>
      <c r="H445" s="5"/>
      <c r="I445" s="189">
        <f>IF(G424&gt;1,"",F439*J412)</f>
        <v>-296994.1361666555</v>
      </c>
      <c r="J445" s="5" t="s">
        <v>167</v>
      </c>
      <c r="K445" s="5"/>
      <c r="L445" s="6"/>
    </row>
    <row r="446" spans="1:12" ht="12.75">
      <c r="A446" s="4"/>
      <c r="B446" s="5"/>
      <c r="C446" s="5"/>
      <c r="D446" s="5"/>
      <c r="E446" s="5"/>
      <c r="F446" s="5"/>
      <c r="G446" s="5"/>
      <c r="H446" s="5"/>
      <c r="I446" s="5"/>
      <c r="J446" s="5"/>
      <c r="K446" s="5"/>
      <c r="L446" s="6"/>
    </row>
    <row r="447" spans="1:12" ht="13.5" thickBot="1">
      <c r="A447" s="7"/>
      <c r="B447" s="8"/>
      <c r="C447" s="8"/>
      <c r="D447" s="8"/>
      <c r="E447" s="8"/>
      <c r="F447" s="8"/>
      <c r="G447" s="8"/>
      <c r="H447" s="8"/>
      <c r="I447" s="8"/>
      <c r="J447" s="8"/>
      <c r="K447" s="8"/>
      <c r="L447" s="9"/>
    </row>
    <row r="448" ht="13.5" thickBot="1"/>
    <row r="449" spans="1:12" ht="12.75">
      <c r="A449" s="1"/>
      <c r="B449" s="2"/>
      <c r="C449" s="2"/>
      <c r="D449" s="2"/>
      <c r="E449" s="2"/>
      <c r="F449" s="2"/>
      <c r="G449" s="2"/>
      <c r="H449" s="2"/>
      <c r="I449" s="2"/>
      <c r="J449" s="2"/>
      <c r="K449" s="2"/>
      <c r="L449" s="3"/>
    </row>
    <row r="450" spans="1:12" ht="12.75">
      <c r="A450" s="10" t="s">
        <v>429</v>
      </c>
      <c r="B450" s="5"/>
      <c r="C450" s="5"/>
      <c r="D450" s="5"/>
      <c r="E450" s="5"/>
      <c r="F450" s="5"/>
      <c r="G450" s="5"/>
      <c r="H450" s="5"/>
      <c r="I450" s="5"/>
      <c r="J450" s="5"/>
      <c r="K450" s="5"/>
      <c r="L450" s="6"/>
    </row>
    <row r="451" spans="1:12" ht="12.75">
      <c r="A451" s="4"/>
      <c r="B451" s="5"/>
      <c r="C451" s="5"/>
      <c r="D451" s="5"/>
      <c r="E451" s="5"/>
      <c r="F451" s="5"/>
      <c r="G451" s="5"/>
      <c r="H451" s="5"/>
      <c r="I451" s="5"/>
      <c r="J451" s="5"/>
      <c r="K451" s="5"/>
      <c r="L451" s="6"/>
    </row>
    <row r="452" spans="1:12" ht="12.75">
      <c r="A452" s="4" t="s">
        <v>1194</v>
      </c>
      <c r="B452" s="5" t="s">
        <v>317</v>
      </c>
      <c r="C452" s="5"/>
      <c r="D452" s="5"/>
      <c r="E452" s="5"/>
      <c r="F452" s="5"/>
      <c r="G452" s="5"/>
      <c r="H452" s="5"/>
      <c r="I452" s="5"/>
      <c r="J452" s="5"/>
      <c r="K452" s="5"/>
      <c r="L452" s="6"/>
    </row>
    <row r="453" spans="1:12" ht="12.75">
      <c r="A453" s="4"/>
      <c r="B453" s="5"/>
      <c r="C453" s="5"/>
      <c r="D453" s="5"/>
      <c r="E453" s="5"/>
      <c r="F453" s="5"/>
      <c r="G453" s="5"/>
      <c r="H453" s="5"/>
      <c r="I453" s="5"/>
      <c r="J453" s="5"/>
      <c r="K453" s="5"/>
      <c r="L453" s="6"/>
    </row>
    <row r="454" spans="1:12" ht="12.75">
      <c r="A454" s="4"/>
      <c r="B454" s="22" t="s">
        <v>231</v>
      </c>
      <c r="C454" s="5" t="str">
        <f>Photo_Setup!J205</f>
        <v>i_SX_p5 = </v>
      </c>
      <c r="D454" s="152">
        <f>Photo_Setup!K205</f>
        <v>-0.10874401686022218</v>
      </c>
      <c r="E454" s="190" t="s">
        <v>232</v>
      </c>
      <c r="F454" s="148"/>
      <c r="G454" s="26" t="s">
        <v>1111</v>
      </c>
      <c r="H454" s="5" t="s">
        <v>234</v>
      </c>
      <c r="I454" s="5" t="str">
        <f>C454</f>
        <v>i_SX_p5 = </v>
      </c>
      <c r="J454" s="152">
        <f>-D454</f>
        <v>0.10874401686022218</v>
      </c>
      <c r="K454" s="5"/>
      <c r="L454" s="6"/>
    </row>
    <row r="455" spans="1:12" ht="12.75">
      <c r="A455" s="4"/>
      <c r="B455" s="5"/>
      <c r="C455" s="5" t="str">
        <f>Photo_Setup!J206</f>
        <v>j_SY_p5 = </v>
      </c>
      <c r="D455" s="152">
        <f>Photo_Setup!K206</f>
        <v>0.07469186205270735</v>
      </c>
      <c r="E455" s="5"/>
      <c r="F455" s="5"/>
      <c r="G455" s="26" t="s">
        <v>1209</v>
      </c>
      <c r="H455" s="5" t="s">
        <v>234</v>
      </c>
      <c r="I455" s="5" t="str">
        <f>C455</f>
        <v>j_SY_p5 = </v>
      </c>
      <c r="J455" s="152">
        <f>-D455</f>
        <v>-0.07469186205270735</v>
      </c>
      <c r="K455" s="5"/>
      <c r="L455" s="6"/>
    </row>
    <row r="456" spans="1:12" ht="12.75">
      <c r="A456" s="4"/>
      <c r="B456" s="5"/>
      <c r="C456" s="5" t="str">
        <f>Photo_Setup!J207</f>
        <v>k_SZ_p5 = </v>
      </c>
      <c r="D456" s="152">
        <f>Photo_Setup!K207</f>
        <v>0.9912597361641413</v>
      </c>
      <c r="E456" s="5"/>
      <c r="F456" s="5"/>
      <c r="G456" s="26" t="s">
        <v>1210</v>
      </c>
      <c r="H456" s="5" t="s">
        <v>234</v>
      </c>
      <c r="I456" s="5" t="str">
        <f>C456</f>
        <v>k_SZ_p5 = </v>
      </c>
      <c r="J456" s="152">
        <f>-D456</f>
        <v>-0.9912597361641413</v>
      </c>
      <c r="K456" s="5"/>
      <c r="L456" s="6"/>
    </row>
    <row r="457" spans="1:12" ht="12.75">
      <c r="A457" s="4"/>
      <c r="B457" s="5"/>
      <c r="C457" s="5"/>
      <c r="D457" s="5"/>
      <c r="E457" s="5"/>
      <c r="F457" s="5"/>
      <c r="G457" s="5"/>
      <c r="H457" s="5"/>
      <c r="I457" s="5"/>
      <c r="J457" s="5"/>
      <c r="K457" s="5"/>
      <c r="L457" s="6"/>
    </row>
    <row r="458" spans="1:12" ht="12.75">
      <c r="A458" s="4" t="s">
        <v>237</v>
      </c>
      <c r="B458" s="5" t="s">
        <v>238</v>
      </c>
      <c r="C458" s="5"/>
      <c r="D458" s="5"/>
      <c r="E458" s="5"/>
      <c r="F458" s="5"/>
      <c r="G458" s="5"/>
      <c r="H458" s="5"/>
      <c r="I458" s="5"/>
      <c r="J458" s="5"/>
      <c r="K458" s="5"/>
      <c r="L458" s="6"/>
    </row>
    <row r="459" spans="1:12" ht="12.75">
      <c r="A459" s="4"/>
      <c r="B459" s="5"/>
      <c r="C459" s="70"/>
      <c r="D459" s="46"/>
      <c r="E459" s="70" t="s">
        <v>127</v>
      </c>
      <c r="F459" s="72">
        <f>$I$207*J454+$I$208*J455+$I$209*J456</f>
        <v>0.9912597361641413</v>
      </c>
      <c r="G459" s="52"/>
      <c r="H459" s="5"/>
      <c r="I459" s="5"/>
      <c r="J459" s="5"/>
      <c r="K459" s="5"/>
      <c r="L459" s="6"/>
    </row>
    <row r="460" spans="1:12" ht="12.75">
      <c r="A460" s="4"/>
      <c r="B460" s="5"/>
      <c r="C460" s="46"/>
      <c r="D460" s="46"/>
      <c r="E460" s="70" t="s">
        <v>128</v>
      </c>
      <c r="F460" s="72">
        <f>$I$211</f>
        <v>1</v>
      </c>
      <c r="G460" s="52"/>
      <c r="H460" s="5"/>
      <c r="I460" s="5"/>
      <c r="J460" s="5"/>
      <c r="K460" s="5"/>
      <c r="L460" s="6"/>
    </row>
    <row r="461" spans="1:12" ht="12.75">
      <c r="A461" s="4"/>
      <c r="B461" s="5"/>
      <c r="C461" s="46"/>
      <c r="D461" s="46"/>
      <c r="E461" s="70" t="s">
        <v>129</v>
      </c>
      <c r="F461" s="72">
        <f>SQRT(J454^2+J455^2+J456^2)</f>
        <v>1</v>
      </c>
      <c r="G461" s="52"/>
      <c r="H461" s="5"/>
      <c r="I461" s="5"/>
      <c r="J461" s="5"/>
      <c r="K461" s="5"/>
      <c r="L461" s="6"/>
    </row>
    <row r="462" spans="1:12" ht="12.75">
      <c r="A462" s="4"/>
      <c r="B462" s="5"/>
      <c r="C462" s="85" t="s">
        <v>866</v>
      </c>
      <c r="D462" s="5"/>
      <c r="E462" s="70"/>
      <c r="F462" s="72">
        <f>F459/(F460*F461)</f>
        <v>0.9912597361641413</v>
      </c>
      <c r="G462" s="5"/>
      <c r="H462" s="5"/>
      <c r="I462" s="5"/>
      <c r="J462" s="5"/>
      <c r="K462" s="5"/>
      <c r="L462" s="6"/>
    </row>
    <row r="463" spans="1:12" ht="13.5" thickBot="1">
      <c r="A463" s="4"/>
      <c r="B463" s="5"/>
      <c r="C463" s="46"/>
      <c r="D463" s="46"/>
      <c r="E463" s="46"/>
      <c r="F463" s="26"/>
      <c r="G463" s="52"/>
      <c r="H463" s="5"/>
      <c r="I463" s="88" t="s">
        <v>1044</v>
      </c>
      <c r="J463" s="115"/>
      <c r="K463" s="115"/>
      <c r="L463" s="192"/>
    </row>
    <row r="464" spans="1:12" ht="16.5" thickBot="1">
      <c r="A464" s="4"/>
      <c r="B464" s="5"/>
      <c r="C464" s="16" t="s">
        <v>239</v>
      </c>
      <c r="D464" s="72">
        <f>IF((F460*F461)=0,0,ACOS(F462))</f>
        <v>0.13231043518810548</v>
      </c>
      <c r="E464" s="52" t="s">
        <v>1483</v>
      </c>
      <c r="F464" s="73">
        <f>DEGREES(D464)</f>
        <v>7.580829521817661</v>
      </c>
      <c r="G464" s="46" t="s">
        <v>1233</v>
      </c>
      <c r="H464" s="5"/>
      <c r="I464" s="86" t="str">
        <f>IF((F460*F461)&lt;&gt;1,"Vector A or B Not a Unit Vector","None")</f>
        <v>None</v>
      </c>
      <c r="J464" s="116"/>
      <c r="K464" s="116"/>
      <c r="L464" s="87"/>
    </row>
    <row r="465" spans="1:12" ht="12.75">
      <c r="A465" s="4"/>
      <c r="B465" s="5"/>
      <c r="C465" s="5"/>
      <c r="D465" s="5"/>
      <c r="E465" s="5"/>
      <c r="F465" s="5"/>
      <c r="G465" s="5"/>
      <c r="H465" s="5"/>
      <c r="I465" s="5"/>
      <c r="J465" s="5"/>
      <c r="K465" s="5"/>
      <c r="L465" s="6"/>
    </row>
    <row r="466" spans="1:12" ht="12.75">
      <c r="A466" s="4" t="s">
        <v>534</v>
      </c>
      <c r="B466" s="5" t="s">
        <v>1197</v>
      </c>
      <c r="C466" s="5"/>
      <c r="D466" s="5"/>
      <c r="E466" s="5"/>
      <c r="F466" s="5"/>
      <c r="G466" s="5"/>
      <c r="H466" s="5"/>
      <c r="I466" s="5"/>
      <c r="J466" s="5"/>
      <c r="K466" s="5"/>
      <c r="L466" s="6"/>
    </row>
    <row r="467" spans="1:12" ht="12.75">
      <c r="A467" s="4"/>
      <c r="B467" s="5"/>
      <c r="C467" s="5"/>
      <c r="D467" s="5"/>
      <c r="E467" s="5"/>
      <c r="F467" s="5"/>
      <c r="G467" s="5"/>
      <c r="H467" s="5"/>
      <c r="I467" s="5"/>
      <c r="J467" s="5"/>
      <c r="K467" s="5"/>
      <c r="L467" s="6"/>
    </row>
    <row r="468" spans="1:12" ht="12.75">
      <c r="A468" s="4"/>
      <c r="B468" s="5"/>
      <c r="C468" s="52" t="s">
        <v>1508</v>
      </c>
      <c r="E468" s="5"/>
      <c r="G468" s="68">
        <f>SIN(D464)*$H$204/$I$89</f>
        <v>0.13806129534553424</v>
      </c>
      <c r="I468" s="5"/>
      <c r="J468" s="5"/>
      <c r="K468" s="5"/>
      <c r="L468" s="6"/>
    </row>
    <row r="469" spans="1:12" ht="13.5" thickBot="1">
      <c r="A469" s="4"/>
      <c r="B469" s="5"/>
      <c r="C469" s="5"/>
      <c r="D469" s="5"/>
      <c r="E469" s="5"/>
      <c r="G469" s="5"/>
      <c r="H469" s="5"/>
      <c r="I469" s="241" t="s">
        <v>250</v>
      </c>
      <c r="J469" s="242"/>
      <c r="K469" s="242"/>
      <c r="L469" s="243"/>
    </row>
    <row r="470" spans="1:12" ht="13.5" thickBot="1">
      <c r="A470" s="4"/>
      <c r="B470" s="5"/>
      <c r="C470" s="147" t="s">
        <v>1198</v>
      </c>
      <c r="D470" s="68">
        <f>IF(G468&lt;=1,ASIN(G468),"")</f>
        <v>0.13850369652271202</v>
      </c>
      <c r="E470" s="52" t="s">
        <v>1483</v>
      </c>
      <c r="F470" s="68">
        <f>IF(D470="","",DEGREES(D470))</f>
        <v>7.935677257712175</v>
      </c>
      <c r="G470" s="5" t="s">
        <v>1233</v>
      </c>
      <c r="H470" s="5"/>
      <c r="I470" s="244" t="str">
        <f>IF(G468&lt;=1,"None","Asin(Zeta)&gt;1 - Vector Does not Intersect Earth")</f>
        <v>None</v>
      </c>
      <c r="J470" s="245"/>
      <c r="K470" s="245"/>
      <c r="L470" s="246"/>
    </row>
    <row r="471" spans="1:12" ht="12.75">
      <c r="A471" s="4"/>
      <c r="B471" s="5"/>
      <c r="C471" s="5"/>
      <c r="D471" s="5"/>
      <c r="E471" s="5"/>
      <c r="F471" s="5"/>
      <c r="G471" s="5"/>
      <c r="H471" s="5"/>
      <c r="I471" s="5"/>
      <c r="J471" s="5"/>
      <c r="K471" s="5"/>
      <c r="L471" s="6"/>
    </row>
    <row r="472" spans="1:12" ht="12.75">
      <c r="A472" s="4"/>
      <c r="B472" s="5"/>
      <c r="C472" s="5"/>
      <c r="D472" s="5" t="s">
        <v>1384</v>
      </c>
      <c r="E472" s="5"/>
      <c r="F472" s="5"/>
      <c r="G472" s="5"/>
      <c r="H472" s="5"/>
      <c r="I472" s="5"/>
      <c r="J472" s="5"/>
      <c r="K472" s="5"/>
      <c r="L472" s="6"/>
    </row>
    <row r="473" spans="1:12" ht="12.75">
      <c r="A473" s="4"/>
      <c r="B473" s="5"/>
      <c r="C473" s="5"/>
      <c r="D473" s="5" t="s">
        <v>1060</v>
      </c>
      <c r="E473" s="5"/>
      <c r="F473" s="5"/>
      <c r="G473" s="5"/>
      <c r="H473" s="5"/>
      <c r="I473" s="5"/>
      <c r="J473" s="5"/>
      <c r="K473" s="5"/>
      <c r="L473" s="6"/>
    </row>
    <row r="474" spans="1:12" ht="12.75">
      <c r="A474" s="4"/>
      <c r="B474" s="5"/>
      <c r="C474" s="5"/>
      <c r="D474" s="5"/>
      <c r="E474" s="5"/>
      <c r="F474" s="5"/>
      <c r="G474" s="5"/>
      <c r="H474" s="5"/>
      <c r="I474" s="5"/>
      <c r="J474" s="5"/>
      <c r="K474" s="5"/>
      <c r="L474" s="6"/>
    </row>
    <row r="475" spans="1:12" ht="12.75">
      <c r="A475" s="4"/>
      <c r="B475" s="5"/>
      <c r="C475" s="22" t="s">
        <v>1061</v>
      </c>
      <c r="D475" s="68">
        <f>IF(G468&gt;1,"",IF(D470&lt;(PI()/2),PI()-D470,D470))</f>
        <v>3.003088957067081</v>
      </c>
      <c r="E475" s="5" t="s">
        <v>599</v>
      </c>
      <c r="F475" s="68">
        <f>IF(D475="","",DEGREES(D475))</f>
        <v>172.06432274228783</v>
      </c>
      <c r="G475" s="5" t="s">
        <v>1233</v>
      </c>
      <c r="H475" s="5"/>
      <c r="I475" s="5"/>
      <c r="J475" s="5"/>
      <c r="K475" s="5"/>
      <c r="L475" s="6"/>
    </row>
    <row r="476" spans="1:12" ht="12.75">
      <c r="A476" s="4"/>
      <c r="B476" s="5"/>
      <c r="C476" s="5"/>
      <c r="D476" s="5"/>
      <c r="E476" s="5"/>
      <c r="F476" s="5"/>
      <c r="G476" s="5"/>
      <c r="H476" s="5"/>
      <c r="I476" s="5"/>
      <c r="J476" s="5"/>
      <c r="K476" s="5"/>
      <c r="L476" s="6"/>
    </row>
    <row r="477" spans="1:12" ht="12.75">
      <c r="A477" s="4" t="s">
        <v>600</v>
      </c>
      <c r="B477" s="5" t="s">
        <v>1599</v>
      </c>
      <c r="C477" s="5"/>
      <c r="D477" s="5"/>
      <c r="E477" s="5"/>
      <c r="F477" s="5"/>
      <c r="G477" s="5"/>
      <c r="H477" s="5"/>
      <c r="I477" s="5"/>
      <c r="J477" s="5"/>
      <c r="K477" s="5"/>
      <c r="L477" s="6"/>
    </row>
    <row r="478" spans="1:12" ht="13.5" thickBot="1">
      <c r="A478" s="4"/>
      <c r="B478" s="5"/>
      <c r="C478" s="5"/>
      <c r="D478" s="5"/>
      <c r="E478" s="5"/>
      <c r="F478" s="5"/>
      <c r="G478" s="5"/>
      <c r="H478" s="5"/>
      <c r="I478" s="88" t="s">
        <v>1091</v>
      </c>
      <c r="J478" s="115"/>
      <c r="K478" s="115"/>
      <c r="L478" s="192"/>
    </row>
    <row r="479" spans="1:12" ht="13.5" thickBot="1">
      <c r="A479" s="4"/>
      <c r="B479" s="22" t="s">
        <v>1781</v>
      </c>
      <c r="C479" s="5"/>
      <c r="D479" s="68">
        <f>IF(G468&gt;1,"",PI()-D464-D475)</f>
        <v>0.006193261334606515</v>
      </c>
      <c r="E479" s="5" t="s">
        <v>599</v>
      </c>
      <c r="F479" s="68">
        <f>IF(D479="","",DEGREES(D479))</f>
        <v>0.35484773589451285</v>
      </c>
      <c r="G479" s="5" t="s">
        <v>1233</v>
      </c>
      <c r="H479" s="5"/>
      <c r="I479" s="86" t="str">
        <f>IF(G468&gt;1,"None",IF(F479&lt;0,"Remaining Angle Less then Zero","None"))</f>
        <v>None</v>
      </c>
      <c r="J479" s="116"/>
      <c r="K479" s="116"/>
      <c r="L479" s="87"/>
    </row>
    <row r="480" spans="1:12" ht="12.75">
      <c r="A480" s="4"/>
      <c r="B480" s="5"/>
      <c r="C480" s="5"/>
      <c r="D480" s="5"/>
      <c r="E480" s="5"/>
      <c r="F480" s="5"/>
      <c r="G480" s="5"/>
      <c r="H480" s="5"/>
      <c r="I480" s="5"/>
      <c r="J480" s="5"/>
      <c r="K480" s="5"/>
      <c r="L480" s="6"/>
    </row>
    <row r="481" spans="1:12" ht="12.75">
      <c r="A481" s="4" t="s">
        <v>1782</v>
      </c>
      <c r="B481" s="5" t="s">
        <v>516</v>
      </c>
      <c r="C481" s="5"/>
      <c r="D481" s="5"/>
      <c r="E481" s="5"/>
      <c r="F481" s="5"/>
      <c r="G481" s="5"/>
      <c r="H481" s="5"/>
      <c r="I481" s="5"/>
      <c r="J481" s="5"/>
      <c r="K481" s="5"/>
      <c r="L481" s="6"/>
    </row>
    <row r="482" spans="1:12" ht="13.5" thickBot="1">
      <c r="A482" s="4"/>
      <c r="B482" s="5"/>
      <c r="C482" s="5"/>
      <c r="D482" s="5"/>
      <c r="E482" s="5"/>
      <c r="F482" s="5"/>
      <c r="G482" s="5"/>
      <c r="H482" s="5"/>
      <c r="I482" s="88" t="s">
        <v>1075</v>
      </c>
      <c r="J482" s="115"/>
      <c r="K482" s="115"/>
      <c r="L482" s="192"/>
    </row>
    <row r="483" spans="1:12" ht="13.5" thickBot="1">
      <c r="A483" s="4"/>
      <c r="B483" s="5"/>
      <c r="C483" s="22" t="s">
        <v>772</v>
      </c>
      <c r="D483" s="5"/>
      <c r="E483" s="5"/>
      <c r="F483" s="189">
        <f>IF(G468&gt;1,"",SQRT($H$204^2+$I$89^2-(2*$H$204*$I$89*COS(D479))))</f>
        <v>299055.999738056</v>
      </c>
      <c r="G483" s="5" t="s">
        <v>167</v>
      </c>
      <c r="H483" s="5"/>
      <c r="I483" s="86" t="str">
        <f>IF(G468&gt;1,"None",IF(($H$204^2+$I$89^2-(2*$H$204*$I$89*COS(D478)))&lt;0,"Taking Square Root of Negative Number","None"))</f>
        <v>None</v>
      </c>
      <c r="J483" s="116"/>
      <c r="K483" s="116"/>
      <c r="L483" s="87"/>
    </row>
    <row r="484" spans="1:12" ht="12.75">
      <c r="A484" s="4"/>
      <c r="B484" s="5"/>
      <c r="C484" s="5"/>
      <c r="D484" s="5"/>
      <c r="E484" s="5"/>
      <c r="F484" s="5"/>
      <c r="G484" s="5"/>
      <c r="H484" s="5"/>
      <c r="I484" s="5"/>
      <c r="J484" s="5"/>
      <c r="K484" s="5"/>
      <c r="L484" s="6"/>
    </row>
    <row r="485" spans="1:12" ht="12.75">
      <c r="A485" s="4" t="s">
        <v>773</v>
      </c>
      <c r="B485" s="5" t="s">
        <v>1520</v>
      </c>
      <c r="C485" s="5"/>
      <c r="D485" s="5"/>
      <c r="E485" s="5"/>
      <c r="F485" s="5"/>
      <c r="G485" s="5"/>
      <c r="H485" s="5"/>
      <c r="I485" s="5"/>
      <c r="J485" s="5"/>
      <c r="K485" s="5"/>
      <c r="L485" s="6"/>
    </row>
    <row r="486" spans="1:12" ht="12.75">
      <c r="A486" s="4"/>
      <c r="B486" s="5"/>
      <c r="C486" s="5"/>
      <c r="D486" s="5"/>
      <c r="E486" s="5"/>
      <c r="F486" s="5"/>
      <c r="G486" s="5"/>
      <c r="H486" s="5"/>
      <c r="I486" s="5"/>
      <c r="J486" s="5"/>
      <c r="K486" s="5"/>
      <c r="L486" s="6"/>
    </row>
    <row r="487" spans="1:12" ht="12.75">
      <c r="A487" s="4"/>
      <c r="B487" s="5"/>
      <c r="C487" s="5" t="s">
        <v>1076</v>
      </c>
      <c r="D487" s="5" t="s">
        <v>1432</v>
      </c>
      <c r="E487" s="5"/>
      <c r="F487" s="5"/>
      <c r="G487" s="5"/>
      <c r="H487" s="5"/>
      <c r="I487" s="189">
        <f>IF(G468&gt;1,"",F483*J454)</f>
        <v>32520.55067766576</v>
      </c>
      <c r="J487" s="5" t="s">
        <v>167</v>
      </c>
      <c r="K487" s="5"/>
      <c r="L487" s="6"/>
    </row>
    <row r="488" spans="1:12" ht="12.75">
      <c r="A488" s="4"/>
      <c r="B488" s="5"/>
      <c r="C488" s="5" t="s">
        <v>1077</v>
      </c>
      <c r="D488" s="5" t="s">
        <v>1434</v>
      </c>
      <c r="E488" s="5"/>
      <c r="F488" s="5"/>
      <c r="G488" s="5"/>
      <c r="H488" s="5"/>
      <c r="I488" s="189">
        <f>IF(G468&gt;1,"",F483*J455)</f>
        <v>-22337.049478469362</v>
      </c>
      <c r="J488" s="5" t="s">
        <v>167</v>
      </c>
      <c r="K488" s="5"/>
      <c r="L488" s="6"/>
    </row>
    <row r="489" spans="1:12" ht="12.75">
      <c r="A489" s="4"/>
      <c r="B489" s="5"/>
      <c r="C489" s="5" t="s">
        <v>1078</v>
      </c>
      <c r="D489" s="5" t="s">
        <v>284</v>
      </c>
      <c r="E489" s="5"/>
      <c r="F489" s="5"/>
      <c r="G489" s="5"/>
      <c r="H489" s="5"/>
      <c r="I489" s="189">
        <f>IF(G468&gt;1,"",F483*J456)</f>
        <v>-296442.1713986489</v>
      </c>
      <c r="J489" s="5" t="s">
        <v>167</v>
      </c>
      <c r="K489" s="5"/>
      <c r="L489" s="6"/>
    </row>
    <row r="490" spans="1:12" ht="12.75">
      <c r="A490" s="4"/>
      <c r="B490" s="5"/>
      <c r="C490" s="5"/>
      <c r="D490" s="5"/>
      <c r="E490" s="5"/>
      <c r="F490" s="5"/>
      <c r="G490" s="5"/>
      <c r="H490" s="5"/>
      <c r="I490" s="5"/>
      <c r="J490" s="5"/>
      <c r="K490" s="5"/>
      <c r="L490" s="6"/>
    </row>
    <row r="491" spans="1:12" ht="13.5" thickBot="1">
      <c r="A491" s="7"/>
      <c r="B491" s="8"/>
      <c r="C491" s="8"/>
      <c r="D491" s="8"/>
      <c r="E491" s="8"/>
      <c r="F491" s="8"/>
      <c r="G491" s="8"/>
      <c r="H491" s="8"/>
      <c r="I491" s="8"/>
      <c r="J491" s="8"/>
      <c r="K491" s="8"/>
      <c r="L491" s="9"/>
    </row>
    <row r="492" ht="13.5" thickBot="1"/>
    <row r="493" spans="1:12" ht="12.75">
      <c r="A493" s="1"/>
      <c r="B493" s="2"/>
      <c r="C493" s="2"/>
      <c r="D493" s="2"/>
      <c r="E493" s="2"/>
      <c r="F493" s="2"/>
      <c r="G493" s="2"/>
      <c r="H493" s="2"/>
      <c r="I493" s="2"/>
      <c r="J493" s="2"/>
      <c r="K493" s="2"/>
      <c r="L493" s="3"/>
    </row>
    <row r="494" spans="1:12" ht="12.75">
      <c r="A494" s="10" t="s">
        <v>1089</v>
      </c>
      <c r="B494" s="5"/>
      <c r="C494" s="5"/>
      <c r="D494" s="5"/>
      <c r="E494" s="5"/>
      <c r="F494" s="5"/>
      <c r="G494" s="5"/>
      <c r="H494" s="5"/>
      <c r="I494" s="5"/>
      <c r="J494" s="5"/>
      <c r="K494" s="5"/>
      <c r="L494" s="6"/>
    </row>
    <row r="495" spans="1:12" ht="12.75">
      <c r="A495" s="4"/>
      <c r="B495" s="5"/>
      <c r="C495" s="5"/>
      <c r="D495" s="5"/>
      <c r="E495" s="5"/>
      <c r="F495" s="5"/>
      <c r="G495" s="5"/>
      <c r="H495" s="5"/>
      <c r="I495" s="5"/>
      <c r="J495" s="5"/>
      <c r="K495" s="5"/>
      <c r="L495" s="6"/>
    </row>
    <row r="496" spans="1:12" ht="12.75">
      <c r="A496" s="4" t="s">
        <v>1194</v>
      </c>
      <c r="B496" s="5" t="s">
        <v>317</v>
      </c>
      <c r="C496" s="5"/>
      <c r="D496" s="5"/>
      <c r="E496" s="5"/>
      <c r="F496" s="5"/>
      <c r="G496" s="5"/>
      <c r="H496" s="5"/>
      <c r="I496" s="5"/>
      <c r="J496" s="5"/>
      <c r="K496" s="5"/>
      <c r="L496" s="6"/>
    </row>
    <row r="497" spans="1:12" ht="12.75">
      <c r="A497" s="4"/>
      <c r="B497" s="5"/>
      <c r="C497" s="5"/>
      <c r="D497" s="5"/>
      <c r="E497" s="5"/>
      <c r="F497" s="5"/>
      <c r="G497" s="5"/>
      <c r="H497" s="5"/>
      <c r="I497" s="5"/>
      <c r="J497" s="5"/>
      <c r="K497" s="5"/>
      <c r="L497" s="6"/>
    </row>
    <row r="498" spans="1:12" ht="12.75">
      <c r="A498" s="4"/>
      <c r="B498" s="22" t="s">
        <v>231</v>
      </c>
      <c r="C498" s="5" t="str">
        <f>Photo_Setup!J213</f>
        <v>i_SX_p6 = </v>
      </c>
      <c r="D498" s="187">
        <f>Photo_Setup!K213</f>
        <v>-0.3823955863550293</v>
      </c>
      <c r="E498" s="190" t="s">
        <v>232</v>
      </c>
      <c r="F498" s="148"/>
      <c r="G498" s="26" t="s">
        <v>1211</v>
      </c>
      <c r="H498" s="5" t="s">
        <v>234</v>
      </c>
      <c r="I498" s="5" t="str">
        <f>C498</f>
        <v>i_SX_p6 = </v>
      </c>
      <c r="J498" s="187">
        <f>-D498</f>
        <v>0.3823955863550293</v>
      </c>
      <c r="K498" s="5"/>
      <c r="L498" s="6"/>
    </row>
    <row r="499" spans="1:12" ht="12.75">
      <c r="A499" s="4"/>
      <c r="B499" s="5"/>
      <c r="C499" s="5" t="str">
        <f>Photo_Setup!J214</f>
        <v>j_SY_p6 = </v>
      </c>
      <c r="D499" s="187">
        <f>Photo_Setup!K214</f>
        <v>-0.2857321405066054</v>
      </c>
      <c r="E499" s="5"/>
      <c r="F499" s="5"/>
      <c r="G499" s="26" t="s">
        <v>1298</v>
      </c>
      <c r="H499" s="5" t="s">
        <v>234</v>
      </c>
      <c r="I499" s="5" t="str">
        <f>C499</f>
        <v>j_SY_p6 = </v>
      </c>
      <c r="J499" s="187">
        <f>-D499</f>
        <v>0.2857321405066054</v>
      </c>
      <c r="K499" s="5"/>
      <c r="L499" s="6"/>
    </row>
    <row r="500" spans="1:12" ht="12.75">
      <c r="A500" s="4"/>
      <c r="B500" s="5"/>
      <c r="C500" s="5" t="str">
        <f>Photo_Setup!J215</f>
        <v>k_SZ_p6 = </v>
      </c>
      <c r="D500" s="187">
        <f>Photo_Setup!K215</f>
        <v>0.8787097128276818</v>
      </c>
      <c r="E500" s="5"/>
      <c r="F500" s="5"/>
      <c r="G500" s="26" t="s">
        <v>1299</v>
      </c>
      <c r="H500" s="5" t="s">
        <v>234</v>
      </c>
      <c r="I500" s="5" t="str">
        <f>C500</f>
        <v>k_SZ_p6 = </v>
      </c>
      <c r="J500" s="187">
        <f>-D500</f>
        <v>-0.8787097128276818</v>
      </c>
      <c r="K500" s="5"/>
      <c r="L500" s="6"/>
    </row>
    <row r="501" spans="1:12" ht="12.75">
      <c r="A501" s="4"/>
      <c r="B501" s="5"/>
      <c r="C501" s="5"/>
      <c r="D501" s="5"/>
      <c r="E501" s="5"/>
      <c r="F501" s="5"/>
      <c r="G501" s="5"/>
      <c r="H501" s="5"/>
      <c r="I501" s="5"/>
      <c r="J501" s="5"/>
      <c r="K501" s="5"/>
      <c r="L501" s="6"/>
    </row>
    <row r="502" spans="1:12" ht="12.75">
      <c r="A502" s="4" t="s">
        <v>237</v>
      </c>
      <c r="B502" s="5" t="s">
        <v>238</v>
      </c>
      <c r="C502" s="5"/>
      <c r="D502" s="5"/>
      <c r="E502" s="5"/>
      <c r="F502" s="5"/>
      <c r="G502" s="5"/>
      <c r="H502" s="5"/>
      <c r="I502" s="5"/>
      <c r="J502" s="5"/>
      <c r="K502" s="5"/>
      <c r="L502" s="6"/>
    </row>
    <row r="503" spans="1:12" ht="12.75">
      <c r="A503" s="4"/>
      <c r="B503" s="5"/>
      <c r="C503" s="70"/>
      <c r="D503" s="46"/>
      <c r="E503" s="70" t="s">
        <v>127</v>
      </c>
      <c r="F503" s="72">
        <f>$I$207*J498+$I$208*J499+$I$209*J500</f>
        <v>0.8787097128276818</v>
      </c>
      <c r="G503" s="52"/>
      <c r="H503" s="5"/>
      <c r="I503" s="5"/>
      <c r="J503" s="5"/>
      <c r="K503" s="5"/>
      <c r="L503" s="6"/>
    </row>
    <row r="504" spans="1:12" ht="12.75">
      <c r="A504" s="4"/>
      <c r="B504" s="5"/>
      <c r="C504" s="46"/>
      <c r="D504" s="46"/>
      <c r="E504" s="70" t="s">
        <v>128</v>
      </c>
      <c r="F504" s="72">
        <f>$I$211</f>
        <v>1</v>
      </c>
      <c r="G504" s="52"/>
      <c r="H504" s="5"/>
      <c r="I504" s="5"/>
      <c r="J504" s="5"/>
      <c r="K504" s="5"/>
      <c r="L504" s="6"/>
    </row>
    <row r="505" spans="1:12" ht="12.75">
      <c r="A505" s="4"/>
      <c r="B505" s="5"/>
      <c r="C505" s="46"/>
      <c r="D505" s="46"/>
      <c r="E505" s="70" t="s">
        <v>129</v>
      </c>
      <c r="F505" s="72">
        <f>SQRT(J498^2+J499^2+J500^2)</f>
        <v>1</v>
      </c>
      <c r="G505" s="52"/>
      <c r="H505" s="5"/>
      <c r="I505" s="5"/>
      <c r="J505" s="5"/>
      <c r="K505" s="5"/>
      <c r="L505" s="6"/>
    </row>
    <row r="506" spans="1:12" ht="12.75">
      <c r="A506" s="4"/>
      <c r="B506" s="5"/>
      <c r="C506" s="85" t="s">
        <v>866</v>
      </c>
      <c r="D506" s="5"/>
      <c r="E506" s="70"/>
      <c r="F506" s="72">
        <f>F503/(F504*F505)</f>
        <v>0.8787097128276818</v>
      </c>
      <c r="G506" s="5"/>
      <c r="H506" s="5"/>
      <c r="I506" s="5"/>
      <c r="J506" s="5"/>
      <c r="K506" s="5"/>
      <c r="L506" s="6"/>
    </row>
    <row r="507" spans="1:12" ht="13.5" thickBot="1">
      <c r="A507" s="4"/>
      <c r="B507" s="5"/>
      <c r="C507" s="46"/>
      <c r="D507" s="46"/>
      <c r="E507" s="46"/>
      <c r="F507" s="26"/>
      <c r="G507" s="52"/>
      <c r="H507" s="5"/>
      <c r="I507" s="88" t="s">
        <v>1090</v>
      </c>
      <c r="J507" s="115"/>
      <c r="K507" s="115"/>
      <c r="L507" s="192"/>
    </row>
    <row r="508" spans="1:12" ht="16.5" thickBot="1">
      <c r="A508" s="4"/>
      <c r="B508" s="5"/>
      <c r="C508" s="16" t="s">
        <v>239</v>
      </c>
      <c r="D508" s="72">
        <f>IF((F504*F505)=0,0,ACOS(F506))</f>
        <v>0.4976438721569054</v>
      </c>
      <c r="E508" s="52" t="s">
        <v>1483</v>
      </c>
      <c r="F508" s="73">
        <f>DEGREES(D508)</f>
        <v>28.51289357513858</v>
      </c>
      <c r="G508" s="46" t="s">
        <v>1233</v>
      </c>
      <c r="H508" s="5"/>
      <c r="I508" s="86" t="str">
        <f>IF((F504*F505)&lt;&gt;1,"Vector A or B Not a Unit Vector","None")</f>
        <v>None</v>
      </c>
      <c r="J508" s="116"/>
      <c r="K508" s="116"/>
      <c r="L508" s="87"/>
    </row>
    <row r="509" spans="1:12" ht="12.75">
      <c r="A509" s="4"/>
      <c r="B509" s="5"/>
      <c r="C509" s="5"/>
      <c r="D509" s="5"/>
      <c r="E509" s="5"/>
      <c r="F509" s="5"/>
      <c r="G509" s="5"/>
      <c r="H509" s="5"/>
      <c r="I509" s="5"/>
      <c r="J509" s="5"/>
      <c r="K509" s="5"/>
      <c r="L509" s="6"/>
    </row>
    <row r="510" spans="1:12" ht="12.75">
      <c r="A510" s="4" t="s">
        <v>534</v>
      </c>
      <c r="B510" s="5" t="s">
        <v>1197</v>
      </c>
      <c r="C510" s="5"/>
      <c r="D510" s="5"/>
      <c r="E510" s="5"/>
      <c r="F510" s="5"/>
      <c r="G510" s="5"/>
      <c r="H510" s="5"/>
      <c r="I510" s="5"/>
      <c r="J510" s="5"/>
      <c r="K510" s="5"/>
      <c r="L510" s="6"/>
    </row>
    <row r="511" spans="1:12" ht="12.75">
      <c r="A511" s="4"/>
      <c r="B511" s="5"/>
      <c r="C511" s="5"/>
      <c r="D511" s="5"/>
      <c r="E511" s="5"/>
      <c r="F511" s="5"/>
      <c r="G511" s="5"/>
      <c r="H511" s="5"/>
      <c r="I511" s="5"/>
      <c r="J511" s="5"/>
      <c r="K511" s="5"/>
      <c r="L511" s="6"/>
    </row>
    <row r="512" spans="1:12" ht="12.75">
      <c r="A512" s="4"/>
      <c r="B512" s="5"/>
      <c r="C512" s="52" t="s">
        <v>1508</v>
      </c>
      <c r="E512" s="5"/>
      <c r="G512" s="68">
        <f>SIN(D508)*$H$204/$I$89</f>
        <v>0.49956104897019654</v>
      </c>
      <c r="I512" s="5"/>
      <c r="J512" s="5"/>
      <c r="K512" s="5"/>
      <c r="L512" s="6"/>
    </row>
    <row r="513" spans="1:12" ht="13.5" thickBot="1">
      <c r="A513" s="4"/>
      <c r="B513" s="5"/>
      <c r="C513" s="5"/>
      <c r="D513" s="5"/>
      <c r="E513" s="5"/>
      <c r="G513" s="5"/>
      <c r="H513" s="5"/>
      <c r="I513" s="241" t="s">
        <v>250</v>
      </c>
      <c r="J513" s="242"/>
      <c r="K513" s="242"/>
      <c r="L513" s="243"/>
    </row>
    <row r="514" spans="1:12" ht="13.5" thickBot="1">
      <c r="A514" s="4"/>
      <c r="B514" s="5"/>
      <c r="C514" s="147" t="s">
        <v>1198</v>
      </c>
      <c r="D514" s="68">
        <f>IF(G512&lt;=1,ASIN(G512),"")</f>
        <v>0.5230919927262797</v>
      </c>
      <c r="E514" s="52" t="s">
        <v>1483</v>
      </c>
      <c r="F514" s="68">
        <f>IF(D514="","",DEGREES(D514))</f>
        <v>29.970963480303784</v>
      </c>
      <c r="G514" s="5" t="s">
        <v>1233</v>
      </c>
      <c r="H514" s="5"/>
      <c r="I514" s="244" t="str">
        <f>IF(G512&lt;=1,"None","Asin(Zeta)&gt;1 - Vector Does not Intersect Earth")</f>
        <v>None</v>
      </c>
      <c r="J514" s="245"/>
      <c r="K514" s="245"/>
      <c r="L514" s="246"/>
    </row>
    <row r="515" spans="1:12" ht="12.75">
      <c r="A515" s="4"/>
      <c r="B515" s="5"/>
      <c r="C515" s="5"/>
      <c r="D515" s="5"/>
      <c r="E515" s="5"/>
      <c r="F515" s="5"/>
      <c r="G515" s="5"/>
      <c r="H515" s="5"/>
      <c r="I515" s="5"/>
      <c r="J515" s="5"/>
      <c r="K515" s="5"/>
      <c r="L515" s="6"/>
    </row>
    <row r="516" spans="1:12" ht="12.75">
      <c r="A516" s="4"/>
      <c r="B516" s="5"/>
      <c r="C516" s="5"/>
      <c r="D516" s="5" t="s">
        <v>1384</v>
      </c>
      <c r="E516" s="5"/>
      <c r="F516" s="5"/>
      <c r="G516" s="5"/>
      <c r="H516" s="5"/>
      <c r="I516" s="5"/>
      <c r="J516" s="5"/>
      <c r="K516" s="5"/>
      <c r="L516" s="6"/>
    </row>
    <row r="517" spans="1:12" ht="12.75">
      <c r="A517" s="4"/>
      <c r="B517" s="5"/>
      <c r="C517" s="5"/>
      <c r="D517" s="5" t="s">
        <v>1060</v>
      </c>
      <c r="E517" s="5"/>
      <c r="F517" s="5"/>
      <c r="G517" s="5"/>
      <c r="H517" s="5"/>
      <c r="I517" s="5"/>
      <c r="J517" s="5"/>
      <c r="K517" s="5"/>
      <c r="L517" s="6"/>
    </row>
    <row r="518" spans="1:12" ht="12.75">
      <c r="A518" s="4"/>
      <c r="B518" s="5"/>
      <c r="C518" s="5"/>
      <c r="D518" s="5"/>
      <c r="E518" s="5"/>
      <c r="F518" s="5"/>
      <c r="G518" s="5"/>
      <c r="H518" s="5"/>
      <c r="I518" s="5"/>
      <c r="J518" s="5"/>
      <c r="K518" s="5"/>
      <c r="L518" s="6"/>
    </row>
    <row r="519" spans="1:12" ht="12.75">
      <c r="A519" s="4"/>
      <c r="B519" s="5"/>
      <c r="C519" s="22" t="s">
        <v>1061</v>
      </c>
      <c r="D519" s="68">
        <f>IF(G512&gt;1,"",IF(D514&lt;(PI()/2),PI()-D514,D514))</f>
        <v>2.6185006608635133</v>
      </c>
      <c r="E519" s="5" t="s">
        <v>599</v>
      </c>
      <c r="F519" s="68">
        <f>IF(D519="","",DEGREES(D519))</f>
        <v>150.0290365196962</v>
      </c>
      <c r="G519" s="5" t="s">
        <v>1233</v>
      </c>
      <c r="H519" s="5"/>
      <c r="I519" s="5"/>
      <c r="J519" s="5"/>
      <c r="K519" s="5"/>
      <c r="L519" s="6"/>
    </row>
    <row r="520" spans="1:12" ht="12.75">
      <c r="A520" s="4"/>
      <c r="B520" s="5"/>
      <c r="C520" s="5"/>
      <c r="D520" s="5"/>
      <c r="E520" s="5"/>
      <c r="F520" s="5"/>
      <c r="G520" s="5"/>
      <c r="H520" s="5"/>
      <c r="I520" s="5"/>
      <c r="J520" s="5"/>
      <c r="K520" s="5"/>
      <c r="L520" s="6"/>
    </row>
    <row r="521" spans="1:12" ht="12.75">
      <c r="A521" s="4" t="s">
        <v>600</v>
      </c>
      <c r="B521" s="5" t="s">
        <v>1599</v>
      </c>
      <c r="C521" s="5"/>
      <c r="D521" s="5"/>
      <c r="E521" s="5"/>
      <c r="F521" s="5"/>
      <c r="G521" s="5"/>
      <c r="H521" s="5"/>
      <c r="I521" s="5"/>
      <c r="J521" s="5"/>
      <c r="K521" s="5"/>
      <c r="L521" s="6"/>
    </row>
    <row r="522" spans="1:12" ht="13.5" thickBot="1">
      <c r="A522" s="4"/>
      <c r="B522" s="5"/>
      <c r="C522" s="5"/>
      <c r="D522" s="5"/>
      <c r="E522" s="5"/>
      <c r="F522" s="5"/>
      <c r="G522" s="5"/>
      <c r="H522" s="5"/>
      <c r="I522" s="88" t="s">
        <v>1666</v>
      </c>
      <c r="J522" s="115"/>
      <c r="K522" s="115"/>
      <c r="L522" s="192"/>
    </row>
    <row r="523" spans="1:12" ht="13.5" thickBot="1">
      <c r="A523" s="4"/>
      <c r="B523" s="22" t="s">
        <v>1781</v>
      </c>
      <c r="C523" s="5"/>
      <c r="D523" s="68">
        <f>IF(G512&gt;1,"",PI()-D508-D519)</f>
        <v>0.0254481205693744</v>
      </c>
      <c r="E523" s="5" t="s">
        <v>599</v>
      </c>
      <c r="F523" s="68">
        <f>IF(D523="","",DEGREES(D523))</f>
        <v>1.4580699051652106</v>
      </c>
      <c r="G523" s="5" t="s">
        <v>1233</v>
      </c>
      <c r="H523" s="5"/>
      <c r="I523" s="86" t="str">
        <f>IF(G512&gt;1,"None",IF(F523&lt;0,"Remaining Angle Less then Zero","None"))</f>
        <v>None</v>
      </c>
      <c r="J523" s="116"/>
      <c r="K523" s="116"/>
      <c r="L523" s="87"/>
    </row>
    <row r="524" spans="1:12" ht="12.75">
      <c r="A524" s="4"/>
      <c r="B524" s="5"/>
      <c r="C524" s="5"/>
      <c r="D524" s="5"/>
      <c r="E524" s="5"/>
      <c r="F524" s="5"/>
      <c r="G524" s="5"/>
      <c r="H524" s="5"/>
      <c r="I524" s="5"/>
      <c r="J524" s="5"/>
      <c r="K524" s="5"/>
      <c r="L524" s="6"/>
    </row>
    <row r="525" spans="1:12" ht="12.75">
      <c r="A525" s="4" t="s">
        <v>1782</v>
      </c>
      <c r="B525" s="5" t="s">
        <v>516</v>
      </c>
      <c r="C525" s="5"/>
      <c r="D525" s="5"/>
      <c r="E525" s="5"/>
      <c r="F525" s="5"/>
      <c r="G525" s="5"/>
      <c r="H525" s="5"/>
      <c r="I525" s="5"/>
      <c r="J525" s="5"/>
      <c r="K525" s="5"/>
      <c r="L525" s="6"/>
    </row>
    <row r="526" spans="1:12" ht="13.5" thickBot="1">
      <c r="A526" s="4"/>
      <c r="B526" s="5"/>
      <c r="C526" s="5"/>
      <c r="D526" s="5"/>
      <c r="E526" s="5"/>
      <c r="F526" s="5"/>
      <c r="G526" s="5"/>
      <c r="H526" s="5"/>
      <c r="I526" s="88" t="s">
        <v>1667</v>
      </c>
      <c r="J526" s="115"/>
      <c r="K526" s="115"/>
      <c r="L526" s="192"/>
    </row>
    <row r="527" spans="1:12" ht="13.5" thickBot="1">
      <c r="A527" s="4"/>
      <c r="B527" s="5"/>
      <c r="C527" s="22" t="s">
        <v>772</v>
      </c>
      <c r="D527" s="5"/>
      <c r="E527" s="5"/>
      <c r="F527" s="189">
        <f>IF(G512&gt;1,"",SQRT($H$204^2+$I$89^2-(2*$H$204*$I$89*COS(D523))))</f>
        <v>339569.05204982334</v>
      </c>
      <c r="G527" s="5" t="s">
        <v>167</v>
      </c>
      <c r="H527" s="5"/>
      <c r="I527" s="86" t="str">
        <f>IF(G512&gt;1,"None",IF(($H$204^2+$I$89^2-(2*$H$204*$I$89*COS(D522)))&lt;0,"Taking Square Root of Negative Number","None"))</f>
        <v>None</v>
      </c>
      <c r="J527" s="116"/>
      <c r="K527" s="116"/>
      <c r="L527" s="87"/>
    </row>
    <row r="528" spans="1:12" ht="12.75">
      <c r="A528" s="4"/>
      <c r="B528" s="5"/>
      <c r="C528" s="5"/>
      <c r="D528" s="5"/>
      <c r="E528" s="5"/>
      <c r="F528" s="5"/>
      <c r="G528" s="5"/>
      <c r="H528" s="5"/>
      <c r="I528" s="5"/>
      <c r="J528" s="5"/>
      <c r="K528" s="5"/>
      <c r="L528" s="6"/>
    </row>
    <row r="529" spans="1:12" ht="12.75">
      <c r="A529" s="4" t="s">
        <v>773</v>
      </c>
      <c r="B529" s="5" t="s">
        <v>1520</v>
      </c>
      <c r="C529" s="5"/>
      <c r="D529" s="5"/>
      <c r="E529" s="5"/>
      <c r="F529" s="5"/>
      <c r="G529" s="5"/>
      <c r="H529" s="5"/>
      <c r="I529" s="5"/>
      <c r="J529" s="5"/>
      <c r="K529" s="5"/>
      <c r="L529" s="6"/>
    </row>
    <row r="530" spans="1:12" ht="12.75">
      <c r="A530" s="4"/>
      <c r="B530" s="5"/>
      <c r="C530" s="5"/>
      <c r="D530" s="5"/>
      <c r="E530" s="5"/>
      <c r="F530" s="5"/>
      <c r="G530" s="5"/>
      <c r="H530" s="5"/>
      <c r="I530" s="5"/>
      <c r="J530" s="5"/>
      <c r="K530" s="5"/>
      <c r="L530" s="6"/>
    </row>
    <row r="531" spans="1:12" ht="12.75">
      <c r="A531" s="4"/>
      <c r="B531" s="5"/>
      <c r="C531" s="5" t="s">
        <v>1668</v>
      </c>
      <c r="D531" s="5" t="s">
        <v>1432</v>
      </c>
      <c r="E531" s="5"/>
      <c r="F531" s="5"/>
      <c r="G531" s="5"/>
      <c r="H531" s="5"/>
      <c r="I531" s="189">
        <f>IF(G512&gt;1,"",F527*J498)</f>
        <v>129849.70676661366</v>
      </c>
      <c r="J531" s="5" t="s">
        <v>167</v>
      </c>
      <c r="K531" s="5"/>
      <c r="L531" s="6"/>
    </row>
    <row r="532" spans="1:12" ht="12.75">
      <c r="A532" s="4"/>
      <c r="B532" s="5"/>
      <c r="C532" s="5" t="s">
        <v>1669</v>
      </c>
      <c r="D532" s="5" t="s">
        <v>1434</v>
      </c>
      <c r="E532" s="5"/>
      <c r="F532" s="5"/>
      <c r="G532" s="5"/>
      <c r="H532" s="5"/>
      <c r="I532" s="189">
        <f>IF(G512&gt;1,"",F527*J499)</f>
        <v>97025.79209199492</v>
      </c>
      <c r="J532" s="5" t="s">
        <v>167</v>
      </c>
      <c r="K532" s="5"/>
      <c r="L532" s="6"/>
    </row>
    <row r="533" spans="1:12" ht="12.75">
      <c r="A533" s="4"/>
      <c r="B533" s="5"/>
      <c r="C533" s="5" t="s">
        <v>1670</v>
      </c>
      <c r="D533" s="5" t="s">
        <v>284</v>
      </c>
      <c r="E533" s="5"/>
      <c r="F533" s="5"/>
      <c r="G533" s="5"/>
      <c r="H533" s="5"/>
      <c r="I533" s="189">
        <f>IF(G512&gt;1,"",F527*J500)</f>
        <v>-298382.6242118684</v>
      </c>
      <c r="J533" s="5" t="s">
        <v>167</v>
      </c>
      <c r="K533" s="5"/>
      <c r="L533" s="6"/>
    </row>
    <row r="534" spans="1:12" ht="12.75">
      <c r="A534" s="4"/>
      <c r="B534" s="5"/>
      <c r="C534" s="5"/>
      <c r="D534" s="5"/>
      <c r="E534" s="5"/>
      <c r="F534" s="5"/>
      <c r="G534" s="5"/>
      <c r="H534" s="5"/>
      <c r="I534" s="5"/>
      <c r="J534" s="5"/>
      <c r="K534" s="5"/>
      <c r="L534" s="6"/>
    </row>
    <row r="535" spans="1:12" ht="13.5" thickBot="1">
      <c r="A535" s="7"/>
      <c r="B535" s="8"/>
      <c r="C535" s="8"/>
      <c r="D535" s="8"/>
      <c r="E535" s="8"/>
      <c r="F535" s="8"/>
      <c r="G535" s="8"/>
      <c r="H535" s="8"/>
      <c r="I535" s="8"/>
      <c r="J535" s="8"/>
      <c r="K535" s="8"/>
      <c r="L535" s="9"/>
    </row>
    <row r="536" ht="13.5" thickBot="1"/>
    <row r="537" spans="1:12" ht="12.75">
      <c r="A537" s="1"/>
      <c r="B537" s="2"/>
      <c r="C537" s="2"/>
      <c r="D537" s="2"/>
      <c r="E537" s="2"/>
      <c r="F537" s="2"/>
      <c r="G537" s="2"/>
      <c r="H537" s="2"/>
      <c r="I537" s="2"/>
      <c r="J537" s="2"/>
      <c r="K537" s="2"/>
      <c r="L537" s="3"/>
    </row>
    <row r="538" spans="1:12" ht="12.75">
      <c r="A538" s="10" t="s">
        <v>1671</v>
      </c>
      <c r="B538" s="5"/>
      <c r="C538" s="5"/>
      <c r="D538" s="5"/>
      <c r="E538" s="5"/>
      <c r="F538" s="5"/>
      <c r="G538" s="5"/>
      <c r="H538" s="5"/>
      <c r="I538" s="5"/>
      <c r="J538" s="5"/>
      <c r="K538" s="5"/>
      <c r="L538" s="6"/>
    </row>
    <row r="539" spans="1:12" ht="12.75">
      <c r="A539" s="4"/>
      <c r="B539" s="5"/>
      <c r="C539" s="5"/>
      <c r="D539" s="5"/>
      <c r="E539" s="5"/>
      <c r="F539" s="5"/>
      <c r="G539" s="5"/>
      <c r="H539" s="5"/>
      <c r="I539" s="5"/>
      <c r="J539" s="5"/>
      <c r="K539" s="5"/>
      <c r="L539" s="6"/>
    </row>
    <row r="540" spans="1:12" ht="12.75">
      <c r="A540" s="4" t="s">
        <v>1194</v>
      </c>
      <c r="B540" s="5" t="s">
        <v>317</v>
      </c>
      <c r="C540" s="5"/>
      <c r="D540" s="5"/>
      <c r="E540" s="5"/>
      <c r="F540" s="5"/>
      <c r="G540" s="5"/>
      <c r="H540" s="5"/>
      <c r="I540" s="5"/>
      <c r="J540" s="5"/>
      <c r="K540" s="5"/>
      <c r="L540" s="6"/>
    </row>
    <row r="541" spans="1:12" ht="12.75">
      <c r="A541" s="4"/>
      <c r="B541" s="5"/>
      <c r="C541" s="5"/>
      <c r="D541" s="5"/>
      <c r="E541" s="5"/>
      <c r="F541" s="5"/>
      <c r="G541" s="5"/>
      <c r="H541" s="5"/>
      <c r="I541" s="5"/>
      <c r="J541" s="5"/>
      <c r="K541" s="5"/>
      <c r="L541" s="6"/>
    </row>
    <row r="542" spans="1:12" ht="12.75">
      <c r="A542" s="4"/>
      <c r="B542" s="22" t="s">
        <v>231</v>
      </c>
      <c r="C542" s="5" t="str">
        <f>Photo_Setup!J221</f>
        <v>i_SX_p7 = </v>
      </c>
      <c r="D542" s="187">
        <f>Photo_Setup!K221</f>
        <v>-0.2086845785081709</v>
      </c>
      <c r="E542" s="190" t="s">
        <v>232</v>
      </c>
      <c r="F542" s="148"/>
      <c r="G542" s="26" t="s">
        <v>1300</v>
      </c>
      <c r="H542" s="5" t="s">
        <v>234</v>
      </c>
      <c r="I542" s="5" t="str">
        <f>C542</f>
        <v>i_SX_p7 = </v>
      </c>
      <c r="J542" s="187">
        <f>-D542</f>
        <v>0.2086845785081709</v>
      </c>
      <c r="K542" s="5"/>
      <c r="L542" s="6"/>
    </row>
    <row r="543" spans="1:12" ht="12.75">
      <c r="A543" s="4"/>
      <c r="B543" s="5"/>
      <c r="C543" s="5" t="str">
        <f>Photo_Setup!J222</f>
        <v>j_SY_p7 = </v>
      </c>
      <c r="D543" s="187">
        <f>Photo_Setup!K222</f>
        <v>-0.21741493705842233</v>
      </c>
      <c r="E543" s="5"/>
      <c r="F543" s="5"/>
      <c r="G543" s="26" t="s">
        <v>1301</v>
      </c>
      <c r="H543" s="5" t="s">
        <v>234</v>
      </c>
      <c r="I543" s="5" t="str">
        <f>C543</f>
        <v>j_SY_p7 = </v>
      </c>
      <c r="J543" s="187">
        <f>-D543</f>
        <v>0.21741493705842233</v>
      </c>
      <c r="K543" s="5"/>
      <c r="L543" s="6"/>
    </row>
    <row r="544" spans="1:12" ht="12.75">
      <c r="A544" s="4"/>
      <c r="B544" s="5"/>
      <c r="C544" s="5" t="str">
        <f>Photo_Setup!J223</f>
        <v>k_SZ_p7 = </v>
      </c>
      <c r="D544" s="187">
        <f>Photo_Setup!K223</f>
        <v>0.9535100900550288</v>
      </c>
      <c r="E544" s="5"/>
      <c r="F544" s="5"/>
      <c r="G544" s="26" t="s">
        <v>1302</v>
      </c>
      <c r="H544" s="5" t="s">
        <v>234</v>
      </c>
      <c r="I544" s="5" t="str">
        <f>C544</f>
        <v>k_SZ_p7 = </v>
      </c>
      <c r="J544" s="187">
        <f>-D544</f>
        <v>-0.9535100900550288</v>
      </c>
      <c r="K544" s="5"/>
      <c r="L544" s="6"/>
    </row>
    <row r="545" spans="1:12" ht="12.75">
      <c r="A545" s="4"/>
      <c r="B545" s="5"/>
      <c r="C545" s="5"/>
      <c r="D545" s="5"/>
      <c r="E545" s="5"/>
      <c r="F545" s="5"/>
      <c r="G545" s="5"/>
      <c r="H545" s="5"/>
      <c r="I545" s="5"/>
      <c r="J545" s="5"/>
      <c r="K545" s="5"/>
      <c r="L545" s="6"/>
    </row>
    <row r="546" spans="1:12" ht="12.75">
      <c r="A546" s="4" t="s">
        <v>237</v>
      </c>
      <c r="B546" s="5" t="s">
        <v>238</v>
      </c>
      <c r="C546" s="5"/>
      <c r="D546" s="5"/>
      <c r="E546" s="5"/>
      <c r="F546" s="5"/>
      <c r="G546" s="5"/>
      <c r="H546" s="5"/>
      <c r="I546" s="5"/>
      <c r="J546" s="5"/>
      <c r="K546" s="5"/>
      <c r="L546" s="6"/>
    </row>
    <row r="547" spans="1:12" ht="12.75">
      <c r="A547" s="4"/>
      <c r="B547" s="5"/>
      <c r="C547" s="70"/>
      <c r="D547" s="46"/>
      <c r="E547" s="70" t="s">
        <v>127</v>
      </c>
      <c r="F547" s="72">
        <f>$I$207*J542+$I$208*J543+$I$209*J544</f>
        <v>0.9535100900550288</v>
      </c>
      <c r="G547" s="52"/>
      <c r="H547" s="5"/>
      <c r="I547" s="5"/>
      <c r="J547" s="5"/>
      <c r="K547" s="5"/>
      <c r="L547" s="6"/>
    </row>
    <row r="548" spans="1:12" ht="12.75">
      <c r="A548" s="4"/>
      <c r="B548" s="5"/>
      <c r="C548" s="46"/>
      <c r="D548" s="46"/>
      <c r="E548" s="70" t="s">
        <v>128</v>
      </c>
      <c r="F548" s="72">
        <f>$I$211</f>
        <v>1</v>
      </c>
      <c r="G548" s="52"/>
      <c r="H548" s="5"/>
      <c r="I548" s="5"/>
      <c r="J548" s="5"/>
      <c r="K548" s="5"/>
      <c r="L548" s="6"/>
    </row>
    <row r="549" spans="1:12" ht="12.75">
      <c r="A549" s="4"/>
      <c r="B549" s="5"/>
      <c r="C549" s="46"/>
      <c r="D549" s="46"/>
      <c r="E549" s="70" t="s">
        <v>129</v>
      </c>
      <c r="F549" s="72">
        <f>SQRT(J542^2+J543^2+J544^2)</f>
        <v>1</v>
      </c>
      <c r="G549" s="52"/>
      <c r="H549" s="5"/>
      <c r="I549" s="5"/>
      <c r="J549" s="5"/>
      <c r="K549" s="5"/>
      <c r="L549" s="6"/>
    </row>
    <row r="550" spans="1:12" ht="12.75">
      <c r="A550" s="4"/>
      <c r="B550" s="5"/>
      <c r="C550" s="85" t="s">
        <v>866</v>
      </c>
      <c r="D550" s="5"/>
      <c r="E550" s="70"/>
      <c r="F550" s="72">
        <f>F547/(F548*F549)</f>
        <v>0.9535100900550288</v>
      </c>
      <c r="G550" s="5"/>
      <c r="H550" s="5"/>
      <c r="I550" s="5"/>
      <c r="J550" s="5"/>
      <c r="K550" s="5"/>
      <c r="L550" s="6"/>
    </row>
    <row r="551" spans="1:12" ht="13.5" thickBot="1">
      <c r="A551" s="4"/>
      <c r="B551" s="5"/>
      <c r="C551" s="46"/>
      <c r="D551" s="46"/>
      <c r="E551" s="46"/>
      <c r="F551" s="26"/>
      <c r="G551" s="52"/>
      <c r="H551" s="5"/>
      <c r="I551" s="88" t="s">
        <v>1672</v>
      </c>
      <c r="J551" s="115"/>
      <c r="K551" s="115"/>
      <c r="L551" s="192"/>
    </row>
    <row r="552" spans="1:12" ht="16.5" thickBot="1">
      <c r="A552" s="4"/>
      <c r="B552" s="5"/>
      <c r="C552" s="16" t="s">
        <v>239</v>
      </c>
      <c r="D552" s="72">
        <f>IF((F548*F549)=0,0,ACOS(F550))</f>
        <v>0.3061197875440882</v>
      </c>
      <c r="E552" s="52" t="s">
        <v>1483</v>
      </c>
      <c r="F552" s="73">
        <f>DEGREES(D552)</f>
        <v>17.539371851717682</v>
      </c>
      <c r="G552" s="46" t="s">
        <v>1233</v>
      </c>
      <c r="H552" s="5"/>
      <c r="I552" s="86" t="str">
        <f>IF((F548*F549)&lt;&gt;1,"Vector A or B Not a Unit Vector","None")</f>
        <v>None</v>
      </c>
      <c r="J552" s="116"/>
      <c r="K552" s="116"/>
      <c r="L552" s="87"/>
    </row>
    <row r="553" spans="1:12" ht="12.75">
      <c r="A553" s="4"/>
      <c r="B553" s="5"/>
      <c r="C553" s="5"/>
      <c r="D553" s="5"/>
      <c r="E553" s="5"/>
      <c r="F553" s="5"/>
      <c r="G553" s="5"/>
      <c r="H553" s="5"/>
      <c r="I553" s="5"/>
      <c r="J553" s="5"/>
      <c r="K553" s="5"/>
      <c r="L553" s="6"/>
    </row>
    <row r="554" spans="1:12" ht="12.75">
      <c r="A554" s="4" t="s">
        <v>534</v>
      </c>
      <c r="B554" s="5" t="s">
        <v>1197</v>
      </c>
      <c r="C554" s="5"/>
      <c r="D554" s="5"/>
      <c r="E554" s="5"/>
      <c r="F554" s="5"/>
      <c r="G554" s="5"/>
      <c r="H554" s="5"/>
      <c r="I554" s="5"/>
      <c r="J554" s="5"/>
      <c r="K554" s="5"/>
      <c r="L554" s="6"/>
    </row>
    <row r="555" spans="1:12" ht="12.75">
      <c r="A555" s="4"/>
      <c r="B555" s="5"/>
      <c r="C555" s="5"/>
      <c r="D555" s="5"/>
      <c r="E555" s="5"/>
      <c r="F555" s="5"/>
      <c r="G555" s="5"/>
      <c r="H555" s="5"/>
      <c r="I555" s="5"/>
      <c r="J555" s="5"/>
      <c r="K555" s="5"/>
      <c r="L555" s="6"/>
    </row>
    <row r="556" spans="1:12" ht="12.75">
      <c r="A556" s="4"/>
      <c r="B556" s="5"/>
      <c r="C556" s="52" t="s">
        <v>1508</v>
      </c>
      <c r="E556" s="5"/>
      <c r="G556" s="68">
        <f>SIN(D552)*$H$204/$I$89</f>
        <v>0.31537909180482276</v>
      </c>
      <c r="I556" s="5"/>
      <c r="J556" s="5"/>
      <c r="K556" s="5"/>
      <c r="L556" s="6"/>
    </row>
    <row r="557" spans="1:12" ht="13.5" thickBot="1">
      <c r="A557" s="4"/>
      <c r="B557" s="5"/>
      <c r="C557" s="5"/>
      <c r="D557" s="5"/>
      <c r="E557" s="5"/>
      <c r="G557" s="5"/>
      <c r="H557" s="5"/>
      <c r="I557" s="241" t="s">
        <v>250</v>
      </c>
      <c r="J557" s="242"/>
      <c r="K557" s="242"/>
      <c r="L557" s="243"/>
    </row>
    <row r="558" spans="1:12" ht="13.5" thickBot="1">
      <c r="A558" s="4"/>
      <c r="B558" s="5"/>
      <c r="C558" s="147" t="s">
        <v>1198</v>
      </c>
      <c r="D558" s="68">
        <f>IF(G556&lt;=1,ASIN(G556),"")</f>
        <v>0.32085610644975077</v>
      </c>
      <c r="E558" s="52" t="s">
        <v>1483</v>
      </c>
      <c r="F558" s="68">
        <f>IF(D558="","",DEGREES(D558))</f>
        <v>18.38370073057099</v>
      </c>
      <c r="G558" s="5" t="s">
        <v>1233</v>
      </c>
      <c r="H558" s="5"/>
      <c r="I558" s="244" t="str">
        <f>IF(G556&lt;=1,"None","Asin(Zeta)&gt;1 - Vector Does not Intersect Earth")</f>
        <v>None</v>
      </c>
      <c r="J558" s="245"/>
      <c r="K558" s="245"/>
      <c r="L558" s="246"/>
    </row>
    <row r="559" spans="1:12" ht="12.75">
      <c r="A559" s="4"/>
      <c r="B559" s="5"/>
      <c r="C559" s="5"/>
      <c r="D559" s="5"/>
      <c r="E559" s="5"/>
      <c r="F559" s="5"/>
      <c r="G559" s="5"/>
      <c r="H559" s="5"/>
      <c r="I559" s="5"/>
      <c r="J559" s="5"/>
      <c r="K559" s="5"/>
      <c r="L559" s="6"/>
    </row>
    <row r="560" spans="1:12" ht="12.75">
      <c r="A560" s="4"/>
      <c r="B560" s="5"/>
      <c r="C560" s="5"/>
      <c r="D560" s="5" t="s">
        <v>1384</v>
      </c>
      <c r="E560" s="5"/>
      <c r="F560" s="5"/>
      <c r="G560" s="5"/>
      <c r="H560" s="5"/>
      <c r="I560" s="5"/>
      <c r="J560" s="5"/>
      <c r="K560" s="5"/>
      <c r="L560" s="6"/>
    </row>
    <row r="561" spans="1:12" ht="12.75">
      <c r="A561" s="4"/>
      <c r="B561" s="5"/>
      <c r="C561" s="5"/>
      <c r="D561" s="5" t="s">
        <v>1060</v>
      </c>
      <c r="E561" s="5"/>
      <c r="F561" s="5"/>
      <c r="G561" s="5"/>
      <c r="H561" s="5"/>
      <c r="I561" s="5"/>
      <c r="J561" s="5"/>
      <c r="K561" s="5"/>
      <c r="L561" s="6"/>
    </row>
    <row r="562" spans="1:12" ht="12.75">
      <c r="A562" s="4"/>
      <c r="B562" s="5"/>
      <c r="C562" s="5"/>
      <c r="D562" s="5"/>
      <c r="E562" s="5"/>
      <c r="F562" s="5"/>
      <c r="G562" s="5"/>
      <c r="H562" s="5"/>
      <c r="I562" s="5"/>
      <c r="J562" s="5"/>
      <c r="K562" s="5"/>
      <c r="L562" s="6"/>
    </row>
    <row r="563" spans="1:12" ht="12.75">
      <c r="A563" s="4"/>
      <c r="B563" s="5"/>
      <c r="C563" s="22" t="s">
        <v>1061</v>
      </c>
      <c r="D563" s="68">
        <f>IF(G556&gt;1,"",IF(D558&lt;(PI()/2),PI()-D558,D558))</f>
        <v>2.8207365471400423</v>
      </c>
      <c r="E563" s="5" t="s">
        <v>599</v>
      </c>
      <c r="F563" s="68">
        <f>IF(D563="","",DEGREES(D563))</f>
        <v>161.616299269429</v>
      </c>
      <c r="G563" s="5" t="s">
        <v>1233</v>
      </c>
      <c r="H563" s="5"/>
      <c r="I563" s="5"/>
      <c r="J563" s="5"/>
      <c r="K563" s="5"/>
      <c r="L563" s="6"/>
    </row>
    <row r="564" spans="1:12" ht="12.75">
      <c r="A564" s="4"/>
      <c r="B564" s="5"/>
      <c r="C564" s="5"/>
      <c r="D564" s="5"/>
      <c r="E564" s="5"/>
      <c r="F564" s="5"/>
      <c r="G564" s="5"/>
      <c r="H564" s="5"/>
      <c r="I564" s="5"/>
      <c r="J564" s="5"/>
      <c r="K564" s="5"/>
      <c r="L564" s="6"/>
    </row>
    <row r="565" spans="1:12" ht="12.75">
      <c r="A565" s="4" t="s">
        <v>600</v>
      </c>
      <c r="B565" s="5" t="s">
        <v>1599</v>
      </c>
      <c r="C565" s="5"/>
      <c r="D565" s="5"/>
      <c r="E565" s="5"/>
      <c r="F565" s="5"/>
      <c r="G565" s="5"/>
      <c r="H565" s="5"/>
      <c r="I565" s="5"/>
      <c r="J565" s="5"/>
      <c r="K565" s="5"/>
      <c r="L565" s="6"/>
    </row>
    <row r="566" spans="1:12" ht="13.5" thickBot="1">
      <c r="A566" s="4"/>
      <c r="B566" s="5"/>
      <c r="C566" s="5"/>
      <c r="D566" s="5"/>
      <c r="E566" s="5"/>
      <c r="F566" s="5"/>
      <c r="G566" s="5"/>
      <c r="H566" s="5"/>
      <c r="I566" s="88" t="s">
        <v>1673</v>
      </c>
      <c r="J566" s="115"/>
      <c r="K566" s="115"/>
      <c r="L566" s="192"/>
    </row>
    <row r="567" spans="1:12" ht="13.5" thickBot="1">
      <c r="A567" s="4"/>
      <c r="B567" s="22" t="s">
        <v>1781</v>
      </c>
      <c r="C567" s="5"/>
      <c r="D567" s="68">
        <f>IF(G556&gt;1,"",PI()-D552-D563)</f>
        <v>0.014736318905662404</v>
      </c>
      <c r="E567" s="5" t="s">
        <v>599</v>
      </c>
      <c r="F567" s="68">
        <f>IF(D567="","",DEGREES(D567))</f>
        <v>0.8443288788532997</v>
      </c>
      <c r="G567" s="5" t="s">
        <v>1233</v>
      </c>
      <c r="H567" s="5"/>
      <c r="I567" s="86" t="str">
        <f>IF(G556&gt;1,"None",IF(F567&lt;0,"Remaining Angle Less then Zero","None"))</f>
        <v>None</v>
      </c>
      <c r="J567" s="116"/>
      <c r="K567" s="116"/>
      <c r="L567" s="87"/>
    </row>
    <row r="568" spans="1:12" ht="12.75">
      <c r="A568" s="4"/>
      <c r="B568" s="5"/>
      <c r="C568" s="5"/>
      <c r="D568" s="5"/>
      <c r="E568" s="5"/>
      <c r="F568" s="5"/>
      <c r="G568" s="5"/>
      <c r="H568" s="5"/>
      <c r="I568" s="5"/>
      <c r="J568" s="5"/>
      <c r="K568" s="5"/>
      <c r="L568" s="6"/>
    </row>
    <row r="569" spans="1:12" ht="12.75">
      <c r="A569" s="4" t="s">
        <v>1782</v>
      </c>
      <c r="B569" s="5" t="s">
        <v>516</v>
      </c>
      <c r="C569" s="5"/>
      <c r="D569" s="5"/>
      <c r="E569" s="5"/>
      <c r="F569" s="5"/>
      <c r="G569" s="5"/>
      <c r="H569" s="5"/>
      <c r="I569" s="5"/>
      <c r="J569" s="5"/>
      <c r="K569" s="5"/>
      <c r="L569" s="6"/>
    </row>
    <row r="570" spans="1:12" ht="13.5" thickBot="1">
      <c r="A570" s="4"/>
      <c r="B570" s="5"/>
      <c r="C570" s="5"/>
      <c r="D570" s="5"/>
      <c r="E570" s="5"/>
      <c r="F570" s="5"/>
      <c r="G570" s="5"/>
      <c r="H570" s="5"/>
      <c r="I570" s="88" t="s">
        <v>1674</v>
      </c>
      <c r="J570" s="115"/>
      <c r="K570" s="115"/>
      <c r="L570" s="192"/>
    </row>
    <row r="571" spans="1:12" ht="13.5" thickBot="1">
      <c r="A571" s="4"/>
      <c r="B571" s="5"/>
      <c r="C571" s="22" t="s">
        <v>772</v>
      </c>
      <c r="D571" s="5"/>
      <c r="E571" s="5"/>
      <c r="F571" s="189">
        <f>IF(G556&gt;1,"",SQRT($H$204^2+$I$89^2-(2*$H$204*$I$89*COS(D567))))</f>
        <v>311492.95474346203</v>
      </c>
      <c r="G571" s="5" t="s">
        <v>167</v>
      </c>
      <c r="H571" s="5"/>
      <c r="I571" s="86" t="str">
        <f>IF(G556&gt;1,"None",IF(($H$204^2+$I$89^2-(2*$H$204*$I$89*COS(D566)))&lt;0,"Taking Square Root of Negative Number","None"))</f>
        <v>None</v>
      </c>
      <c r="J571" s="116"/>
      <c r="K571" s="116"/>
      <c r="L571" s="87"/>
    </row>
    <row r="572" spans="1:12" ht="12.75">
      <c r="A572" s="4"/>
      <c r="B572" s="5"/>
      <c r="C572" s="5"/>
      <c r="D572" s="5"/>
      <c r="E572" s="5"/>
      <c r="F572" s="5"/>
      <c r="G572" s="5"/>
      <c r="H572" s="5"/>
      <c r="I572" s="5"/>
      <c r="J572" s="5"/>
      <c r="K572" s="5"/>
      <c r="L572" s="6"/>
    </row>
    <row r="573" spans="1:12" ht="12.75">
      <c r="A573" s="4" t="s">
        <v>773</v>
      </c>
      <c r="B573" s="5" t="s">
        <v>1520</v>
      </c>
      <c r="C573" s="5"/>
      <c r="D573" s="5"/>
      <c r="E573" s="5"/>
      <c r="F573" s="5"/>
      <c r="G573" s="5"/>
      <c r="H573" s="5"/>
      <c r="I573" s="5"/>
      <c r="J573" s="5"/>
      <c r="K573" s="5"/>
      <c r="L573" s="6"/>
    </row>
    <row r="574" spans="1:12" ht="12.75">
      <c r="A574" s="4"/>
      <c r="B574" s="5"/>
      <c r="C574" s="5"/>
      <c r="D574" s="5"/>
      <c r="E574" s="5"/>
      <c r="F574" s="5"/>
      <c r="G574" s="5"/>
      <c r="H574" s="5"/>
      <c r="I574" s="5"/>
      <c r="J574" s="5"/>
      <c r="K574" s="5"/>
      <c r="L574" s="6"/>
    </row>
    <row r="575" spans="1:12" ht="12.75">
      <c r="A575" s="4"/>
      <c r="B575" s="5"/>
      <c r="C575" s="5" t="s">
        <v>1675</v>
      </c>
      <c r="D575" s="5" t="s">
        <v>1432</v>
      </c>
      <c r="E575" s="5"/>
      <c r="F575" s="5"/>
      <c r="G575" s="5"/>
      <c r="H575" s="5"/>
      <c r="I575" s="189">
        <f>IF(G556&gt;1,"",F571*J542)</f>
        <v>65003.77596890413</v>
      </c>
      <c r="J575" s="5" t="s">
        <v>167</v>
      </c>
      <c r="K575" s="5"/>
      <c r="L575" s="6"/>
    </row>
    <row r="576" spans="1:12" ht="12.75">
      <c r="A576" s="4"/>
      <c r="B576" s="5"/>
      <c r="C576" s="5" t="s">
        <v>1092</v>
      </c>
      <c r="D576" s="5" t="s">
        <v>1434</v>
      </c>
      <c r="E576" s="5"/>
      <c r="F576" s="5"/>
      <c r="G576" s="5"/>
      <c r="H576" s="5"/>
      <c r="I576" s="189">
        <f>IF(G556&gt;1,"",F571*J543)</f>
        <v>67723.22114969179</v>
      </c>
      <c r="J576" s="5" t="s">
        <v>167</v>
      </c>
      <c r="K576" s="5"/>
      <c r="L576" s="6"/>
    </row>
    <row r="577" spans="1:12" ht="12.75">
      <c r="A577" s="4"/>
      <c r="B577" s="5"/>
      <c r="C577" s="5" t="s">
        <v>1093</v>
      </c>
      <c r="D577" s="5" t="s">
        <v>284</v>
      </c>
      <c r="E577" s="5"/>
      <c r="F577" s="5"/>
      <c r="G577" s="5"/>
      <c r="H577" s="5"/>
      <c r="I577" s="189">
        <f>IF(G556&gt;1,"",F571*J544)</f>
        <v>-297011.6753289455</v>
      </c>
      <c r="J577" s="5" t="s">
        <v>167</v>
      </c>
      <c r="K577" s="5"/>
      <c r="L577" s="6"/>
    </row>
    <row r="578" spans="1:12" ht="12.75">
      <c r="A578" s="4"/>
      <c r="B578" s="5"/>
      <c r="C578" s="5"/>
      <c r="D578" s="5"/>
      <c r="E578" s="5"/>
      <c r="F578" s="5"/>
      <c r="G578" s="5"/>
      <c r="H578" s="5"/>
      <c r="I578" s="5"/>
      <c r="J578" s="5"/>
      <c r="K578" s="5"/>
      <c r="L578" s="6"/>
    </row>
    <row r="579" spans="1:12" ht="13.5" thickBot="1">
      <c r="A579" s="7"/>
      <c r="B579" s="8"/>
      <c r="C579" s="8"/>
      <c r="D579" s="8"/>
      <c r="E579" s="8"/>
      <c r="F579" s="8"/>
      <c r="G579" s="8"/>
      <c r="H579" s="8"/>
      <c r="I579" s="8"/>
      <c r="J579" s="8"/>
      <c r="K579" s="8"/>
      <c r="L579" s="9"/>
    </row>
    <row r="580" ht="13.5" thickBot="1"/>
    <row r="581" spans="1:12" ht="12.75">
      <c r="A581" s="1"/>
      <c r="B581" s="2"/>
      <c r="C581" s="2"/>
      <c r="D581" s="2"/>
      <c r="E581" s="2"/>
      <c r="F581" s="2"/>
      <c r="G581" s="2"/>
      <c r="H581" s="2"/>
      <c r="I581" s="2"/>
      <c r="J581" s="2"/>
      <c r="K581" s="2"/>
      <c r="L581" s="3"/>
    </row>
    <row r="582" spans="1:12" ht="12.75">
      <c r="A582" s="10" t="s">
        <v>554</v>
      </c>
      <c r="B582" s="5"/>
      <c r="C582" s="5"/>
      <c r="D582" s="5"/>
      <c r="E582" s="5"/>
      <c r="F582" s="5"/>
      <c r="G582" s="5"/>
      <c r="H582" s="5"/>
      <c r="I582" s="5"/>
      <c r="J582" s="5"/>
      <c r="K582" s="5"/>
      <c r="L582" s="6"/>
    </row>
    <row r="583" spans="1:12" ht="12.75">
      <c r="A583" s="4"/>
      <c r="B583" s="5"/>
      <c r="C583" s="5"/>
      <c r="D583" s="5"/>
      <c r="E583" s="5"/>
      <c r="F583" s="5"/>
      <c r="G583" s="5"/>
      <c r="H583" s="5"/>
      <c r="I583" s="5"/>
      <c r="J583" s="5"/>
      <c r="K583" s="5"/>
      <c r="L583" s="6"/>
    </row>
    <row r="584" spans="1:12" ht="12.75">
      <c r="A584" s="4" t="s">
        <v>1194</v>
      </c>
      <c r="B584" s="5" t="s">
        <v>317</v>
      </c>
      <c r="C584" s="5"/>
      <c r="D584" s="5"/>
      <c r="E584" s="5"/>
      <c r="F584" s="5"/>
      <c r="G584" s="5"/>
      <c r="H584" s="5"/>
      <c r="I584" s="5"/>
      <c r="J584" s="5"/>
      <c r="K584" s="5"/>
      <c r="L584" s="6"/>
    </row>
    <row r="585" spans="1:12" ht="12.75">
      <c r="A585" s="4"/>
      <c r="B585" s="5"/>
      <c r="C585" s="5"/>
      <c r="D585" s="5"/>
      <c r="E585" s="5"/>
      <c r="F585" s="5"/>
      <c r="G585" s="5"/>
      <c r="H585" s="5"/>
      <c r="I585" s="5"/>
      <c r="J585" s="5"/>
      <c r="K585" s="5"/>
      <c r="L585" s="6"/>
    </row>
    <row r="586" spans="1:12" ht="12.75">
      <c r="A586" s="4"/>
      <c r="B586" s="22" t="s">
        <v>231</v>
      </c>
      <c r="C586" s="5" t="str">
        <f>Photo_Setup!J229</f>
        <v>i_SX_p8 = </v>
      </c>
      <c r="D586" s="187">
        <f>Photo_Setup!K229</f>
        <v>-0.02653481477638259</v>
      </c>
      <c r="E586" s="190" t="s">
        <v>232</v>
      </c>
      <c r="F586" s="148"/>
      <c r="G586" s="26" t="s">
        <v>1303</v>
      </c>
      <c r="H586" s="5" t="s">
        <v>234</v>
      </c>
      <c r="I586" s="5" t="str">
        <f>C586</f>
        <v>i_SX_p8 = </v>
      </c>
      <c r="J586" s="187">
        <f>-D586</f>
        <v>0.02653481477638259</v>
      </c>
      <c r="K586" s="5"/>
      <c r="L586" s="6"/>
    </row>
    <row r="587" spans="1:12" ht="12.75">
      <c r="A587" s="4"/>
      <c r="B587" s="5"/>
      <c r="C587" s="5" t="str">
        <f>Photo_Setup!J230</f>
        <v>j_SY_p8 = </v>
      </c>
      <c r="D587" s="187">
        <f>Photo_Setup!K230</f>
        <v>-0.14030594078736133</v>
      </c>
      <c r="E587" s="5"/>
      <c r="F587" s="5"/>
      <c r="G587" s="26" t="s">
        <v>1304</v>
      </c>
      <c r="H587" s="5" t="s">
        <v>234</v>
      </c>
      <c r="I587" s="5" t="str">
        <f>C587</f>
        <v>j_SY_p8 = </v>
      </c>
      <c r="J587" s="187">
        <f>-D587</f>
        <v>0.14030594078736133</v>
      </c>
      <c r="K587" s="5"/>
      <c r="L587" s="6"/>
    </row>
    <row r="588" spans="1:12" ht="12.75">
      <c r="A588" s="4"/>
      <c r="B588" s="5"/>
      <c r="C588" s="5" t="str">
        <f>Photo_Setup!J231</f>
        <v>k_SZ_p8 = </v>
      </c>
      <c r="D588" s="187">
        <f>Photo_Setup!K231</f>
        <v>0.9897525683647184</v>
      </c>
      <c r="E588" s="5"/>
      <c r="F588" s="5"/>
      <c r="G588" s="26" t="s">
        <v>1305</v>
      </c>
      <c r="H588" s="5" t="s">
        <v>234</v>
      </c>
      <c r="I588" s="5" t="str">
        <f>C588</f>
        <v>k_SZ_p8 = </v>
      </c>
      <c r="J588" s="187">
        <f>-D588</f>
        <v>-0.9897525683647184</v>
      </c>
      <c r="K588" s="5"/>
      <c r="L588" s="6"/>
    </row>
    <row r="589" spans="1:12" ht="12.75">
      <c r="A589" s="4"/>
      <c r="B589" s="5"/>
      <c r="C589" s="5"/>
      <c r="D589" s="5"/>
      <c r="E589" s="5"/>
      <c r="F589" s="5"/>
      <c r="G589" s="5"/>
      <c r="H589" s="5"/>
      <c r="I589" s="5"/>
      <c r="J589" s="5"/>
      <c r="K589" s="5"/>
      <c r="L589" s="6"/>
    </row>
    <row r="590" spans="1:12" ht="12.75">
      <c r="A590" s="4" t="s">
        <v>237</v>
      </c>
      <c r="B590" s="5" t="s">
        <v>238</v>
      </c>
      <c r="C590" s="5"/>
      <c r="D590" s="5"/>
      <c r="E590" s="5"/>
      <c r="F590" s="5"/>
      <c r="G590" s="5"/>
      <c r="H590" s="5"/>
      <c r="I590" s="5"/>
      <c r="J590" s="5"/>
      <c r="K590" s="5"/>
      <c r="L590" s="6"/>
    </row>
    <row r="591" spans="1:12" ht="12.75">
      <c r="A591" s="4"/>
      <c r="B591" s="5"/>
      <c r="C591" s="70"/>
      <c r="D591" s="46"/>
      <c r="E591" s="70" t="s">
        <v>127</v>
      </c>
      <c r="F591" s="72">
        <f>$I$207*J586+$I$208*J587+$I$209*J588</f>
        <v>0.9897525683647184</v>
      </c>
      <c r="G591" s="52"/>
      <c r="H591" s="5"/>
      <c r="I591" s="5"/>
      <c r="J591" s="5"/>
      <c r="K591" s="5"/>
      <c r="L591" s="6"/>
    </row>
    <row r="592" spans="1:12" ht="12.75">
      <c r="A592" s="4"/>
      <c r="B592" s="5"/>
      <c r="C592" s="46"/>
      <c r="D592" s="46"/>
      <c r="E592" s="70" t="s">
        <v>128</v>
      </c>
      <c r="F592" s="72">
        <f>$I$211</f>
        <v>1</v>
      </c>
      <c r="G592" s="52"/>
      <c r="H592" s="5"/>
      <c r="I592" s="5"/>
      <c r="J592" s="5"/>
      <c r="K592" s="5"/>
      <c r="L592" s="6"/>
    </row>
    <row r="593" spans="1:12" ht="12.75">
      <c r="A593" s="4"/>
      <c r="B593" s="5"/>
      <c r="C593" s="46"/>
      <c r="D593" s="46"/>
      <c r="E593" s="70" t="s">
        <v>129</v>
      </c>
      <c r="F593" s="72">
        <f>SQRT(J586^2+J587^2+J588^2)</f>
        <v>1</v>
      </c>
      <c r="G593" s="52"/>
      <c r="H593" s="5"/>
      <c r="I593" s="5"/>
      <c r="J593" s="5"/>
      <c r="K593" s="5"/>
      <c r="L593" s="6"/>
    </row>
    <row r="594" spans="1:12" ht="12.75">
      <c r="A594" s="4"/>
      <c r="B594" s="5"/>
      <c r="C594" s="85" t="s">
        <v>866</v>
      </c>
      <c r="D594" s="5"/>
      <c r="E594" s="70"/>
      <c r="F594" s="72">
        <f>F591/(F592*F593)</f>
        <v>0.9897525683647184</v>
      </c>
      <c r="G594" s="5"/>
      <c r="H594" s="5"/>
      <c r="I594" s="5"/>
      <c r="J594" s="5"/>
      <c r="K594" s="5"/>
      <c r="L594" s="6"/>
    </row>
    <row r="595" spans="1:12" ht="13.5" thickBot="1">
      <c r="A595" s="4"/>
      <c r="B595" s="5"/>
      <c r="C595" s="46"/>
      <c r="D595" s="46"/>
      <c r="E595" s="46"/>
      <c r="F595" s="26"/>
      <c r="G595" s="52"/>
      <c r="H595" s="5"/>
      <c r="I595" s="88" t="s">
        <v>555</v>
      </c>
      <c r="J595" s="115"/>
      <c r="K595" s="115"/>
      <c r="L595" s="192"/>
    </row>
    <row r="596" spans="1:12" ht="16.5" thickBot="1">
      <c r="A596" s="4"/>
      <c r="B596" s="5"/>
      <c r="C596" s="16" t="s">
        <v>239</v>
      </c>
      <c r="D596" s="72">
        <f>IF((F592*F593)=0,0,ACOS(F594))</f>
        <v>0.14328280609859245</v>
      </c>
      <c r="E596" s="52" t="s">
        <v>1483</v>
      </c>
      <c r="F596" s="73">
        <f>DEGREES(D596)</f>
        <v>8.20950006624068</v>
      </c>
      <c r="G596" s="46" t="s">
        <v>1233</v>
      </c>
      <c r="H596" s="5"/>
      <c r="I596" s="86" t="str">
        <f>IF((F592*F593)&lt;&gt;1,"Vector A or B Not a Unit Vector","None")</f>
        <v>None</v>
      </c>
      <c r="J596" s="116"/>
      <c r="K596" s="116"/>
      <c r="L596" s="87"/>
    </row>
    <row r="597" spans="1:12" ht="12.75">
      <c r="A597" s="4"/>
      <c r="B597" s="5"/>
      <c r="C597" s="5"/>
      <c r="D597" s="5"/>
      <c r="E597" s="5"/>
      <c r="F597" s="5"/>
      <c r="G597" s="5"/>
      <c r="H597" s="5"/>
      <c r="I597" s="5"/>
      <c r="J597" s="5"/>
      <c r="K597" s="5"/>
      <c r="L597" s="6"/>
    </row>
    <row r="598" spans="1:12" ht="12.75">
      <c r="A598" s="4" t="s">
        <v>534</v>
      </c>
      <c r="B598" s="5" t="s">
        <v>1197</v>
      </c>
      <c r="C598" s="5"/>
      <c r="D598" s="5"/>
      <c r="E598" s="5"/>
      <c r="F598" s="5"/>
      <c r="G598" s="5"/>
      <c r="H598" s="5"/>
      <c r="I598" s="5"/>
      <c r="J598" s="5"/>
      <c r="K598" s="5"/>
      <c r="L598" s="6"/>
    </row>
    <row r="599" spans="1:12" ht="12.75">
      <c r="A599" s="4"/>
      <c r="B599" s="5"/>
      <c r="C599" s="5"/>
      <c r="D599" s="5"/>
      <c r="E599" s="5"/>
      <c r="F599" s="5"/>
      <c r="G599" s="5"/>
      <c r="H599" s="5"/>
      <c r="I599" s="5"/>
      <c r="J599" s="5"/>
      <c r="K599" s="5"/>
      <c r="L599" s="6"/>
    </row>
    <row r="600" spans="1:12" ht="12.75">
      <c r="A600" s="4"/>
      <c r="B600" s="5"/>
      <c r="C600" s="52" t="s">
        <v>1508</v>
      </c>
      <c r="E600" s="5"/>
      <c r="G600" s="68">
        <f>SIN(D596)*$H$204/$I$89</f>
        <v>0.14943515149044947</v>
      </c>
      <c r="I600" s="5"/>
      <c r="J600" s="5"/>
      <c r="K600" s="5"/>
      <c r="L600" s="6"/>
    </row>
    <row r="601" spans="1:12" ht="13.5" thickBot="1">
      <c r="A601" s="4"/>
      <c r="B601" s="5"/>
      <c r="C601" s="5"/>
      <c r="D601" s="5"/>
      <c r="E601" s="5"/>
      <c r="G601" s="5"/>
      <c r="H601" s="5"/>
      <c r="I601" s="241" t="s">
        <v>250</v>
      </c>
      <c r="J601" s="242"/>
      <c r="K601" s="242"/>
      <c r="L601" s="243"/>
    </row>
    <row r="602" spans="1:12" ht="13.5" thickBot="1">
      <c r="A602" s="4"/>
      <c r="B602" s="5"/>
      <c r="C602" s="147" t="s">
        <v>1198</v>
      </c>
      <c r="D602" s="68">
        <f>IF(G600&lt;=1,ASIN(G600),"")</f>
        <v>0.14999698516417287</v>
      </c>
      <c r="E602" s="52" t="s">
        <v>1483</v>
      </c>
      <c r="F602" s="68">
        <f>IF(D602="","",DEGREES(D602))</f>
        <v>8.594194189593528</v>
      </c>
      <c r="G602" s="5" t="s">
        <v>1233</v>
      </c>
      <c r="H602" s="5"/>
      <c r="I602" s="244" t="str">
        <f>IF(G600&lt;=1,"None","Asin(Zeta)&gt;1 - Vector Does not Intersect Earth")</f>
        <v>None</v>
      </c>
      <c r="J602" s="245"/>
      <c r="K602" s="245"/>
      <c r="L602" s="246"/>
    </row>
    <row r="603" spans="1:12" ht="12.75">
      <c r="A603" s="4"/>
      <c r="B603" s="5"/>
      <c r="C603" s="5"/>
      <c r="D603" s="5"/>
      <c r="E603" s="5"/>
      <c r="F603" s="5"/>
      <c r="G603" s="5"/>
      <c r="H603" s="5"/>
      <c r="I603" s="5"/>
      <c r="J603" s="5"/>
      <c r="K603" s="5"/>
      <c r="L603" s="6"/>
    </row>
    <row r="604" spans="1:12" ht="12.75">
      <c r="A604" s="4"/>
      <c r="B604" s="5"/>
      <c r="C604" s="5"/>
      <c r="D604" s="5" t="s">
        <v>1384</v>
      </c>
      <c r="E604" s="5"/>
      <c r="F604" s="5"/>
      <c r="G604" s="5"/>
      <c r="H604" s="5"/>
      <c r="I604" s="5"/>
      <c r="J604" s="5"/>
      <c r="K604" s="5"/>
      <c r="L604" s="6"/>
    </row>
    <row r="605" spans="1:12" ht="12.75">
      <c r="A605" s="4"/>
      <c r="B605" s="5"/>
      <c r="C605" s="5"/>
      <c r="D605" s="5" t="s">
        <v>1060</v>
      </c>
      <c r="E605" s="5"/>
      <c r="F605" s="5"/>
      <c r="G605" s="5"/>
      <c r="H605" s="5"/>
      <c r="I605" s="5"/>
      <c r="J605" s="5"/>
      <c r="K605" s="5"/>
      <c r="L605" s="6"/>
    </row>
    <row r="606" spans="1:12" ht="12.75">
      <c r="A606" s="4"/>
      <c r="B606" s="5"/>
      <c r="C606" s="5"/>
      <c r="D606" s="5"/>
      <c r="E606" s="5"/>
      <c r="F606" s="5"/>
      <c r="G606" s="5"/>
      <c r="H606" s="5"/>
      <c r="I606" s="5"/>
      <c r="J606" s="5"/>
      <c r="K606" s="5"/>
      <c r="L606" s="6"/>
    </row>
    <row r="607" spans="1:12" ht="12.75">
      <c r="A607" s="4"/>
      <c r="B607" s="5"/>
      <c r="C607" s="22" t="s">
        <v>1061</v>
      </c>
      <c r="D607" s="68">
        <f>IF(G600&gt;1,"",IF(D602&lt;(PI()/2),PI()-D602,D602))</f>
        <v>2.9915956684256204</v>
      </c>
      <c r="E607" s="5" t="s">
        <v>599</v>
      </c>
      <c r="F607" s="68">
        <f>IF(D607="","",DEGREES(D607))</f>
        <v>171.4058058104065</v>
      </c>
      <c r="G607" s="5" t="s">
        <v>1233</v>
      </c>
      <c r="H607" s="5"/>
      <c r="I607" s="5"/>
      <c r="J607" s="5"/>
      <c r="K607" s="5"/>
      <c r="L607" s="6"/>
    </row>
    <row r="608" spans="1:12" ht="12.75">
      <c r="A608" s="4"/>
      <c r="B608" s="5"/>
      <c r="C608" s="5"/>
      <c r="D608" s="5"/>
      <c r="E608" s="5"/>
      <c r="F608" s="5"/>
      <c r="G608" s="5"/>
      <c r="H608" s="5"/>
      <c r="I608" s="5"/>
      <c r="J608" s="5"/>
      <c r="K608" s="5"/>
      <c r="L608" s="6"/>
    </row>
    <row r="609" spans="1:12" ht="12.75">
      <c r="A609" s="4" t="s">
        <v>600</v>
      </c>
      <c r="B609" s="5" t="s">
        <v>1599</v>
      </c>
      <c r="C609" s="5"/>
      <c r="D609" s="5"/>
      <c r="E609" s="5"/>
      <c r="F609" s="5"/>
      <c r="G609" s="5"/>
      <c r="H609" s="5"/>
      <c r="I609" s="5"/>
      <c r="J609" s="5"/>
      <c r="K609" s="5"/>
      <c r="L609" s="6"/>
    </row>
    <row r="610" spans="1:12" ht="13.5" thickBot="1">
      <c r="A610" s="4"/>
      <c r="B610" s="5"/>
      <c r="C610" s="5"/>
      <c r="D610" s="5"/>
      <c r="E610" s="5"/>
      <c r="F610" s="5"/>
      <c r="G610" s="5"/>
      <c r="H610" s="5"/>
      <c r="I610" s="88" t="s">
        <v>556</v>
      </c>
      <c r="J610" s="115"/>
      <c r="K610" s="115"/>
      <c r="L610" s="192"/>
    </row>
    <row r="611" spans="1:12" ht="13.5" thickBot="1">
      <c r="A611" s="4"/>
      <c r="B611" s="22" t="s">
        <v>1781</v>
      </c>
      <c r="C611" s="5"/>
      <c r="D611" s="68">
        <f>IF(G600&gt;1,"",PI()-D596-D607)</f>
        <v>0.00671417906558025</v>
      </c>
      <c r="E611" s="5" t="s">
        <v>599</v>
      </c>
      <c r="F611" s="68">
        <f>IF(D611="","",DEGREES(D611))</f>
        <v>0.3846941233528391</v>
      </c>
      <c r="G611" s="5" t="s">
        <v>1233</v>
      </c>
      <c r="H611" s="5"/>
      <c r="I611" s="86" t="str">
        <f>IF(G600&gt;1,"None",IF(F611&lt;0,"Remaining Angle Less then Zero","None"))</f>
        <v>None</v>
      </c>
      <c r="J611" s="116"/>
      <c r="K611" s="116"/>
      <c r="L611" s="87"/>
    </row>
    <row r="612" spans="1:12" ht="12.75">
      <c r="A612" s="4"/>
      <c r="B612" s="5"/>
      <c r="C612" s="5"/>
      <c r="D612" s="5"/>
      <c r="E612" s="5"/>
      <c r="F612" s="5"/>
      <c r="G612" s="5"/>
      <c r="H612" s="5"/>
      <c r="I612" s="5"/>
      <c r="J612" s="5"/>
      <c r="K612" s="5"/>
      <c r="L612" s="6"/>
    </row>
    <row r="613" spans="1:12" ht="12.75">
      <c r="A613" s="4" t="s">
        <v>1782</v>
      </c>
      <c r="B613" s="5" t="s">
        <v>516</v>
      </c>
      <c r="C613" s="5"/>
      <c r="D613" s="5"/>
      <c r="E613" s="5"/>
      <c r="F613" s="5"/>
      <c r="G613" s="5"/>
      <c r="H613" s="5"/>
      <c r="I613" s="5"/>
      <c r="J613" s="5"/>
      <c r="K613" s="5"/>
      <c r="L613" s="6"/>
    </row>
    <row r="614" spans="1:12" ht="13.5" thickBot="1">
      <c r="A614" s="4"/>
      <c r="B614" s="5"/>
      <c r="C614" s="5"/>
      <c r="D614" s="5"/>
      <c r="E614" s="5"/>
      <c r="F614" s="5"/>
      <c r="G614" s="5"/>
      <c r="H614" s="5"/>
      <c r="I614" s="88" t="s">
        <v>557</v>
      </c>
      <c r="J614" s="115"/>
      <c r="K614" s="115"/>
      <c r="L614" s="192"/>
    </row>
    <row r="615" spans="1:12" ht="13.5" thickBot="1">
      <c r="A615" s="4"/>
      <c r="B615" s="5"/>
      <c r="C615" s="22" t="s">
        <v>772</v>
      </c>
      <c r="D615" s="5"/>
      <c r="E615" s="5"/>
      <c r="F615" s="189">
        <f>IF(G600&gt;1,"",SQRT($H$204^2+$I$89^2-(2*$H$204*$I$89*COS(D611))))</f>
        <v>299533.03166374133</v>
      </c>
      <c r="G615" s="5" t="s">
        <v>167</v>
      </c>
      <c r="H615" s="5"/>
      <c r="I615" s="86" t="str">
        <f>IF(G600&gt;1,"None",IF(($H$204^2+$I$89^2-(2*$H$204*$I$89*COS(D610)))&lt;0,"Taking Square Root of Negative Number","None"))</f>
        <v>None</v>
      </c>
      <c r="J615" s="116"/>
      <c r="K615" s="116"/>
      <c r="L615" s="87"/>
    </row>
    <row r="616" spans="1:12" ht="12.75">
      <c r="A616" s="4"/>
      <c r="B616" s="5"/>
      <c r="C616" s="5"/>
      <c r="D616" s="5"/>
      <c r="E616" s="5"/>
      <c r="F616" s="5"/>
      <c r="G616" s="5"/>
      <c r="H616" s="5"/>
      <c r="I616" s="5"/>
      <c r="J616" s="5"/>
      <c r="K616" s="5"/>
      <c r="L616" s="6"/>
    </row>
    <row r="617" spans="1:12" ht="12.75">
      <c r="A617" s="4" t="s">
        <v>773</v>
      </c>
      <c r="B617" s="5" t="s">
        <v>1520</v>
      </c>
      <c r="C617" s="5"/>
      <c r="D617" s="5"/>
      <c r="E617" s="5"/>
      <c r="F617" s="5"/>
      <c r="G617" s="5"/>
      <c r="H617" s="5"/>
      <c r="I617" s="5"/>
      <c r="J617" s="5"/>
      <c r="K617" s="5"/>
      <c r="L617" s="6"/>
    </row>
    <row r="618" spans="1:12" ht="12.75">
      <c r="A618" s="4"/>
      <c r="B618" s="5"/>
      <c r="C618" s="5"/>
      <c r="D618" s="5"/>
      <c r="E618" s="5"/>
      <c r="F618" s="5"/>
      <c r="G618" s="5"/>
      <c r="H618" s="5"/>
      <c r="I618" s="5"/>
      <c r="J618" s="5"/>
      <c r="K618" s="5"/>
      <c r="L618" s="6"/>
    </row>
    <row r="619" spans="1:12" ht="12.75">
      <c r="A619" s="4"/>
      <c r="B619" s="5"/>
      <c r="C619" s="5" t="s">
        <v>135</v>
      </c>
      <c r="D619" s="5" t="s">
        <v>1432</v>
      </c>
      <c r="E619" s="5"/>
      <c r="F619" s="5"/>
      <c r="G619" s="5"/>
      <c r="H619" s="5"/>
      <c r="I619" s="189">
        <f>IF(G600&gt;1,"",F615*J586)</f>
        <v>7948.053514605718</v>
      </c>
      <c r="J619" s="5" t="s">
        <v>167</v>
      </c>
      <c r="K619" s="5"/>
      <c r="L619" s="6"/>
    </row>
    <row r="620" spans="1:12" ht="12.75">
      <c r="A620" s="4"/>
      <c r="B620" s="5"/>
      <c r="C620" s="5" t="s">
        <v>136</v>
      </c>
      <c r="D620" s="5" t="s">
        <v>1434</v>
      </c>
      <c r="E620" s="5"/>
      <c r="F620" s="5"/>
      <c r="G620" s="5"/>
      <c r="H620" s="5"/>
      <c r="I620" s="189">
        <f>IF(G600&gt;1,"",F615*J587)</f>
        <v>42026.26380447172</v>
      </c>
      <c r="J620" s="5" t="s">
        <v>167</v>
      </c>
      <c r="K620" s="5"/>
      <c r="L620" s="6"/>
    </row>
    <row r="621" spans="1:12" ht="12.75">
      <c r="A621" s="4"/>
      <c r="B621" s="5"/>
      <c r="C621" s="5" t="s">
        <v>137</v>
      </c>
      <c r="D621" s="5" t="s">
        <v>284</v>
      </c>
      <c r="E621" s="5"/>
      <c r="F621" s="5"/>
      <c r="G621" s="5"/>
      <c r="H621" s="5"/>
      <c r="I621" s="189">
        <f>IF(G600&gt;1,"",F615*J588)</f>
        <v>-296463.5873992585</v>
      </c>
      <c r="J621" s="5" t="s">
        <v>167</v>
      </c>
      <c r="K621" s="5"/>
      <c r="L621" s="6"/>
    </row>
    <row r="622" spans="1:12" ht="12.75">
      <c r="A622" s="4"/>
      <c r="B622" s="5"/>
      <c r="C622" s="5"/>
      <c r="D622" s="5"/>
      <c r="E622" s="5"/>
      <c r="F622" s="5"/>
      <c r="G622" s="5"/>
      <c r="H622" s="5"/>
      <c r="I622" s="5"/>
      <c r="J622" s="5"/>
      <c r="K622" s="5"/>
      <c r="L622" s="6"/>
    </row>
    <row r="623" spans="1:12" ht="13.5" thickBot="1">
      <c r="A623" s="7"/>
      <c r="B623" s="8"/>
      <c r="C623" s="8"/>
      <c r="D623" s="8"/>
      <c r="E623" s="8"/>
      <c r="F623" s="8"/>
      <c r="G623" s="8"/>
      <c r="H623" s="8"/>
      <c r="I623" s="8"/>
      <c r="J623" s="8"/>
      <c r="K623" s="8"/>
      <c r="L623" s="9"/>
    </row>
    <row r="626" spans="2:5" ht="15.75">
      <c r="B626" s="225" t="s">
        <v>655</v>
      </c>
      <c r="C626" s="226"/>
      <c r="D626" s="226"/>
      <c r="E626" s="226"/>
    </row>
    <row r="627" ht="13.5" thickBot="1"/>
    <row r="628" spans="3:5" ht="15.75">
      <c r="C628" s="219" t="s">
        <v>656</v>
      </c>
      <c r="D628" s="219" t="s">
        <v>657</v>
      </c>
      <c r="E628" s="223" t="s">
        <v>656</v>
      </c>
    </row>
    <row r="629" spans="3:5" ht="16.5" thickBot="1">
      <c r="C629" s="220" t="s">
        <v>658</v>
      </c>
      <c r="D629" s="228"/>
      <c r="E629" s="224" t="s">
        <v>659</v>
      </c>
    </row>
    <row r="630" spans="3:5" ht="15.75">
      <c r="C630" s="229">
        <v>1</v>
      </c>
      <c r="D630" s="231" t="str">
        <f>IF(I232="None","None","Error")</f>
        <v>None</v>
      </c>
      <c r="E630" s="237">
        <f aca="true" t="shared" si="0" ref="E630:E645">IF(D630="None",0,1)</f>
        <v>0</v>
      </c>
    </row>
    <row r="631" spans="3:5" ht="15.75">
      <c r="C631" s="221">
        <v>2</v>
      </c>
      <c r="D631" s="232" t="str">
        <f>IF(I258="None","None","Error")</f>
        <v>None</v>
      </c>
      <c r="E631" s="238">
        <f t="shared" si="0"/>
        <v>0</v>
      </c>
    </row>
    <row r="632" spans="3:5" ht="15.75">
      <c r="C632" s="221">
        <v>3</v>
      </c>
      <c r="D632" s="232" t="str">
        <f>IF(I263="None","None","Error")</f>
        <v>None</v>
      </c>
      <c r="E632" s="238">
        <f t="shared" si="0"/>
        <v>0</v>
      </c>
    </row>
    <row r="633" spans="3:5" ht="15.75">
      <c r="C633" s="221">
        <v>4</v>
      </c>
      <c r="D633" s="232" t="str">
        <f>IF(I288="None","None","Error")</f>
        <v>None</v>
      </c>
      <c r="E633" s="238">
        <f t="shared" si="0"/>
        <v>0</v>
      </c>
    </row>
    <row r="634" spans="3:5" ht="15.75">
      <c r="C634" s="240">
        <v>5</v>
      </c>
      <c r="D634" s="232" t="str">
        <f>IF(I303="None","None","Error")</f>
        <v>None</v>
      </c>
      <c r="E634" s="238">
        <f t="shared" si="0"/>
        <v>0</v>
      </c>
    </row>
    <row r="635" spans="3:5" ht="15.75">
      <c r="C635" s="240">
        <v>6</v>
      </c>
      <c r="D635" s="232" t="str">
        <f>IF(I307="None","None","Error")</f>
        <v>None</v>
      </c>
      <c r="E635" s="238">
        <f t="shared" si="0"/>
        <v>0</v>
      </c>
    </row>
    <row r="636" spans="3:5" ht="15.75">
      <c r="C636" s="240">
        <v>7</v>
      </c>
      <c r="D636" s="232" t="str">
        <f>IF(I332="None","None","Error")</f>
        <v>None</v>
      </c>
      <c r="E636" s="238">
        <f t="shared" si="0"/>
        <v>0</v>
      </c>
    </row>
    <row r="637" spans="3:5" ht="15.75">
      <c r="C637" s="240">
        <v>8</v>
      </c>
      <c r="D637" s="232" t="str">
        <f>IF(I347="None","None","Error")</f>
        <v>None</v>
      </c>
      <c r="E637" s="238">
        <f t="shared" si="0"/>
        <v>0</v>
      </c>
    </row>
    <row r="638" spans="3:5" ht="15.75">
      <c r="C638" s="240">
        <v>9</v>
      </c>
      <c r="D638" s="232" t="str">
        <f>IF(I351="None","None","Error")</f>
        <v>None</v>
      </c>
      <c r="E638" s="238">
        <f t="shared" si="0"/>
        <v>0</v>
      </c>
    </row>
    <row r="639" spans="3:5" ht="15.75">
      <c r="C639" s="240">
        <v>10</v>
      </c>
      <c r="D639" s="232" t="str">
        <f>IF(I376="None","None","Error")</f>
        <v>None</v>
      </c>
      <c r="E639" s="238">
        <f t="shared" si="0"/>
        <v>0</v>
      </c>
    </row>
    <row r="640" spans="3:5" ht="15.75">
      <c r="C640" s="240">
        <v>11</v>
      </c>
      <c r="D640" s="232" t="str">
        <f>IF(I391="None","None","Error")</f>
        <v>None</v>
      </c>
      <c r="E640" s="238">
        <f t="shared" si="0"/>
        <v>0</v>
      </c>
    </row>
    <row r="641" spans="3:5" ht="15.75">
      <c r="C641" s="240">
        <v>12</v>
      </c>
      <c r="D641" s="232" t="str">
        <f>IF(I395="None","None","Error")</f>
        <v>None</v>
      </c>
      <c r="E641" s="238">
        <f t="shared" si="0"/>
        <v>0</v>
      </c>
    </row>
    <row r="642" spans="3:5" ht="15.75">
      <c r="C642" s="240">
        <v>13</v>
      </c>
      <c r="D642" s="232" t="str">
        <f>IF(I420="None","None","Error")</f>
        <v>None</v>
      </c>
      <c r="E642" s="238">
        <f t="shared" si="0"/>
        <v>0</v>
      </c>
    </row>
    <row r="643" spans="3:5" ht="15.75">
      <c r="C643" s="240">
        <v>14</v>
      </c>
      <c r="D643" s="232" t="str">
        <f>IF(I435="None","None","Error")</f>
        <v>None</v>
      </c>
      <c r="E643" s="238">
        <f t="shared" si="0"/>
        <v>0</v>
      </c>
    </row>
    <row r="644" spans="3:5" ht="15.75">
      <c r="C644" s="240">
        <v>15</v>
      </c>
      <c r="D644" s="232" t="str">
        <f>IF(I439="None","None","Error")</f>
        <v>None</v>
      </c>
      <c r="E644" s="238">
        <f t="shared" si="0"/>
        <v>0</v>
      </c>
    </row>
    <row r="645" spans="3:5" ht="15.75">
      <c r="C645" s="240">
        <v>16</v>
      </c>
      <c r="D645" s="232" t="str">
        <f>IF(I464="None","None","Error")</f>
        <v>None</v>
      </c>
      <c r="E645" s="238">
        <f t="shared" si="0"/>
        <v>0</v>
      </c>
    </row>
    <row r="646" spans="3:5" ht="15.75">
      <c r="C646" s="240">
        <v>17</v>
      </c>
      <c r="D646" s="232" t="str">
        <f>IF(I479="None","None","Error")</f>
        <v>None</v>
      </c>
      <c r="E646" s="238">
        <f aca="true" t="shared" si="1" ref="E646:E656">IF(D646="None",0,1)</f>
        <v>0</v>
      </c>
    </row>
    <row r="647" spans="3:5" ht="15.75">
      <c r="C647" s="240">
        <v>18</v>
      </c>
      <c r="D647" s="232" t="str">
        <f>IF(I483="None","None","Error")</f>
        <v>None</v>
      </c>
      <c r="E647" s="238">
        <f t="shared" si="1"/>
        <v>0</v>
      </c>
    </row>
    <row r="648" spans="3:5" ht="15.75">
      <c r="C648" s="240">
        <v>19</v>
      </c>
      <c r="D648" s="232" t="str">
        <f>IF(I508="None","None","Error")</f>
        <v>None</v>
      </c>
      <c r="E648" s="238">
        <f t="shared" si="1"/>
        <v>0</v>
      </c>
    </row>
    <row r="649" spans="3:5" ht="15.75">
      <c r="C649" s="240">
        <v>20</v>
      </c>
      <c r="D649" s="232" t="str">
        <f>IF(I523="None","None","Error")</f>
        <v>None</v>
      </c>
      <c r="E649" s="238">
        <f t="shared" si="1"/>
        <v>0</v>
      </c>
    </row>
    <row r="650" spans="3:5" ht="15.75">
      <c r="C650" s="240">
        <v>21</v>
      </c>
      <c r="D650" s="232" t="str">
        <f>IF(I527="None","None","Error")</f>
        <v>None</v>
      </c>
      <c r="E650" s="238">
        <f t="shared" si="1"/>
        <v>0</v>
      </c>
    </row>
    <row r="651" spans="3:5" ht="15.75">
      <c r="C651" s="240">
        <v>22</v>
      </c>
      <c r="D651" s="232" t="str">
        <f>IF(I552="None","None","Error")</f>
        <v>None</v>
      </c>
      <c r="E651" s="238">
        <f t="shared" si="1"/>
        <v>0</v>
      </c>
    </row>
    <row r="652" spans="3:5" ht="15.75">
      <c r="C652" s="240">
        <v>23</v>
      </c>
      <c r="D652" s="232" t="str">
        <f>IF(I567="None","None","Error")</f>
        <v>None</v>
      </c>
      <c r="E652" s="238">
        <f t="shared" si="1"/>
        <v>0</v>
      </c>
    </row>
    <row r="653" spans="3:5" ht="15.75">
      <c r="C653" s="240">
        <v>24</v>
      </c>
      <c r="D653" s="232" t="str">
        <f>IF(I571="None","None","Error")</f>
        <v>None</v>
      </c>
      <c r="E653" s="238">
        <f t="shared" si="1"/>
        <v>0</v>
      </c>
    </row>
    <row r="654" spans="3:5" ht="15.75">
      <c r="C654" s="240">
        <v>25</v>
      </c>
      <c r="D654" s="232" t="str">
        <f>IF(I596="None","None","Error")</f>
        <v>None</v>
      </c>
      <c r="E654" s="238">
        <f t="shared" si="1"/>
        <v>0</v>
      </c>
    </row>
    <row r="655" spans="3:5" ht="15.75">
      <c r="C655" s="240">
        <v>26</v>
      </c>
      <c r="D655" s="232" t="str">
        <f>IF(I611="None","None","Error")</f>
        <v>None</v>
      </c>
      <c r="E655" s="238">
        <f t="shared" si="1"/>
        <v>0</v>
      </c>
    </row>
    <row r="656" spans="3:5" ht="16.5" thickBot="1">
      <c r="C656" s="230">
        <v>27</v>
      </c>
      <c r="D656" s="233" t="str">
        <f>IF(I615="None","None","Error")</f>
        <v>None</v>
      </c>
      <c r="E656" s="239">
        <f t="shared" si="1"/>
        <v>0</v>
      </c>
    </row>
    <row r="657" ht="13.5" thickBot="1"/>
    <row r="658" spans="3:5" ht="16.5" thickBot="1">
      <c r="C658" s="234" t="s">
        <v>660</v>
      </c>
      <c r="D658" s="235"/>
      <c r="E658" s="236">
        <f>SUM(E630:E656)</f>
        <v>0</v>
      </c>
    </row>
  </sheetData>
  <sheetProtection password="CFF3" sheet="1" objects="1" scenarios="1"/>
  <printOptions/>
  <pageMargins left="0.75" right="0.45" top="0.5" bottom="1" header="0.5" footer="0.5"/>
  <pageSetup orientation="landscape" paperSize="9" scale="75"/>
  <headerFooter alignWithMargins="0">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Liddle</dc:creator>
  <cp:keywords/>
  <dc:description/>
  <cp:lastModifiedBy>liddle</cp:lastModifiedBy>
  <cp:lastPrinted>2002-11-04T16:58:21Z</cp:lastPrinted>
  <dcterms:created xsi:type="dcterms:W3CDTF">1999-07-18T23:30:50Z</dcterms:created>
  <dcterms:modified xsi:type="dcterms:W3CDTF">2002-11-05T21:58:12Z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