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45" windowWidth="11490" windowHeight="7980" tabRatio="836" activeTab="3"/>
  </bookViews>
  <sheets>
    <sheet name="Instructions" sheetId="1" r:id="rId1"/>
    <sheet name="645 Seed Calculator" sheetId="2" r:id="rId2"/>
    <sheet name="Forb List" sheetId="3" r:id="rId3"/>
    <sheet name="PLS" sheetId="4" r:id="rId4"/>
  </sheets>
  <definedNames>
    <definedName name="_xlnm.Print_Area" localSheetId="1">'645 Seed Calculator'!$A$2:$I$59</definedName>
  </definedNames>
  <calcPr fullCalcOnLoad="1"/>
</workbook>
</file>

<file path=xl/sharedStrings.xml><?xml version="1.0" encoding="utf-8"?>
<sst xmlns="http://schemas.openxmlformats.org/spreadsheetml/2006/main" count="396" uniqueCount="226">
  <si>
    <t>Big Bluestem</t>
  </si>
  <si>
    <t>Canada Wildrye</t>
  </si>
  <si>
    <t>Eastern Gamagrass</t>
  </si>
  <si>
    <t>Indiangrass</t>
  </si>
  <si>
    <t>Kentucky Bluegrass</t>
  </si>
  <si>
    <t>Little Bluestem</t>
  </si>
  <si>
    <t>Orchardgrass</t>
  </si>
  <si>
    <t>Redtop</t>
  </si>
  <si>
    <t>Sideoats Grama</t>
  </si>
  <si>
    <t>Switchgrass</t>
  </si>
  <si>
    <t>Timothy</t>
  </si>
  <si>
    <t>Virginia Wildrye</t>
  </si>
  <si>
    <t>Alsike Clover</t>
  </si>
  <si>
    <t>White Dutch Clover</t>
  </si>
  <si>
    <t>Ladino Clover</t>
  </si>
  <si>
    <t>Birdsfoot Trefoil</t>
  </si>
  <si>
    <t>Red Clover</t>
  </si>
  <si>
    <t>Alfalfa</t>
  </si>
  <si>
    <t>Partridge Pea</t>
  </si>
  <si>
    <t xml:space="preserve"> </t>
  </si>
  <si>
    <t>Species</t>
  </si>
  <si>
    <t>Seeds/lb</t>
  </si>
  <si>
    <t>Seed</t>
  </si>
  <si>
    <t>Surviv.</t>
  </si>
  <si>
    <t>Desired</t>
  </si>
  <si>
    <t>Percent of</t>
  </si>
  <si>
    <t>plants</t>
  </si>
  <si>
    <t>desired</t>
  </si>
  <si>
    <t>Wildlife</t>
  </si>
  <si>
    <t>Seeding</t>
  </si>
  <si>
    <t>Total Pounds of seed mix:</t>
  </si>
  <si>
    <r>
      <t xml:space="preserve"> /ft</t>
    </r>
    <r>
      <rPr>
        <b/>
        <vertAlign val="superscript"/>
        <sz val="10"/>
        <rFont val="Arial"/>
        <family val="2"/>
      </rPr>
      <t>2</t>
    </r>
  </si>
  <si>
    <r>
      <t>seeds/ft</t>
    </r>
    <r>
      <rPr>
        <b/>
        <vertAlign val="superscript"/>
        <sz val="10"/>
        <rFont val="Arial"/>
        <family val="2"/>
      </rPr>
      <t>2</t>
    </r>
  </si>
  <si>
    <t xml:space="preserve">                    The USDA is an equal opportunity provider and employer.</t>
  </si>
  <si>
    <t>UPLAND WILDLIFE HABITAT MANAGEMENT</t>
  </si>
  <si>
    <t>Riverbank Wildrye</t>
  </si>
  <si>
    <t>Erosive</t>
  </si>
  <si>
    <t>Warm Season Grasses</t>
  </si>
  <si>
    <t>Cool Season Grasses</t>
  </si>
  <si>
    <t>Common Lespedeza</t>
  </si>
  <si>
    <t>Kobe Lespedeza</t>
  </si>
  <si>
    <t>Marion Lespedeza</t>
  </si>
  <si>
    <t>Slender Lespedeza</t>
  </si>
  <si>
    <t>Hoary Tick Trefoil</t>
  </si>
  <si>
    <t>Legumes to be added to grass mixes</t>
  </si>
  <si>
    <t>Round-headed Lesp.</t>
  </si>
  <si>
    <t>This seed mixture is prepared for:</t>
  </si>
  <si>
    <t>on tract number:</t>
  </si>
  <si>
    <t>located in</t>
  </si>
  <si>
    <t>County.  Field numbers,</t>
  </si>
  <si>
    <t>will be planted to the following selected species and total</t>
  </si>
  <si>
    <t>acres.</t>
  </si>
  <si>
    <t>Johnson</t>
  </si>
  <si>
    <t>Lb./Acre</t>
  </si>
  <si>
    <t>Generally, do not mix cool season and warm season grasses.</t>
  </si>
  <si>
    <t>Enter percent of each desired species.  Grass &amp; legume running totals must equal 100% or more.</t>
  </si>
  <si>
    <t>Edit only areas with GREEN letters!</t>
  </si>
  <si>
    <t xml:space="preserve">  Pick one the following  </t>
  </si>
  <si>
    <t xml:space="preserve">             (Not to be used as a monoculture)</t>
  </si>
  <si>
    <t>Dropseed</t>
  </si>
  <si>
    <t>Oz/Ac</t>
  </si>
  <si>
    <t>Rate in</t>
  </si>
  <si>
    <t>Running</t>
  </si>
  <si>
    <t>Total</t>
  </si>
  <si>
    <t>grass mixes:</t>
  </si>
  <si>
    <t>Forbs to be added to</t>
  </si>
  <si>
    <t>Native Forb List and Recommended Rates</t>
  </si>
  <si>
    <t>(Adjust rate according to number of species in mix)</t>
  </si>
  <si>
    <t>Soil Drainage Class</t>
  </si>
  <si>
    <t>Seeding Rate per Acre</t>
  </si>
  <si>
    <t>Suitability</t>
  </si>
  <si>
    <t xml:space="preserve">Aster, Flat Topped </t>
  </si>
  <si>
    <t>PD – SPD</t>
  </si>
  <si>
    <t>1 oz.</t>
  </si>
  <si>
    <t>Golden Alexander</t>
  </si>
  <si>
    <t>PD - MWD</t>
  </si>
  <si>
    <t>8 .oz</t>
  </si>
  <si>
    <t>Aster, New England</t>
  </si>
  <si>
    <t>PD – WD</t>
  </si>
  <si>
    <t>SPD – ED</t>
  </si>
  <si>
    <t>2 oz.</t>
  </si>
  <si>
    <t>Aster, Sky Blue</t>
  </si>
  <si>
    <t>MWD - ED</t>
  </si>
  <si>
    <t>SPD - ED</t>
  </si>
  <si>
    <t>Aster, Swamp</t>
  </si>
  <si>
    <t>18 oz.</t>
  </si>
  <si>
    <t>Indigo, White Wild</t>
  </si>
  <si>
    <t>MWD – ED</t>
  </si>
  <si>
    <t>51 oz.</t>
  </si>
  <si>
    <t>Blackeyed Susan</t>
  </si>
  <si>
    <t>MWD-ED</t>
  </si>
  <si>
    <t>MWD - WD</t>
  </si>
  <si>
    <t>SPD - WD</t>
  </si>
  <si>
    <t xml:space="preserve">Blazing Star, Button </t>
  </si>
  <si>
    <t>7 oz.</t>
  </si>
  <si>
    <t>Ironweed</t>
  </si>
  <si>
    <t xml:space="preserve">Blazing Star, Dense </t>
  </si>
  <si>
    <t xml:space="preserve">Lead Plant </t>
  </si>
  <si>
    <t>WD – ED</t>
  </si>
  <si>
    <t>5 oz.</t>
  </si>
  <si>
    <t>Blazing Star, Prairie</t>
  </si>
  <si>
    <t>(WSL - small shrub)</t>
  </si>
  <si>
    <t>6 oz.</t>
  </si>
  <si>
    <t>Milkweed, Butterfly</t>
  </si>
  <si>
    <t>28 oz.</t>
  </si>
  <si>
    <t>Butterfly Weed</t>
  </si>
  <si>
    <t>Milkweed, Swamp</t>
  </si>
  <si>
    <t>19 oz.</t>
  </si>
  <si>
    <t>Cardinal Flower</t>
  </si>
  <si>
    <t>½ oz.</t>
  </si>
  <si>
    <t>Milkvetch, Canada</t>
  </si>
  <si>
    <t>SPD – WD</t>
  </si>
  <si>
    <t>3 oz.</t>
  </si>
  <si>
    <t>New Jersey Tea</t>
  </si>
  <si>
    <t>11 oz.</t>
  </si>
  <si>
    <t>17 oz.</t>
  </si>
  <si>
    <t>13 oz.</t>
  </si>
  <si>
    <t>Nodding Bur Marigold</t>
  </si>
  <si>
    <t>4 oz.</t>
  </si>
  <si>
    <t>Coneflower, Yellow</t>
  </si>
  <si>
    <t>Obedient Plant</t>
  </si>
  <si>
    <t>Cup Plant</t>
  </si>
  <si>
    <t>109 oz.</t>
  </si>
  <si>
    <t>Ohio Spiderwort</t>
  </si>
  <si>
    <t>21 oz.</t>
  </si>
  <si>
    <t>SPD - MWD</t>
  </si>
  <si>
    <t xml:space="preserve">Prairie Dock </t>
  </si>
  <si>
    <t>77 oz.</t>
  </si>
  <si>
    <t xml:space="preserve">Rattlesnake Master </t>
  </si>
  <si>
    <t>Sneezeweed</t>
  </si>
  <si>
    <t>Sunflower, False</t>
  </si>
  <si>
    <t>Tall Coreopsis</t>
  </si>
  <si>
    <t>8 oz.</t>
  </si>
  <si>
    <t>20 oz.</t>
  </si>
  <si>
    <r>
      <t>Tick Trefoil, Showy (a.k.a. Canada)</t>
    </r>
    <r>
      <rPr>
        <b/>
        <sz val="9"/>
        <rFont val="Arial"/>
        <family val="2"/>
      </rPr>
      <t xml:space="preserve"> </t>
    </r>
  </si>
  <si>
    <t>Vervain, Blue</t>
  </si>
  <si>
    <t>VPD - SPD</t>
  </si>
  <si>
    <t>Vervain, Hoary</t>
  </si>
  <si>
    <t>Virginia Blue Flag</t>
  </si>
  <si>
    <t>87 oz.</t>
  </si>
  <si>
    <t>Virginia Mountain Mint</t>
  </si>
  <si>
    <t>Wild Bergamot</t>
  </si>
  <si>
    <t>Wild Quinine</t>
  </si>
  <si>
    <t>Wild Senna</t>
  </si>
  <si>
    <t>70 oz.</t>
  </si>
  <si>
    <r>
      <t>(</t>
    </r>
    <r>
      <rPr>
        <i/>
        <sz val="9"/>
        <rFont val="Times New Roman"/>
        <family val="1"/>
      </rPr>
      <t>Aster umbellatus</t>
    </r>
    <r>
      <rPr>
        <sz val="8"/>
        <rFont val="Times New Roman"/>
        <family val="1"/>
      </rPr>
      <t>)</t>
    </r>
  </si>
  <si>
    <r>
      <t>(</t>
    </r>
    <r>
      <rPr>
        <i/>
        <sz val="9"/>
        <rFont val="Times New Roman"/>
        <family val="1"/>
      </rPr>
      <t>Zizia aurea</t>
    </r>
    <r>
      <rPr>
        <sz val="9"/>
        <rFont val="Arial"/>
        <family val="2"/>
      </rPr>
      <t>)</t>
    </r>
  </si>
  <si>
    <r>
      <t>Goldenrod, Riddell’s</t>
    </r>
    <r>
      <rPr>
        <sz val="10"/>
        <rFont val="Times New Roman"/>
        <family val="1"/>
      </rPr>
      <t xml:space="preserve"> </t>
    </r>
  </si>
  <si>
    <r>
      <t>(</t>
    </r>
    <r>
      <rPr>
        <i/>
        <sz val="9"/>
        <rFont val="Times New Roman"/>
        <family val="1"/>
      </rPr>
      <t>Aster novaeangliae</t>
    </r>
    <r>
      <rPr>
        <sz val="9"/>
        <rFont val="Times New Roman"/>
        <family val="1"/>
      </rPr>
      <t>)</t>
    </r>
  </si>
  <si>
    <r>
      <t>(</t>
    </r>
    <r>
      <rPr>
        <i/>
        <sz val="9"/>
        <rFont val="Times New Roman"/>
        <family val="1"/>
      </rPr>
      <t>Solidago riddelli</t>
    </r>
    <r>
      <rPr>
        <sz val="9"/>
        <rFont val="Times New Roman"/>
        <family val="1"/>
      </rPr>
      <t>)</t>
    </r>
  </si>
  <si>
    <r>
      <t>Goldenrod, Rigid</t>
    </r>
    <r>
      <rPr>
        <sz val="9"/>
        <rFont val="Arial"/>
        <family val="2"/>
      </rPr>
      <t xml:space="preserve"> </t>
    </r>
  </si>
  <si>
    <r>
      <t xml:space="preserve"> </t>
    </r>
    <r>
      <rPr>
        <sz val="9"/>
        <rFont val="Times New Roman"/>
        <family val="1"/>
      </rPr>
      <t>(</t>
    </r>
    <r>
      <rPr>
        <i/>
        <sz val="9"/>
        <rFont val="Times New Roman"/>
        <family val="1"/>
      </rPr>
      <t>Aster azureus</t>
    </r>
    <r>
      <rPr>
        <sz val="9"/>
        <rFont val="Times New Roman"/>
        <family val="1"/>
      </rPr>
      <t>)</t>
    </r>
  </si>
  <si>
    <r>
      <t>(</t>
    </r>
    <r>
      <rPr>
        <i/>
        <sz val="9"/>
        <rFont val="Times New Roman"/>
        <family val="1"/>
      </rPr>
      <t>Solidago rigida</t>
    </r>
    <r>
      <rPr>
        <sz val="9"/>
        <rFont val="Arial"/>
        <family val="2"/>
      </rPr>
      <t>)</t>
    </r>
  </si>
  <si>
    <r>
      <t xml:space="preserve">Illinois Bundleflower </t>
    </r>
    <r>
      <rPr>
        <sz val="9"/>
        <rFont val="Arial"/>
        <family val="2"/>
      </rPr>
      <t>(</t>
    </r>
    <r>
      <rPr>
        <i/>
        <sz val="9"/>
        <rFont val="Times New Roman"/>
        <family val="1"/>
      </rPr>
      <t>Desmanthus Illinoensis</t>
    </r>
    <r>
      <rPr>
        <sz val="9"/>
        <rFont val="Arial"/>
        <family val="2"/>
      </rPr>
      <t>)</t>
    </r>
  </si>
  <si>
    <r>
      <t>(</t>
    </r>
    <r>
      <rPr>
        <i/>
        <sz val="9"/>
        <rFont val="Times New Roman"/>
        <family val="1"/>
      </rPr>
      <t>Aster puniceus</t>
    </r>
    <r>
      <rPr>
        <sz val="9"/>
        <rFont val="Times New Roman"/>
        <family val="1"/>
      </rPr>
      <t>)</t>
    </r>
  </si>
  <si>
    <r>
      <t>(</t>
    </r>
    <r>
      <rPr>
        <i/>
        <sz val="9"/>
        <rFont val="Times New Roman"/>
        <family val="1"/>
      </rPr>
      <t>Baptisia leucantha</t>
    </r>
    <r>
      <rPr>
        <sz val="9"/>
        <rFont val="Arial"/>
        <family val="2"/>
      </rPr>
      <t>)</t>
    </r>
  </si>
  <si>
    <r>
      <t>(</t>
    </r>
    <r>
      <rPr>
        <i/>
        <sz val="9"/>
        <rFont val="Times New Roman"/>
        <family val="1"/>
      </rPr>
      <t>Rudbeckia hirta</t>
    </r>
    <r>
      <rPr>
        <sz val="10"/>
        <rFont val="Arial"/>
        <family val="2"/>
      </rPr>
      <t>)</t>
    </r>
  </si>
  <si>
    <r>
      <t xml:space="preserve">   </t>
    </r>
    <r>
      <rPr>
        <sz val="10"/>
        <rFont val="Arial"/>
        <family val="2"/>
      </rPr>
      <t>(L)</t>
    </r>
  </si>
  <si>
    <r>
      <t>Sweet Black-eyed Susan</t>
    </r>
    <r>
      <rPr>
        <sz val="10"/>
        <rFont val="Times New Roman"/>
        <family val="1"/>
      </rPr>
      <t xml:space="preserve"> (</t>
    </r>
    <r>
      <rPr>
        <i/>
        <sz val="9"/>
        <rFont val="Times New Roman"/>
        <family val="1"/>
      </rPr>
      <t>Rudbeckia subtomentosa</t>
    </r>
    <r>
      <rPr>
        <sz val="9"/>
        <rFont val="Times New Roman"/>
        <family val="1"/>
      </rPr>
      <t>)</t>
    </r>
  </si>
  <si>
    <r>
      <t>Indigo, Cream White</t>
    </r>
    <r>
      <rPr>
        <sz val="9"/>
        <rFont val="Arial"/>
        <family val="2"/>
      </rPr>
      <t xml:space="preserve"> (a.k.a. False White)</t>
    </r>
  </si>
  <si>
    <r>
      <t>(</t>
    </r>
    <r>
      <rPr>
        <i/>
        <sz val="9"/>
        <rFont val="Times New Roman"/>
        <family val="1"/>
      </rPr>
      <t>Baptisia lactea</t>
    </r>
    <r>
      <rPr>
        <sz val="9"/>
        <rFont val="Arial"/>
        <family val="2"/>
      </rPr>
      <t>)</t>
    </r>
  </si>
  <si>
    <r>
      <t>(</t>
    </r>
    <r>
      <rPr>
        <i/>
        <sz val="9"/>
        <rFont val="Times New Roman"/>
        <family val="1"/>
      </rPr>
      <t>Liatris aspera</t>
    </r>
    <r>
      <rPr>
        <sz val="9"/>
        <rFont val="Times New Roman"/>
        <family val="1"/>
      </rPr>
      <t>)</t>
    </r>
  </si>
  <si>
    <r>
      <t>(</t>
    </r>
    <r>
      <rPr>
        <i/>
        <sz val="9"/>
        <rFont val="Times New Roman"/>
        <family val="1"/>
      </rPr>
      <t>Vernonia fasciculata</t>
    </r>
    <r>
      <rPr>
        <sz val="9"/>
        <rFont val="Arial"/>
        <family val="2"/>
      </rPr>
      <t>)</t>
    </r>
  </si>
  <si>
    <r>
      <t>(</t>
    </r>
    <r>
      <rPr>
        <i/>
        <sz val="9"/>
        <rFont val="Times New Roman"/>
        <family val="1"/>
      </rPr>
      <t>Liatris spicata</t>
    </r>
    <r>
      <rPr>
        <sz val="9"/>
        <rFont val="Times New Roman"/>
        <family val="1"/>
      </rPr>
      <t>)</t>
    </r>
  </si>
  <si>
    <r>
      <t>(</t>
    </r>
    <r>
      <rPr>
        <b/>
        <i/>
        <sz val="9"/>
        <rFont val="Times New Roman"/>
        <family val="1"/>
      </rPr>
      <t>Amorpha canescens</t>
    </r>
    <r>
      <rPr>
        <b/>
        <sz val="9"/>
        <rFont val="Arial"/>
        <family val="2"/>
      </rPr>
      <t>)</t>
    </r>
  </si>
  <si>
    <r>
      <t>(</t>
    </r>
    <r>
      <rPr>
        <i/>
        <sz val="9"/>
        <rFont val="Times New Roman"/>
        <family val="1"/>
      </rPr>
      <t>Liatris pycnostachya</t>
    </r>
    <r>
      <rPr>
        <sz val="9"/>
        <rFont val="Arial"/>
        <family val="2"/>
      </rPr>
      <t>)</t>
    </r>
  </si>
  <si>
    <r>
      <t>Blazing Star, Rough</t>
    </r>
    <r>
      <rPr>
        <sz val="9"/>
        <rFont val="Arial"/>
        <family val="2"/>
      </rPr>
      <t xml:space="preserve"> </t>
    </r>
  </si>
  <si>
    <r>
      <t>(</t>
    </r>
    <r>
      <rPr>
        <i/>
        <sz val="9"/>
        <rFont val="Times New Roman"/>
        <family val="1"/>
      </rPr>
      <t>Liatris aspera</t>
    </r>
    <r>
      <rPr>
        <sz val="9"/>
        <rFont val="Arial"/>
        <family val="2"/>
      </rPr>
      <t>)</t>
    </r>
  </si>
  <si>
    <r>
      <t>(</t>
    </r>
    <r>
      <rPr>
        <i/>
        <sz val="9"/>
        <rFont val="Times New Roman"/>
        <family val="1"/>
      </rPr>
      <t>Asclepias tuberosa</t>
    </r>
    <r>
      <rPr>
        <sz val="9"/>
        <rFont val="Arial"/>
        <family val="2"/>
      </rPr>
      <t>)</t>
    </r>
  </si>
  <si>
    <r>
      <t>(</t>
    </r>
    <r>
      <rPr>
        <i/>
        <sz val="9"/>
        <rFont val="Times New Roman"/>
        <family val="1"/>
      </rPr>
      <t>Asclepias tuberose</t>
    </r>
    <r>
      <rPr>
        <sz val="9"/>
        <rFont val="Arial"/>
        <family val="2"/>
      </rPr>
      <t>)</t>
    </r>
  </si>
  <si>
    <r>
      <t>(</t>
    </r>
    <r>
      <rPr>
        <i/>
        <sz val="9"/>
        <rFont val="Times New Roman"/>
        <family val="1"/>
      </rPr>
      <t>Asclepias incarnata</t>
    </r>
    <r>
      <rPr>
        <sz val="9"/>
        <rFont val="Arial"/>
        <family val="2"/>
      </rPr>
      <t>)</t>
    </r>
  </si>
  <si>
    <r>
      <t>(</t>
    </r>
    <r>
      <rPr>
        <i/>
        <sz val="9"/>
        <rFont val="Times New Roman"/>
        <family val="1"/>
      </rPr>
      <t>Lobelia cardinalis</t>
    </r>
    <r>
      <rPr>
        <sz val="9"/>
        <rFont val="Arial"/>
        <family val="2"/>
      </rPr>
      <t>)</t>
    </r>
  </si>
  <si>
    <r>
      <t>(</t>
    </r>
    <r>
      <rPr>
        <i/>
        <sz val="9"/>
        <rFont val="Times New Roman"/>
        <family val="1"/>
      </rPr>
      <t>Astragalus canadensis</t>
    </r>
    <r>
      <rPr>
        <sz val="9"/>
        <rFont val="Times New Roman"/>
        <family val="1"/>
      </rPr>
      <t>)</t>
    </r>
  </si>
  <si>
    <r>
      <t>Coneflower, Gray-Headed</t>
    </r>
    <r>
      <rPr>
        <b/>
        <sz val="10"/>
        <rFont val="Arial"/>
        <family val="2"/>
      </rPr>
      <t xml:space="preserve"> </t>
    </r>
    <r>
      <rPr>
        <sz val="9"/>
        <rFont val="Arial"/>
        <family val="2"/>
      </rPr>
      <t>(</t>
    </r>
    <r>
      <rPr>
        <i/>
        <sz val="9"/>
        <rFont val="Times New Roman"/>
        <family val="1"/>
      </rPr>
      <t>Ratibida pinnata</t>
    </r>
    <r>
      <rPr>
        <sz val="9"/>
        <rFont val="Arial"/>
        <family val="2"/>
      </rPr>
      <t>)</t>
    </r>
  </si>
  <si>
    <r>
      <t xml:space="preserve">Coneflower, Pale Purple </t>
    </r>
    <r>
      <rPr>
        <sz val="9"/>
        <rFont val="Arial"/>
        <family val="2"/>
      </rPr>
      <t>(</t>
    </r>
    <r>
      <rPr>
        <i/>
        <sz val="9"/>
        <rFont val="Times New Roman"/>
        <family val="1"/>
      </rPr>
      <t>Echinacea pallida</t>
    </r>
    <r>
      <rPr>
        <sz val="9"/>
        <rFont val="Arial"/>
        <family val="2"/>
      </rPr>
      <t>)</t>
    </r>
  </si>
  <si>
    <r>
      <t>(</t>
    </r>
    <r>
      <rPr>
        <i/>
        <sz val="9"/>
        <rFont val="Times New Roman"/>
        <family val="1"/>
      </rPr>
      <t>Ceanothus Americanus</t>
    </r>
    <r>
      <rPr>
        <i/>
        <sz val="9"/>
        <rFont val="Arial"/>
        <family val="2"/>
      </rPr>
      <t xml:space="preserve">) </t>
    </r>
    <r>
      <rPr>
        <sz val="10"/>
        <rFont val="Arial"/>
        <family val="2"/>
      </rPr>
      <t>(small shrub)</t>
    </r>
  </si>
  <si>
    <r>
      <t xml:space="preserve">Coneflower, Purple </t>
    </r>
    <r>
      <rPr>
        <sz val="9"/>
        <rFont val="Arial"/>
        <family val="2"/>
      </rPr>
      <t>(</t>
    </r>
    <r>
      <rPr>
        <i/>
        <sz val="9"/>
        <rFont val="Times New Roman"/>
        <family val="1"/>
      </rPr>
      <t>Echinacea purpurea</t>
    </r>
    <r>
      <rPr>
        <sz val="9"/>
        <rFont val="Arial"/>
        <family val="2"/>
      </rPr>
      <t>)</t>
    </r>
  </si>
  <si>
    <r>
      <t>(</t>
    </r>
    <r>
      <rPr>
        <i/>
        <sz val="9"/>
        <rFont val="Times New Roman"/>
        <family val="1"/>
      </rPr>
      <t>Bidens cernua</t>
    </r>
    <r>
      <rPr>
        <sz val="9"/>
        <rFont val="Arial"/>
        <family val="2"/>
      </rPr>
      <t>)</t>
    </r>
  </si>
  <si>
    <r>
      <t>(</t>
    </r>
    <r>
      <rPr>
        <i/>
        <sz val="9"/>
        <rFont val="Times New Roman"/>
        <family val="1"/>
      </rPr>
      <t>Ratibida pinnata</t>
    </r>
    <r>
      <rPr>
        <sz val="9"/>
        <rFont val="Arial"/>
        <family val="2"/>
      </rPr>
      <t>)</t>
    </r>
  </si>
  <si>
    <r>
      <t>(</t>
    </r>
    <r>
      <rPr>
        <i/>
        <sz val="9"/>
        <rFont val="Times New Roman"/>
        <family val="1"/>
      </rPr>
      <t>Physostegia virginiana</t>
    </r>
    <r>
      <rPr>
        <sz val="9"/>
        <rFont val="Arial"/>
        <family val="2"/>
      </rPr>
      <t>)</t>
    </r>
  </si>
  <si>
    <r>
      <t>(</t>
    </r>
    <r>
      <rPr>
        <i/>
        <sz val="9"/>
        <rFont val="Times New Roman"/>
        <family val="1"/>
      </rPr>
      <t>Silphium perfoliatum</t>
    </r>
    <r>
      <rPr>
        <sz val="9"/>
        <rFont val="Arial"/>
        <family val="2"/>
      </rPr>
      <t>)</t>
    </r>
  </si>
  <si>
    <r>
      <t>Entire-Leaf Rosinweed (</t>
    </r>
    <r>
      <rPr>
        <i/>
        <sz val="9"/>
        <rFont val="Times New Roman"/>
        <family val="1"/>
      </rPr>
      <t>Silphium integrifolium</t>
    </r>
    <r>
      <rPr>
        <sz val="9"/>
        <rFont val="Arial"/>
        <family val="2"/>
      </rPr>
      <t>)</t>
    </r>
  </si>
  <si>
    <r>
      <t>(</t>
    </r>
    <r>
      <rPr>
        <i/>
        <sz val="9"/>
        <rFont val="Times New Roman"/>
        <family val="1"/>
      </rPr>
      <t>Tradescantia ohiensis</t>
    </r>
    <r>
      <rPr>
        <sz val="9"/>
        <rFont val="Arial"/>
        <family val="2"/>
      </rPr>
      <t>)</t>
    </r>
  </si>
  <si>
    <r>
      <t xml:space="preserve">Foxglove Beardtongue </t>
    </r>
    <r>
      <rPr>
        <sz val="9"/>
        <rFont val="Arial"/>
        <family val="2"/>
      </rPr>
      <t>(</t>
    </r>
    <r>
      <rPr>
        <i/>
        <sz val="9"/>
        <rFont val="Times New Roman"/>
        <family val="1"/>
      </rPr>
      <t>Penstemon digitalis</t>
    </r>
    <r>
      <rPr>
        <sz val="9"/>
        <rFont val="Arial"/>
        <family val="2"/>
      </rPr>
      <t>)</t>
    </r>
  </si>
  <si>
    <r>
      <t>Prairie Clover, Purple</t>
    </r>
    <r>
      <rPr>
        <b/>
        <sz val="10"/>
        <rFont val="Times New Roman"/>
        <family val="1"/>
      </rPr>
      <t xml:space="preserve"> </t>
    </r>
    <r>
      <rPr>
        <b/>
        <sz val="9"/>
        <rFont val="Times New Roman"/>
        <family val="1"/>
      </rPr>
      <t>(</t>
    </r>
    <r>
      <rPr>
        <b/>
        <i/>
        <sz val="9"/>
        <rFont val="Times New Roman"/>
        <family val="1"/>
      </rPr>
      <t>Petalostemum purpureum</t>
    </r>
    <r>
      <rPr>
        <b/>
        <sz val="9"/>
        <rFont val="Times New Roman"/>
        <family val="1"/>
      </rPr>
      <t>)</t>
    </r>
  </si>
  <si>
    <r>
      <t>Prairie Clover, White</t>
    </r>
    <r>
      <rPr>
        <b/>
        <sz val="10"/>
        <rFont val="Times New Roman"/>
        <family val="1"/>
      </rPr>
      <t xml:space="preserve"> </t>
    </r>
    <r>
      <rPr>
        <b/>
        <sz val="9"/>
        <rFont val="Times New Roman"/>
        <family val="1"/>
      </rPr>
      <t>(</t>
    </r>
    <r>
      <rPr>
        <b/>
        <i/>
        <sz val="9"/>
        <rFont val="Times New Roman"/>
        <family val="1"/>
      </rPr>
      <t>Petalostemum candidum</t>
    </r>
    <r>
      <rPr>
        <b/>
        <sz val="9"/>
        <rFont val="Times New Roman"/>
        <family val="1"/>
      </rPr>
      <t>)</t>
    </r>
  </si>
  <si>
    <r>
      <t>(</t>
    </r>
    <r>
      <rPr>
        <i/>
        <sz val="9"/>
        <rFont val="Times New Roman"/>
        <family val="1"/>
      </rPr>
      <t>Silphium</t>
    </r>
    <r>
      <rPr>
        <sz val="9"/>
        <rFont val="Times New Roman"/>
        <family val="1"/>
      </rPr>
      <t xml:space="preserve"> t</t>
    </r>
    <r>
      <rPr>
        <i/>
        <sz val="9"/>
        <rFont val="Times New Roman"/>
        <family val="1"/>
      </rPr>
      <t>erebinthinaceum</t>
    </r>
    <r>
      <rPr>
        <sz val="9"/>
        <rFont val="Times New Roman"/>
        <family val="1"/>
      </rPr>
      <t>)</t>
    </r>
  </si>
  <si>
    <r>
      <t>(</t>
    </r>
    <r>
      <rPr>
        <i/>
        <sz val="9"/>
        <rFont val="Times New Roman"/>
        <family val="1"/>
      </rPr>
      <t>Eryngium yuccifolium</t>
    </r>
    <r>
      <rPr>
        <sz val="9"/>
        <rFont val="Times New Roman"/>
        <family val="1"/>
      </rPr>
      <t>)</t>
    </r>
  </si>
  <si>
    <r>
      <t>(</t>
    </r>
    <r>
      <rPr>
        <i/>
        <sz val="9"/>
        <rFont val="Times New Roman"/>
        <family val="1"/>
      </rPr>
      <t>Helenium autumnale</t>
    </r>
    <r>
      <rPr>
        <sz val="9"/>
        <rFont val="Arial"/>
        <family val="2"/>
      </rPr>
      <t xml:space="preserve">) </t>
    </r>
  </si>
  <si>
    <r>
      <t>Spotted Joe Pye Weed (</t>
    </r>
    <r>
      <rPr>
        <i/>
        <sz val="9"/>
        <rFont val="Times New Roman"/>
        <family val="1"/>
      </rPr>
      <t>Eupatorium maculatum</t>
    </r>
    <r>
      <rPr>
        <sz val="9"/>
        <rFont val="Arial"/>
        <family val="2"/>
      </rPr>
      <t>)</t>
    </r>
  </si>
  <si>
    <r>
      <t>(</t>
    </r>
    <r>
      <rPr>
        <i/>
        <sz val="9"/>
        <rFont val="Times New Roman"/>
        <family val="1"/>
      </rPr>
      <t>Heliopsis helianthoides</t>
    </r>
    <r>
      <rPr>
        <sz val="8"/>
        <rFont val="Arial"/>
        <family val="2"/>
      </rPr>
      <t>)</t>
    </r>
  </si>
  <si>
    <r>
      <t>Sunflower, Sawtooth (</t>
    </r>
    <r>
      <rPr>
        <i/>
        <sz val="9"/>
        <rFont val="Times New Roman"/>
        <family val="1"/>
      </rPr>
      <t>Helianthus grosseserratus</t>
    </r>
    <r>
      <rPr>
        <sz val="9"/>
        <rFont val="Arial"/>
        <family val="2"/>
      </rPr>
      <t>)</t>
    </r>
  </si>
  <si>
    <r>
      <t>(</t>
    </r>
    <r>
      <rPr>
        <i/>
        <sz val="9"/>
        <rFont val="Times New Roman"/>
        <family val="1"/>
      </rPr>
      <t>Coreopsis tripteris</t>
    </r>
    <r>
      <rPr>
        <sz val="9"/>
        <rFont val="Arial"/>
        <family val="2"/>
      </rPr>
      <t>)</t>
    </r>
  </si>
  <si>
    <r>
      <t xml:space="preserve">Tick Trefoil, </t>
    </r>
    <r>
      <rPr>
        <sz val="10"/>
        <rFont val="Arial"/>
        <family val="2"/>
      </rPr>
      <t>I</t>
    </r>
    <r>
      <rPr>
        <sz val="10"/>
        <color indexed="8"/>
        <rFont val="Arial"/>
        <family val="2"/>
      </rPr>
      <t xml:space="preserve">llinois </t>
    </r>
  </si>
  <si>
    <r>
      <t>(</t>
    </r>
    <r>
      <rPr>
        <i/>
        <sz val="9"/>
        <color indexed="8"/>
        <rFont val="Arial"/>
        <family val="2"/>
      </rPr>
      <t>Desmodium illinoense</t>
    </r>
    <r>
      <rPr>
        <sz val="9"/>
        <color indexed="8"/>
        <rFont val="Arial"/>
        <family val="2"/>
      </rPr>
      <t>)</t>
    </r>
  </si>
  <si>
    <r>
      <t>(</t>
    </r>
    <r>
      <rPr>
        <b/>
        <i/>
        <sz val="9"/>
        <rFont val="Times New Roman"/>
        <family val="1"/>
      </rPr>
      <t>Desmodium canadense</t>
    </r>
    <r>
      <rPr>
        <b/>
        <sz val="9"/>
        <rFont val="Arial"/>
        <family val="2"/>
      </rPr>
      <t>)</t>
    </r>
  </si>
  <si>
    <r>
      <t>(</t>
    </r>
    <r>
      <rPr>
        <i/>
        <sz val="9"/>
        <rFont val="Times New Roman"/>
        <family val="1"/>
      </rPr>
      <t>Verbena hastata</t>
    </r>
    <r>
      <rPr>
        <sz val="9"/>
        <rFont val="Arial"/>
        <family val="2"/>
      </rPr>
      <t>)</t>
    </r>
  </si>
  <si>
    <r>
      <t>(</t>
    </r>
    <r>
      <rPr>
        <i/>
        <sz val="9"/>
        <rFont val="Times New Roman"/>
        <family val="1"/>
      </rPr>
      <t>Verbena stricta</t>
    </r>
    <r>
      <rPr>
        <sz val="9"/>
        <rFont val="Arial"/>
        <family val="2"/>
      </rPr>
      <t>)</t>
    </r>
  </si>
  <si>
    <r>
      <t>(</t>
    </r>
    <r>
      <rPr>
        <i/>
        <sz val="9"/>
        <rFont val="Times New Roman"/>
        <family val="1"/>
      </rPr>
      <t>Iris virginica var. shrevei</t>
    </r>
    <r>
      <rPr>
        <sz val="9"/>
        <rFont val="Arial"/>
        <family val="2"/>
      </rPr>
      <t>)</t>
    </r>
  </si>
  <si>
    <r>
      <t>(</t>
    </r>
    <r>
      <rPr>
        <sz val="10"/>
        <rFont val="Times New Roman"/>
        <family val="1"/>
      </rPr>
      <t>P</t>
    </r>
    <r>
      <rPr>
        <i/>
        <sz val="9"/>
        <rFont val="Times New Roman"/>
        <family val="1"/>
      </rPr>
      <t>ycnanthemum virginica</t>
    </r>
    <r>
      <rPr>
        <sz val="9"/>
        <rFont val="Arial"/>
        <family val="2"/>
      </rPr>
      <t>)</t>
    </r>
  </si>
  <si>
    <r>
      <t>(</t>
    </r>
    <r>
      <rPr>
        <i/>
        <sz val="9"/>
        <rFont val="Times New Roman"/>
        <family val="1"/>
      </rPr>
      <t>Monarda fistulosa</t>
    </r>
    <r>
      <rPr>
        <sz val="9"/>
        <rFont val="Arial"/>
        <family val="2"/>
      </rPr>
      <t>)</t>
    </r>
  </si>
  <si>
    <r>
      <t>(</t>
    </r>
    <r>
      <rPr>
        <i/>
        <sz val="9"/>
        <rFont val="Times New Roman"/>
        <family val="1"/>
      </rPr>
      <t>Parthenium integrifolium</t>
    </r>
    <r>
      <rPr>
        <sz val="9"/>
        <rFont val="Arial"/>
        <family val="2"/>
      </rPr>
      <t>)</t>
    </r>
  </si>
  <si>
    <r>
      <t>(</t>
    </r>
    <r>
      <rPr>
        <i/>
        <sz val="9"/>
        <rFont val="Times New Roman"/>
        <family val="1"/>
      </rPr>
      <t>Cassia hebecarpa</t>
    </r>
    <r>
      <rPr>
        <sz val="9"/>
        <rFont val="Arial"/>
        <family val="2"/>
      </rPr>
      <t>)</t>
    </r>
    <r>
      <rPr>
        <i/>
        <sz val="9"/>
        <rFont val="Arial"/>
        <family val="2"/>
      </rPr>
      <t xml:space="preserve"> </t>
    </r>
  </si>
  <si>
    <t>PLS*</t>
  </si>
  <si>
    <t xml:space="preserve">    Seeding Mixture Calculator</t>
  </si>
  <si>
    <t xml:space="preserve">                            Conservation Practice 645 - Seeding Mixture Calculator</t>
  </si>
  <si>
    <t xml:space="preserve">purposes:         </t>
  </si>
  <si>
    <t xml:space="preserve">       Example:  98% Purity X 60% Germination = .588</t>
  </si>
  <si>
    <t xml:space="preserve">    *PLS - Pure live seed rate must be used</t>
  </si>
  <si>
    <r>
      <t xml:space="preserve">   </t>
    </r>
    <r>
      <rPr>
        <u val="single"/>
        <sz val="8"/>
        <rFont val="Arial"/>
        <family val="2"/>
      </rPr>
      <t>10 pounds seed per acre rate</t>
    </r>
    <r>
      <rPr>
        <sz val="8"/>
        <rFont val="Arial"/>
        <family val="2"/>
      </rPr>
      <t xml:space="preserve">  = 17 pounds of bulk seed per acre</t>
    </r>
  </si>
  <si>
    <t xml:space="preserve">    .588 percent pure live seed   </t>
  </si>
  <si>
    <t>producer name</t>
  </si>
  <si>
    <t>Legumes Chose</t>
  </si>
  <si>
    <t>PLS Lb./Acre</t>
  </si>
  <si>
    <t>Seed Purity</t>
  </si>
  <si>
    <t>Seed Germination</t>
  </si>
  <si>
    <t>Bulk Seed Needed -Lb./Acre</t>
  </si>
  <si>
    <t>Percent Seed Purity</t>
  </si>
  <si>
    <t>Percent Seed Germination</t>
  </si>
  <si>
    <t>Total Bulk Seed in Mix:</t>
  </si>
  <si>
    <t>Total Bulk Legume Seed in Mix:</t>
  </si>
  <si>
    <t>Total Bulk Cool Season Grass Seed in Mix:</t>
  </si>
  <si>
    <t>Total Bulk Warm Season Grass Seed in Mix:</t>
  </si>
  <si>
    <t>EDIT ONLY GREEN BLOCKS</t>
  </si>
  <si>
    <r>
      <t>Total Bulk</t>
    </r>
    <r>
      <rPr>
        <b/>
        <sz val="10"/>
        <color indexed="10"/>
        <rFont val="Arial"/>
        <family val="2"/>
      </rPr>
      <t xml:space="preserve"> GRASS </t>
    </r>
    <r>
      <rPr>
        <sz val="10"/>
        <color indexed="10"/>
        <rFont val="Arial"/>
        <family val="2"/>
      </rPr>
      <t>Seed in Mix</t>
    </r>
    <r>
      <rPr>
        <b/>
        <sz val="10"/>
        <color indexed="10"/>
        <rFont val="Arial"/>
        <family val="2"/>
      </rPr>
      <t>:</t>
    </r>
  </si>
  <si>
    <t>Using Wildlife 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</si>
</sst>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39">
    <font>
      <sz val="10"/>
      <name val="Arial"/>
      <family val="0"/>
    </font>
    <font>
      <b/>
      <sz val="9"/>
      <name val="Arial"/>
      <family val="2"/>
    </font>
    <font>
      <b/>
      <sz val="10"/>
      <name val="Arial"/>
      <family val="2"/>
    </font>
    <font>
      <sz val="8"/>
      <name val="Arial"/>
      <family val="0"/>
    </font>
    <font>
      <b/>
      <sz val="12"/>
      <name val="Book Antiqua"/>
      <family val="1"/>
    </font>
    <font>
      <b/>
      <sz val="10"/>
      <color indexed="17"/>
      <name val="Arial"/>
      <family val="2"/>
    </font>
    <font>
      <sz val="10"/>
      <color indexed="10"/>
      <name val="Arial"/>
      <family val="2"/>
    </font>
    <font>
      <i/>
      <sz val="10"/>
      <color indexed="10"/>
      <name val="Arial"/>
      <family val="2"/>
    </font>
    <font>
      <sz val="10"/>
      <color indexed="18"/>
      <name val="Arial"/>
      <family val="2"/>
    </font>
    <font>
      <b/>
      <sz val="10"/>
      <color indexed="10"/>
      <name val="Arial"/>
      <family val="2"/>
    </font>
    <font>
      <b/>
      <i/>
      <sz val="10"/>
      <color indexed="10"/>
      <name val="Arial"/>
      <family val="2"/>
    </font>
    <font>
      <b/>
      <vertAlign val="superscript"/>
      <sz val="10"/>
      <name val="Arial"/>
      <family val="2"/>
    </font>
    <font>
      <b/>
      <i/>
      <sz val="10"/>
      <color indexed="17"/>
      <name val="Arial"/>
      <family val="2"/>
    </font>
    <font>
      <sz val="14"/>
      <name val="Arial"/>
      <family val="2"/>
    </font>
    <font>
      <i/>
      <sz val="12"/>
      <name val="Arial"/>
      <family val="2"/>
    </font>
    <font>
      <b/>
      <sz val="16"/>
      <name val="Arial"/>
      <family val="2"/>
    </font>
    <font>
      <b/>
      <sz val="8"/>
      <name val="Arial"/>
      <family val="2"/>
    </font>
    <font>
      <sz val="9"/>
      <name val="Arial"/>
      <family val="0"/>
    </font>
    <font>
      <b/>
      <sz val="9"/>
      <color indexed="17"/>
      <name val="Arial"/>
      <family val="2"/>
    </font>
    <font>
      <i/>
      <sz val="10"/>
      <name val="Arial"/>
      <family val="2"/>
    </font>
    <font>
      <i/>
      <sz val="10"/>
      <color indexed="57"/>
      <name val="Arial"/>
      <family val="2"/>
    </font>
    <font>
      <b/>
      <i/>
      <sz val="9"/>
      <color indexed="17"/>
      <name val="Arial"/>
      <family val="2"/>
    </font>
    <font>
      <i/>
      <sz val="9"/>
      <name val="Times New Roman"/>
      <family val="1"/>
    </font>
    <font>
      <sz val="8"/>
      <name val="Times New Roman"/>
      <family val="1"/>
    </font>
    <font>
      <sz val="10"/>
      <name val="Times New Roman"/>
      <family val="1"/>
    </font>
    <font>
      <sz val="9"/>
      <name val="Times New Roman"/>
      <family val="1"/>
    </font>
    <font>
      <i/>
      <sz val="9"/>
      <name val="Arial"/>
      <family val="2"/>
    </font>
    <font>
      <b/>
      <i/>
      <sz val="9"/>
      <name val="Times New Roman"/>
      <family val="1"/>
    </font>
    <font>
      <b/>
      <sz val="10"/>
      <name val="Times New Roman"/>
      <family val="1"/>
    </font>
    <font>
      <b/>
      <sz val="9"/>
      <name val="Times New Roman"/>
      <family val="1"/>
    </font>
    <font>
      <sz val="10"/>
      <color indexed="8"/>
      <name val="Arial"/>
      <family val="2"/>
    </font>
    <font>
      <i/>
      <sz val="9"/>
      <color indexed="8"/>
      <name val="Arial"/>
      <family val="2"/>
    </font>
    <font>
      <sz val="9"/>
      <color indexed="8"/>
      <name val="Arial"/>
      <family val="2"/>
    </font>
    <font>
      <b/>
      <u val="single"/>
      <sz val="12"/>
      <name val="Arial"/>
      <family val="2"/>
    </font>
    <font>
      <b/>
      <sz val="12"/>
      <name val="Arial"/>
      <family val="2"/>
    </font>
    <font>
      <sz val="12"/>
      <name val="Arial"/>
      <family val="2"/>
    </font>
    <font>
      <b/>
      <sz val="12"/>
      <color indexed="17"/>
      <name val="Arial"/>
      <family val="2"/>
    </font>
    <font>
      <u val="single"/>
      <sz val="8"/>
      <name val="Arial"/>
      <family val="2"/>
    </font>
    <font>
      <b/>
      <sz val="10"/>
      <color indexed="16"/>
      <name val="Arial"/>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36">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style="double"/>
      <bottom>
        <color indexed="63"/>
      </bottom>
    </border>
    <border>
      <left>
        <color indexed="63"/>
      </left>
      <right>
        <color indexed="63"/>
      </right>
      <top style="double"/>
      <bottom>
        <color indexed="63"/>
      </bottom>
    </border>
    <border>
      <left>
        <color indexed="63"/>
      </left>
      <right style="medium"/>
      <top>
        <color indexed="63"/>
      </top>
      <bottom style="double"/>
    </border>
    <border>
      <left>
        <color indexed="63"/>
      </left>
      <right>
        <color indexed="63"/>
      </right>
      <top>
        <color indexed="63"/>
      </top>
      <bottom style="double"/>
    </border>
    <border>
      <left style="double"/>
      <right style="medium"/>
      <top style="double"/>
      <bottom>
        <color indexed="63"/>
      </bottom>
    </border>
    <border>
      <left style="double"/>
      <right style="medium"/>
      <top>
        <color indexed="63"/>
      </top>
      <bottom>
        <color indexed="63"/>
      </bottom>
    </border>
    <border>
      <left style="medium"/>
      <right style="medium"/>
      <top style="medium"/>
      <bottom>
        <color indexed="63"/>
      </bottom>
    </border>
    <border>
      <left style="medium"/>
      <right style="double"/>
      <top style="medium"/>
      <bottom>
        <color indexed="63"/>
      </bottom>
    </border>
    <border>
      <left style="double"/>
      <right style="medium"/>
      <top>
        <color indexed="63"/>
      </top>
      <bottom style="medium"/>
    </border>
    <border>
      <left style="medium"/>
      <right style="medium"/>
      <top>
        <color indexed="63"/>
      </top>
      <bottom style="medium"/>
    </border>
    <border>
      <left style="medium"/>
      <right style="double"/>
      <top>
        <color indexed="63"/>
      </top>
      <bottom style="medium"/>
    </border>
    <border>
      <left>
        <color indexed="63"/>
      </left>
      <right style="medium"/>
      <top>
        <color indexed="63"/>
      </top>
      <bottom style="medium"/>
    </border>
    <border>
      <left>
        <color indexed="63"/>
      </left>
      <right style="double"/>
      <top>
        <color indexed="63"/>
      </top>
      <bottom style="medium"/>
    </border>
    <border>
      <left style="medium"/>
      <right style="medium"/>
      <top>
        <color indexed="63"/>
      </top>
      <bottom>
        <color indexed="63"/>
      </bottom>
    </border>
    <border>
      <left style="medium"/>
      <right style="double"/>
      <top>
        <color indexed="63"/>
      </top>
      <bottom>
        <color indexed="63"/>
      </bottom>
    </border>
    <border>
      <left style="double"/>
      <right style="medium"/>
      <top>
        <color indexed="63"/>
      </top>
      <bottom style="double"/>
    </border>
    <border>
      <left>
        <color indexed="63"/>
      </left>
      <right style="thin"/>
      <top>
        <color indexed="63"/>
      </top>
      <bottom style="thin"/>
    </border>
    <border>
      <left style="medium"/>
      <right style="medium"/>
      <top>
        <color indexed="63"/>
      </top>
      <bottom style="double"/>
    </border>
    <border>
      <left style="medium"/>
      <right style="double"/>
      <top>
        <color indexed="63"/>
      </top>
      <bottom style="double"/>
    </border>
    <border>
      <left style="medium"/>
      <right style="double"/>
      <top style="double"/>
      <bottom>
        <color indexed="63"/>
      </bottom>
    </border>
    <border>
      <left style="medium"/>
      <right style="medium"/>
      <top style="double"/>
      <bottom>
        <color indexed="63"/>
      </bottom>
    </border>
  </borders>
  <cellStyleXfs count="20">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Alignment="1" applyProtection="1">
      <alignment/>
      <protection hidden="1"/>
    </xf>
    <xf numFmtId="0" fontId="0" fillId="2" borderId="0" xfId="0" applyFill="1" applyAlignment="1" applyProtection="1">
      <alignment/>
      <protection hidden="1"/>
    </xf>
    <xf numFmtId="0" fontId="2" fillId="2" borderId="0" xfId="0" applyFont="1" applyFill="1" applyBorder="1" applyAlignment="1" applyProtection="1">
      <alignment horizontal="right"/>
      <protection hidden="1"/>
    </xf>
    <xf numFmtId="0" fontId="2" fillId="2" borderId="0" xfId="0" applyFont="1" applyFill="1" applyBorder="1" applyAlignment="1" applyProtection="1">
      <alignment horizontal="left"/>
      <protection hidden="1"/>
    </xf>
    <xf numFmtId="0" fontId="2" fillId="2" borderId="1" xfId="0" applyFont="1" applyFill="1" applyBorder="1" applyAlignment="1" applyProtection="1">
      <alignment horizontal="center"/>
      <protection hidden="1"/>
    </xf>
    <xf numFmtId="0" fontId="2" fillId="2" borderId="2" xfId="0" applyFont="1" applyFill="1" applyBorder="1" applyAlignment="1" applyProtection="1">
      <alignment horizontal="center"/>
      <protection hidden="1"/>
    </xf>
    <xf numFmtId="0" fontId="2" fillId="2" borderId="3" xfId="0" applyFont="1" applyFill="1" applyBorder="1" applyAlignment="1" applyProtection="1">
      <alignment horizontal="center"/>
      <protection hidden="1"/>
    </xf>
    <xf numFmtId="0" fontId="2" fillId="2" borderId="4" xfId="0" applyFont="1" applyFill="1" applyBorder="1" applyAlignment="1" applyProtection="1">
      <alignment horizontal="center"/>
      <protection hidden="1"/>
    </xf>
    <xf numFmtId="0" fontId="2" fillId="2" borderId="5" xfId="0" applyFont="1" applyFill="1" applyBorder="1" applyAlignment="1" applyProtection="1">
      <alignment horizontal="center"/>
      <protection hidden="1"/>
    </xf>
    <xf numFmtId="0" fontId="0" fillId="2" borderId="6" xfId="0" applyFill="1" applyBorder="1" applyAlignment="1" applyProtection="1">
      <alignment/>
      <protection hidden="1"/>
    </xf>
    <xf numFmtId="0" fontId="0" fillId="0" borderId="6" xfId="0" applyBorder="1" applyAlignment="1" applyProtection="1">
      <alignment horizontal="center"/>
      <protection hidden="1"/>
    </xf>
    <xf numFmtId="2" fontId="0" fillId="0" borderId="6" xfId="0" applyNumberFormat="1" applyFont="1" applyBorder="1" applyAlignment="1" applyProtection="1">
      <alignment horizontal="center"/>
      <protection hidden="1"/>
    </xf>
    <xf numFmtId="10" fontId="12" fillId="0" borderId="6" xfId="0" applyNumberFormat="1" applyFont="1" applyBorder="1" applyAlignment="1" applyProtection="1">
      <alignment horizontal="center"/>
      <protection hidden="1" locked="0"/>
    </xf>
    <xf numFmtId="0" fontId="9" fillId="0" borderId="0" xfId="0" applyFont="1" applyAlignment="1" applyProtection="1">
      <alignment/>
      <protection hidden="1"/>
    </xf>
    <xf numFmtId="0" fontId="0" fillId="0" borderId="7" xfId="0" applyBorder="1" applyAlignment="1" applyProtection="1">
      <alignment/>
      <protection hidden="1"/>
    </xf>
    <xf numFmtId="0" fontId="0" fillId="0" borderId="8" xfId="0" applyBorder="1" applyAlignment="1" applyProtection="1">
      <alignment/>
      <protection hidden="1"/>
    </xf>
    <xf numFmtId="0" fontId="0" fillId="0" borderId="9" xfId="0" applyBorder="1" applyAlignment="1" applyProtection="1">
      <alignment/>
      <protection hidden="1"/>
    </xf>
    <xf numFmtId="0" fontId="0" fillId="0" borderId="10" xfId="0" applyBorder="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0" fontId="13" fillId="0" borderId="0" xfId="0" applyFont="1" applyBorder="1" applyAlignment="1" applyProtection="1">
      <alignment/>
      <protection hidden="1"/>
    </xf>
    <xf numFmtId="0" fontId="0" fillId="0" borderId="12" xfId="0" applyFill="1" applyBorder="1" applyAlignment="1" applyProtection="1">
      <alignment/>
      <protection hidden="1"/>
    </xf>
    <xf numFmtId="0" fontId="0" fillId="0" borderId="5" xfId="0" applyFill="1" applyBorder="1" applyAlignment="1" applyProtection="1">
      <alignment/>
      <protection hidden="1"/>
    </xf>
    <xf numFmtId="0" fontId="0" fillId="0" borderId="13" xfId="0" applyBorder="1" applyAlignment="1" applyProtection="1">
      <alignment/>
      <protection hidden="1"/>
    </xf>
    <xf numFmtId="0" fontId="0" fillId="0" borderId="0" xfId="0" applyBorder="1" applyAlignment="1" applyProtection="1">
      <alignment horizontal="center"/>
      <protection hidden="1"/>
    </xf>
    <xf numFmtId="0" fontId="0" fillId="0" borderId="0" xfId="0" applyFill="1" applyBorder="1" applyAlignment="1" applyProtection="1">
      <alignment/>
      <protection hidden="1"/>
    </xf>
    <xf numFmtId="0" fontId="0" fillId="0" borderId="14" xfId="0" applyBorder="1" applyAlignment="1" applyProtection="1">
      <alignment/>
      <protection hidden="1"/>
    </xf>
    <xf numFmtId="0" fontId="15" fillId="0" borderId="0" xfId="0" applyFont="1" applyBorder="1" applyAlignment="1" applyProtection="1">
      <alignment/>
      <protection hidden="1"/>
    </xf>
    <xf numFmtId="9" fontId="2" fillId="2"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right"/>
      <protection hidden="1"/>
    </xf>
    <xf numFmtId="9" fontId="2" fillId="0" borderId="0" xfId="0" applyNumberFormat="1" applyFont="1" applyFill="1" applyBorder="1" applyAlignment="1" applyProtection="1">
      <alignment horizontal="center"/>
      <protection hidden="1"/>
    </xf>
    <xf numFmtId="0" fontId="16" fillId="2" borderId="0" xfId="0" applyFont="1" applyFill="1" applyBorder="1" applyAlignment="1" applyProtection="1">
      <alignment horizontal="right"/>
      <protection hidden="1"/>
    </xf>
    <xf numFmtId="0" fontId="2" fillId="0" borderId="0" xfId="0" applyFont="1" applyFill="1" applyBorder="1" applyAlignment="1" applyProtection="1">
      <alignment horizontal="center"/>
      <protection hidden="1"/>
    </xf>
    <xf numFmtId="2" fontId="0" fillId="0" borderId="0" xfId="0" applyNumberFormat="1" applyFont="1" applyBorder="1" applyAlignment="1" applyProtection="1">
      <alignment horizontal="center"/>
      <protection hidden="1"/>
    </xf>
    <xf numFmtId="2" fontId="9" fillId="0" borderId="12" xfId="0" applyNumberFormat="1" applyFont="1" applyFill="1" applyBorder="1" applyAlignment="1" applyProtection="1">
      <alignment horizontal="center"/>
      <protection hidden="1"/>
    </xf>
    <xf numFmtId="0" fontId="0" fillId="2" borderId="0" xfId="0" applyFill="1" applyBorder="1" applyAlignment="1" applyProtection="1">
      <alignment/>
      <protection hidden="1"/>
    </xf>
    <xf numFmtId="0" fontId="4" fillId="2" borderId="0" xfId="0" applyFont="1" applyFill="1" applyBorder="1" applyAlignment="1" applyProtection="1">
      <alignment horizontal="left"/>
      <protection hidden="1"/>
    </xf>
    <xf numFmtId="0" fontId="14" fillId="0" borderId="3" xfId="0" applyFont="1" applyFill="1" applyBorder="1" applyAlignment="1" applyProtection="1">
      <alignment/>
      <protection hidden="1"/>
    </xf>
    <xf numFmtId="0" fontId="2" fillId="2" borderId="10" xfId="0" applyFont="1" applyFill="1" applyBorder="1" applyAlignment="1" applyProtection="1">
      <alignment horizontal="center"/>
      <protection hidden="1"/>
    </xf>
    <xf numFmtId="0" fontId="0" fillId="0" borderId="5" xfId="0" applyBorder="1" applyAlignment="1" applyProtection="1">
      <alignment horizontal="center"/>
      <protection hidden="1"/>
    </xf>
    <xf numFmtId="10" fontId="7" fillId="0" borderId="0" xfId="0" applyNumberFormat="1" applyFont="1" applyFill="1" applyBorder="1" applyAlignment="1" applyProtection="1">
      <alignment horizontal="center"/>
      <protection hidden="1"/>
    </xf>
    <xf numFmtId="2" fontId="6" fillId="0" borderId="0" xfId="0" applyNumberFormat="1" applyFont="1" applyFill="1" applyBorder="1" applyAlignment="1" applyProtection="1">
      <alignment horizontal="center"/>
      <protection hidden="1"/>
    </xf>
    <xf numFmtId="2" fontId="6" fillId="0" borderId="0" xfId="0" applyNumberFormat="1" applyFont="1" applyBorder="1" applyAlignment="1" applyProtection="1">
      <alignment horizontal="center"/>
      <protection hidden="1"/>
    </xf>
    <xf numFmtId="2" fontId="0" fillId="0" borderId="0" xfId="0" applyNumberFormat="1" applyBorder="1" applyAlignment="1" applyProtection="1">
      <alignment horizontal="center"/>
      <protection hidden="1"/>
    </xf>
    <xf numFmtId="0" fontId="4" fillId="2" borderId="10" xfId="0" applyFont="1" applyFill="1" applyBorder="1" applyAlignment="1" applyProtection="1">
      <alignment horizontal="left"/>
      <protection hidden="1"/>
    </xf>
    <xf numFmtId="0" fontId="2" fillId="2" borderId="11" xfId="0" applyFont="1" applyFill="1" applyBorder="1" applyAlignment="1" applyProtection="1">
      <alignment horizontal="right"/>
      <protection hidden="1"/>
    </xf>
    <xf numFmtId="0" fontId="0" fillId="2" borderId="11" xfId="0" applyFill="1" applyBorder="1" applyAlignment="1" applyProtection="1">
      <alignment/>
      <protection hidden="1"/>
    </xf>
    <xf numFmtId="0" fontId="0" fillId="2" borderId="10" xfId="0" applyFill="1" applyBorder="1" applyAlignment="1" applyProtection="1">
      <alignment/>
      <protection hidden="1"/>
    </xf>
    <xf numFmtId="2" fontId="10" fillId="0" borderId="0" xfId="0" applyNumberFormat="1" applyFont="1" applyBorder="1" applyAlignment="1" applyProtection="1">
      <alignment horizontal="right" readingOrder="1"/>
      <protection hidden="1"/>
    </xf>
    <xf numFmtId="0" fontId="2" fillId="2" borderId="10" xfId="0" applyFont="1" applyFill="1" applyBorder="1" applyAlignment="1" applyProtection="1">
      <alignment horizontal="left"/>
      <protection hidden="1"/>
    </xf>
    <xf numFmtId="0" fontId="0" fillId="0" borderId="11" xfId="0" applyFill="1" applyBorder="1" applyAlignment="1" applyProtection="1">
      <alignment/>
      <protection hidden="1"/>
    </xf>
    <xf numFmtId="0" fontId="2" fillId="0" borderId="11" xfId="0" applyFont="1" applyFill="1" applyBorder="1" applyAlignment="1" applyProtection="1">
      <alignment horizontal="center"/>
      <protection hidden="1"/>
    </xf>
    <xf numFmtId="0" fontId="16" fillId="0" borderId="10" xfId="0" applyFont="1" applyFill="1" applyBorder="1" applyAlignment="1" applyProtection="1">
      <alignment horizontal="right"/>
      <protection hidden="1"/>
    </xf>
    <xf numFmtId="0" fontId="0" fillId="0" borderId="12" xfId="0" applyBorder="1" applyAlignment="1" applyProtection="1">
      <alignment/>
      <protection hidden="1"/>
    </xf>
    <xf numFmtId="0" fontId="3" fillId="0" borderId="10" xfId="0" applyFont="1" applyBorder="1" applyAlignment="1" applyProtection="1">
      <alignment horizontal="right"/>
      <protection hidden="1"/>
    </xf>
    <xf numFmtId="0" fontId="3" fillId="0" borderId="0" xfId="0" applyFont="1" applyBorder="1" applyAlignment="1" applyProtection="1">
      <alignment horizontal="right"/>
      <protection hidden="1"/>
    </xf>
    <xf numFmtId="9" fontId="5" fillId="0" borderId="0" xfId="0" applyNumberFormat="1" applyFont="1" applyFill="1" applyBorder="1" applyAlignment="1" applyProtection="1">
      <alignment horizontal="center"/>
      <protection hidden="1"/>
    </xf>
    <xf numFmtId="0" fontId="1" fillId="2" borderId="1" xfId="0" applyFont="1" applyFill="1" applyBorder="1" applyAlignment="1" applyProtection="1">
      <alignment horizontal="center"/>
      <protection hidden="1"/>
    </xf>
    <xf numFmtId="0" fontId="17" fillId="0" borderId="10" xfId="0" applyFont="1" applyFill="1" applyBorder="1" applyAlignment="1" applyProtection="1">
      <alignment horizontal="left"/>
      <protection hidden="1"/>
    </xf>
    <xf numFmtId="0" fontId="17" fillId="0" borderId="10" xfId="0" applyFont="1" applyFill="1" applyBorder="1" applyAlignment="1" applyProtection="1">
      <alignment horizontal="right"/>
      <protection hidden="1"/>
    </xf>
    <xf numFmtId="0" fontId="17" fillId="0" borderId="0" xfId="0" applyFont="1" applyBorder="1" applyAlignment="1" applyProtection="1">
      <alignment/>
      <protection hidden="1"/>
    </xf>
    <xf numFmtId="0" fontId="2" fillId="0" borderId="12"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protection hidden="1"/>
    </xf>
    <xf numFmtId="0" fontId="2" fillId="0" borderId="0" xfId="0" applyFont="1" applyBorder="1" applyAlignment="1" applyProtection="1">
      <alignment horizontal="center"/>
      <protection hidden="1" locked="0"/>
    </xf>
    <xf numFmtId="0" fontId="2" fillId="0" borderId="0" xfId="0" applyFont="1" applyBorder="1" applyAlignment="1" applyProtection="1">
      <alignment horizontal="left"/>
      <protection hidden="1" locked="0"/>
    </xf>
    <xf numFmtId="0" fontId="18" fillId="0" borderId="6" xfId="0" applyFont="1" applyFill="1" applyBorder="1" applyAlignment="1" applyProtection="1">
      <alignment horizontal="center"/>
      <protection hidden="1" locked="0"/>
    </xf>
    <xf numFmtId="0" fontId="5" fillId="0" borderId="6" xfId="0" applyFont="1" applyBorder="1" applyAlignment="1" applyProtection="1">
      <alignment horizontal="center"/>
      <protection hidden="1" locked="0"/>
    </xf>
    <xf numFmtId="0" fontId="10" fillId="0" borderId="0" xfId="0" applyFont="1" applyBorder="1" applyAlignment="1" applyProtection="1">
      <alignment/>
      <protection hidden="1"/>
    </xf>
    <xf numFmtId="0" fontId="2" fillId="0" borderId="11" xfId="0" applyFont="1" applyFill="1" applyBorder="1" applyAlignment="1" applyProtection="1">
      <alignment horizontal="right"/>
      <protection hidden="1"/>
    </xf>
    <xf numFmtId="0" fontId="19" fillId="2" borderId="10" xfId="0" applyFont="1" applyFill="1" applyBorder="1" applyAlignment="1" applyProtection="1">
      <alignment/>
      <protection hidden="1"/>
    </xf>
    <xf numFmtId="2" fontId="9" fillId="0" borderId="4" xfId="0" applyNumberFormat="1" applyFont="1" applyFill="1" applyBorder="1" applyAlignment="1" applyProtection="1">
      <alignment horizontal="center"/>
      <protection hidden="1"/>
    </xf>
    <xf numFmtId="2" fontId="8" fillId="0" borderId="0" xfId="0" applyNumberFormat="1" applyFont="1" applyFill="1" applyBorder="1" applyAlignment="1" applyProtection="1">
      <alignment horizontal="center"/>
      <protection hidden="1"/>
    </xf>
    <xf numFmtId="2" fontId="9" fillId="0" borderId="6" xfId="0" applyNumberFormat="1" applyFont="1" applyFill="1" applyBorder="1" applyAlignment="1" applyProtection="1">
      <alignment horizontal="center"/>
      <protection hidden="1"/>
    </xf>
    <xf numFmtId="10" fontId="7" fillId="0" borderId="5" xfId="0" applyNumberFormat="1" applyFont="1" applyFill="1" applyBorder="1" applyAlignment="1" applyProtection="1">
      <alignment horizontal="center"/>
      <protection hidden="1"/>
    </xf>
    <xf numFmtId="10" fontId="12" fillId="0" borderId="6" xfId="0" applyNumberFormat="1" applyFont="1" applyFill="1" applyBorder="1" applyAlignment="1" applyProtection="1">
      <alignment horizontal="center"/>
      <protection hidden="1" locked="0"/>
    </xf>
    <xf numFmtId="2" fontId="6" fillId="0" borderId="11" xfId="0" applyNumberFormat="1" applyFont="1" applyFill="1" applyBorder="1" applyAlignment="1" applyProtection="1">
      <alignment horizontal="center"/>
      <protection hidden="1"/>
    </xf>
    <xf numFmtId="2" fontId="9" fillId="0" borderId="2" xfId="0" applyNumberFormat="1" applyFont="1" applyFill="1" applyBorder="1" applyAlignment="1" applyProtection="1">
      <alignment horizontal="center"/>
      <protection hidden="1"/>
    </xf>
    <xf numFmtId="10" fontId="12" fillId="0" borderId="0" xfId="0" applyNumberFormat="1" applyFont="1" applyFill="1" applyBorder="1" applyAlignment="1" applyProtection="1">
      <alignment horizontal="center"/>
      <protection hidden="1"/>
    </xf>
    <xf numFmtId="2" fontId="10" fillId="0" borderId="11" xfId="0" applyNumberFormat="1" applyFont="1" applyFill="1" applyBorder="1" applyAlignment="1" applyProtection="1">
      <alignment horizontal="right" readingOrder="1"/>
      <protection hidden="1"/>
    </xf>
    <xf numFmtId="0" fontId="0" fillId="0" borderId="0" xfId="0" applyFill="1" applyBorder="1" applyAlignment="1" applyProtection="1">
      <alignment horizontal="center"/>
      <protection hidden="1"/>
    </xf>
    <xf numFmtId="2" fontId="0" fillId="0" borderId="11" xfId="0" applyNumberFormat="1" applyFill="1" applyBorder="1" applyAlignment="1" applyProtection="1">
      <alignment horizontal="center"/>
      <protection hidden="1"/>
    </xf>
    <xf numFmtId="10" fontId="7" fillId="0" borderId="6" xfId="0" applyNumberFormat="1" applyFont="1" applyFill="1" applyBorder="1" applyAlignment="1" applyProtection="1">
      <alignment horizontal="center"/>
      <protection hidden="1"/>
    </xf>
    <xf numFmtId="2" fontId="10" fillId="0" borderId="0" xfId="0" applyNumberFormat="1" applyFont="1" applyFill="1" applyBorder="1" applyAlignment="1" applyProtection="1">
      <alignment horizontal="right" readingOrder="1"/>
      <protection hidden="1"/>
    </xf>
    <xf numFmtId="0" fontId="3" fillId="0" borderId="10" xfId="0" applyFont="1" applyFill="1" applyBorder="1" applyAlignment="1" applyProtection="1">
      <alignment horizontal="right"/>
      <protection hidden="1"/>
    </xf>
    <xf numFmtId="0" fontId="20" fillId="2" borderId="6" xfId="0" applyFont="1" applyFill="1" applyBorder="1" applyAlignment="1" applyProtection="1">
      <alignment/>
      <protection hidden="1" locked="0"/>
    </xf>
    <xf numFmtId="0" fontId="16" fillId="0" borderId="0" xfId="0" applyFont="1" applyFill="1" applyBorder="1" applyAlignment="1" applyProtection="1">
      <alignment horizontal="right"/>
      <protection hidden="1"/>
    </xf>
    <xf numFmtId="0" fontId="21" fillId="0" borderId="13" xfId="0" applyFont="1" applyBorder="1" applyAlignment="1" applyProtection="1">
      <alignment/>
      <protection hidden="1" locked="0"/>
    </xf>
    <xf numFmtId="49" fontId="12" fillId="0" borderId="13" xfId="0" applyNumberFormat="1" applyFont="1" applyBorder="1" applyAlignment="1" applyProtection="1">
      <alignment horizontal="center"/>
      <protection hidden="1" locked="0"/>
    </xf>
    <xf numFmtId="0" fontId="12" fillId="0" borderId="13" xfId="0" applyFont="1" applyBorder="1" applyAlignment="1" applyProtection="1">
      <alignment/>
      <protection hidden="1" locked="0"/>
    </xf>
    <xf numFmtId="0" fontId="21" fillId="0" borderId="14" xfId="0" applyFont="1" applyFill="1" applyBorder="1" applyAlignment="1" applyProtection="1">
      <alignment horizontal="center"/>
      <protection hidden="1" locked="0"/>
    </xf>
    <xf numFmtId="0" fontId="2" fillId="0" borderId="0" xfId="0" applyFont="1" applyBorder="1" applyAlignment="1" applyProtection="1">
      <alignment horizontal="center"/>
      <protection hidden="1"/>
    </xf>
    <xf numFmtId="9" fontId="9" fillId="3" borderId="6" xfId="0" applyNumberFormat="1" applyFont="1" applyFill="1" applyBorder="1" applyAlignment="1" applyProtection="1">
      <alignment horizontal="center"/>
      <protection hidden="1" locked="0"/>
    </xf>
    <xf numFmtId="0" fontId="2" fillId="2" borderId="0" xfId="0" applyFont="1" applyFill="1" applyBorder="1" applyAlignment="1" applyProtection="1">
      <alignment horizontal="right" vertical="center"/>
      <protection hidden="1"/>
    </xf>
    <xf numFmtId="0" fontId="16" fillId="2" borderId="11" xfId="0" applyFont="1" applyFill="1" applyBorder="1" applyAlignment="1" applyProtection="1">
      <alignment horizontal="right"/>
      <protection hidden="1"/>
    </xf>
    <xf numFmtId="9" fontId="2" fillId="2" borderId="11" xfId="0" applyNumberFormat="1" applyFont="1" applyFill="1" applyBorder="1" applyAlignment="1" applyProtection="1">
      <alignment horizontal="center"/>
      <protection hidden="1"/>
    </xf>
    <xf numFmtId="0" fontId="7" fillId="0" borderId="0" xfId="0" applyFont="1" applyBorder="1" applyAlignment="1" applyProtection="1">
      <alignment/>
      <protection hidden="1" locked="0"/>
    </xf>
    <xf numFmtId="2" fontId="9"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center"/>
      <protection hidden="1" locked="0"/>
    </xf>
    <xf numFmtId="0" fontId="5" fillId="0" borderId="0" xfId="0" applyFont="1" applyBorder="1" applyAlignment="1" applyProtection="1">
      <alignment horizontal="center"/>
      <protection hidden="1" locked="0"/>
    </xf>
    <xf numFmtId="0" fontId="1" fillId="0" borderId="0" xfId="0" applyFont="1" applyFill="1" applyBorder="1" applyAlignment="1" applyProtection="1">
      <alignment horizontal="center"/>
      <protection hidden="1"/>
    </xf>
    <xf numFmtId="0" fontId="2" fillId="0" borderId="0" xfId="0" applyFont="1" applyAlignment="1" applyProtection="1">
      <alignment horizontal="left"/>
      <protection hidden="1"/>
    </xf>
    <xf numFmtId="0" fontId="6" fillId="0" borderId="0" xfId="0" applyFont="1" applyAlignment="1" applyProtection="1">
      <alignment/>
      <protection hidden="1"/>
    </xf>
    <xf numFmtId="0" fontId="1" fillId="0" borderId="15" xfId="0" applyFont="1" applyBorder="1" applyAlignment="1" applyProtection="1">
      <alignment horizontal="center" wrapText="1"/>
      <protection hidden="1"/>
    </xf>
    <xf numFmtId="0" fontId="1" fillId="0" borderId="16" xfId="0" applyFont="1" applyBorder="1" applyAlignment="1" applyProtection="1">
      <alignment horizontal="center" wrapText="1"/>
      <protection hidden="1"/>
    </xf>
    <xf numFmtId="0" fontId="1" fillId="0" borderId="17" xfId="0" applyFont="1" applyBorder="1" applyAlignment="1" applyProtection="1">
      <alignment horizontal="center" wrapText="1"/>
      <protection hidden="1"/>
    </xf>
    <xf numFmtId="0" fontId="1" fillId="0" borderId="18" xfId="0" applyFont="1" applyBorder="1" applyAlignment="1" applyProtection="1">
      <alignment horizontal="center" wrapText="1"/>
      <protection hidden="1"/>
    </xf>
    <xf numFmtId="0" fontId="0" fillId="0" borderId="19" xfId="0" applyFont="1" applyBorder="1" applyAlignment="1" applyProtection="1">
      <alignment horizontal="left" wrapText="1"/>
      <protection hidden="1"/>
    </xf>
    <xf numFmtId="0" fontId="0" fillId="0" borderId="20" xfId="0" applyFont="1" applyBorder="1" applyAlignment="1" applyProtection="1">
      <alignment wrapText="1"/>
      <protection hidden="1"/>
    </xf>
    <xf numFmtId="0" fontId="0" fillId="0" borderId="21" xfId="0" applyFont="1" applyBorder="1" applyAlignment="1" applyProtection="1">
      <alignment horizontal="center" wrapText="1"/>
      <protection hidden="1"/>
    </xf>
    <xf numFmtId="0" fontId="0" fillId="0" borderId="22" xfId="0" applyFont="1" applyBorder="1" applyAlignment="1" applyProtection="1">
      <alignment horizontal="center" wrapText="1"/>
      <protection hidden="1"/>
    </xf>
    <xf numFmtId="0" fontId="24" fillId="0" borderId="23" xfId="0" applyFont="1" applyBorder="1" applyAlignment="1" applyProtection="1">
      <alignment horizontal="left" wrapText="1"/>
      <protection hidden="1"/>
    </xf>
    <xf numFmtId="0" fontId="0" fillId="0" borderId="24" xfId="0" applyFont="1" applyBorder="1" applyAlignment="1" applyProtection="1">
      <alignment horizontal="center" wrapText="1"/>
      <protection hidden="1"/>
    </xf>
    <xf numFmtId="0" fontId="0" fillId="0" borderId="25" xfId="0" applyFont="1" applyBorder="1" applyAlignment="1" applyProtection="1">
      <alignment horizontal="center" wrapText="1"/>
      <protection hidden="1"/>
    </xf>
    <xf numFmtId="0" fontId="17" fillId="0" borderId="23" xfId="0" applyFont="1" applyBorder="1" applyAlignment="1" applyProtection="1">
      <alignment wrapText="1"/>
      <protection hidden="1"/>
    </xf>
    <xf numFmtId="0" fontId="0" fillId="0" borderId="20" xfId="0" applyFont="1" applyBorder="1" applyAlignment="1" applyProtection="1">
      <alignment horizontal="left" wrapText="1"/>
      <protection hidden="1"/>
    </xf>
    <xf numFmtId="0" fontId="24" fillId="0" borderId="23" xfId="0" applyFont="1" applyBorder="1" applyAlignment="1" applyProtection="1">
      <alignment wrapText="1"/>
      <protection hidden="1"/>
    </xf>
    <xf numFmtId="0" fontId="0" fillId="0" borderId="23" xfId="0" applyFont="1" applyBorder="1" applyAlignment="1" applyProtection="1">
      <alignment wrapText="1"/>
      <protection hidden="1"/>
    </xf>
    <xf numFmtId="0" fontId="0" fillId="0" borderId="26" xfId="0" applyFont="1" applyBorder="1" applyAlignment="1" applyProtection="1">
      <alignment horizontal="center" wrapText="1"/>
      <protection hidden="1"/>
    </xf>
    <xf numFmtId="0" fontId="0" fillId="0" borderId="27" xfId="0" applyFont="1" applyBorder="1" applyAlignment="1" applyProtection="1">
      <alignment horizontal="center" wrapText="1"/>
      <protection hidden="1"/>
    </xf>
    <xf numFmtId="0" fontId="17" fillId="0" borderId="20" xfId="0" applyFont="1" applyBorder="1" applyAlignment="1" applyProtection="1">
      <alignment wrapText="1"/>
      <protection hidden="1"/>
    </xf>
    <xf numFmtId="0" fontId="0" fillId="0" borderId="28" xfId="0" applyFont="1" applyBorder="1" applyAlignment="1" applyProtection="1">
      <alignment horizontal="center" wrapText="1"/>
      <protection hidden="1"/>
    </xf>
    <xf numFmtId="0" fontId="0" fillId="0" borderId="29" xfId="0" applyFont="1" applyBorder="1" applyAlignment="1" applyProtection="1">
      <alignment horizontal="center" wrapText="1"/>
      <protection hidden="1"/>
    </xf>
    <xf numFmtId="0" fontId="26" fillId="0" borderId="23" xfId="0" applyFont="1" applyBorder="1" applyAlignment="1" applyProtection="1">
      <alignment wrapText="1"/>
      <protection hidden="1"/>
    </xf>
    <xf numFmtId="0" fontId="0" fillId="0" borderId="23" xfId="0" applyFont="1" applyBorder="1" applyAlignment="1" applyProtection="1">
      <alignment horizontal="left" wrapText="1"/>
      <protection hidden="1"/>
    </xf>
    <xf numFmtId="0" fontId="2" fillId="0" borderId="20" xfId="0" applyFont="1" applyBorder="1" applyAlignment="1" applyProtection="1">
      <alignment wrapText="1"/>
      <protection hidden="1"/>
    </xf>
    <xf numFmtId="0" fontId="2" fillId="0" borderId="25" xfId="0" applyFont="1" applyBorder="1" applyAlignment="1" applyProtection="1">
      <alignment horizontal="center" wrapText="1"/>
      <protection hidden="1"/>
    </xf>
    <xf numFmtId="0" fontId="2" fillId="0" borderId="21" xfId="0" applyFont="1" applyBorder="1" applyAlignment="1" applyProtection="1">
      <alignment horizontal="center" wrapText="1"/>
      <protection hidden="1"/>
    </xf>
    <xf numFmtId="0" fontId="2" fillId="0" borderId="22" xfId="0" applyFont="1" applyBorder="1" applyAlignment="1" applyProtection="1">
      <alignment horizontal="center" wrapText="1"/>
      <protection hidden="1"/>
    </xf>
    <xf numFmtId="0" fontId="2" fillId="0" borderId="28" xfId="0" applyFont="1" applyBorder="1" applyAlignment="1" applyProtection="1">
      <alignment horizontal="center" wrapText="1"/>
      <protection hidden="1"/>
    </xf>
    <xf numFmtId="0" fontId="2" fillId="0" borderId="29" xfId="0" applyFont="1" applyBorder="1" applyAlignment="1" applyProtection="1">
      <alignment horizontal="center" wrapText="1"/>
      <protection hidden="1"/>
    </xf>
    <xf numFmtId="0" fontId="2" fillId="0" borderId="23" xfId="0" applyFont="1" applyBorder="1" applyAlignment="1" applyProtection="1">
      <alignment wrapText="1"/>
      <protection hidden="1"/>
    </xf>
    <xf numFmtId="0" fontId="2" fillId="0" borderId="24" xfId="0" applyFont="1" applyBorder="1" applyAlignment="1" applyProtection="1">
      <alignment horizontal="center" wrapText="1"/>
      <protection hidden="1"/>
    </xf>
    <xf numFmtId="0" fontId="2" fillId="0" borderId="23" xfId="0" applyFont="1" applyBorder="1" applyAlignment="1" applyProtection="1">
      <alignment horizontal="left" wrapText="1"/>
      <protection hidden="1"/>
    </xf>
    <xf numFmtId="0" fontId="2" fillId="0" borderId="26" xfId="0" applyFont="1" applyBorder="1" applyAlignment="1" applyProtection="1">
      <alignment horizontal="center" wrapText="1"/>
      <protection hidden="1"/>
    </xf>
    <xf numFmtId="0" fontId="2" fillId="0" borderId="27" xfId="0" applyFont="1" applyBorder="1" applyAlignment="1" applyProtection="1">
      <alignment horizontal="center" wrapText="1"/>
      <protection hidden="1"/>
    </xf>
    <xf numFmtId="0" fontId="2" fillId="0" borderId="0" xfId="0" applyFont="1" applyBorder="1" applyAlignment="1" applyProtection="1">
      <alignment horizontal="left" wrapText="1"/>
      <protection hidden="1"/>
    </xf>
    <xf numFmtId="0" fontId="2" fillId="0" borderId="0" xfId="0" applyFont="1" applyBorder="1" applyAlignment="1" applyProtection="1">
      <alignment horizontal="center" wrapText="1"/>
      <protection hidden="1"/>
    </xf>
    <xf numFmtId="0" fontId="25" fillId="0" borderId="23" xfId="0" applyFont="1" applyBorder="1" applyAlignment="1" applyProtection="1">
      <alignment horizontal="left" wrapText="1"/>
      <protection hidden="1"/>
    </xf>
    <xf numFmtId="0" fontId="30" fillId="0" borderId="20" xfId="0" applyFont="1" applyBorder="1" applyAlignment="1" applyProtection="1">
      <alignment wrapText="1"/>
      <protection hidden="1"/>
    </xf>
    <xf numFmtId="0" fontId="32" fillId="0" borderId="23" xfId="0" applyFont="1" applyBorder="1" applyAlignment="1" applyProtection="1">
      <alignment wrapText="1"/>
      <protection hidden="1"/>
    </xf>
    <xf numFmtId="0" fontId="1" fillId="0" borderId="23" xfId="0" applyFont="1" applyBorder="1" applyAlignment="1" applyProtection="1">
      <alignment wrapText="1"/>
      <protection hidden="1"/>
    </xf>
    <xf numFmtId="0" fontId="0" fillId="0" borderId="30" xfId="0" applyFont="1" applyBorder="1" applyAlignment="1" applyProtection="1">
      <alignment wrapText="1"/>
      <protection hidden="1"/>
    </xf>
    <xf numFmtId="0" fontId="0" fillId="0" borderId="0" xfId="0" applyFill="1" applyBorder="1" applyAlignment="1" applyProtection="1">
      <alignment horizontal="left"/>
      <protection hidden="1"/>
    </xf>
    <xf numFmtId="9" fontId="0" fillId="0" borderId="0" xfId="0" applyNumberFormat="1" applyFont="1" applyFill="1" applyBorder="1" applyAlignment="1" applyProtection="1">
      <alignment horizontal="left"/>
      <protection hidden="1"/>
    </xf>
    <xf numFmtId="0" fontId="3" fillId="0" borderId="0" xfId="0" applyFont="1" applyBorder="1" applyAlignment="1" applyProtection="1">
      <alignment/>
      <protection hidden="1"/>
    </xf>
    <xf numFmtId="17" fontId="3" fillId="0" borderId="31" xfId="0" applyNumberFormat="1" applyFont="1" applyBorder="1" applyAlignment="1" applyProtection="1">
      <alignment horizontal="right"/>
      <protection hidden="1"/>
    </xf>
    <xf numFmtId="0" fontId="16" fillId="0" borderId="13" xfId="0" applyFont="1" applyBorder="1" applyAlignment="1" applyProtection="1">
      <alignment/>
      <protection hidden="1"/>
    </xf>
    <xf numFmtId="0" fontId="16" fillId="0" borderId="10" xfId="0" applyFont="1" applyFill="1" applyBorder="1" applyAlignment="1" applyProtection="1">
      <alignment horizontal="left"/>
      <protection hidden="1"/>
    </xf>
    <xf numFmtId="0" fontId="3" fillId="0" borderId="10" xfId="0" applyFont="1" applyBorder="1" applyAlignment="1" applyProtection="1">
      <alignment/>
      <protection hidden="1"/>
    </xf>
    <xf numFmtId="0" fontId="0" fillId="0" borderId="0" xfId="0" applyFont="1" applyFill="1" applyBorder="1" applyAlignment="1" applyProtection="1">
      <alignment horizontal="right"/>
      <protection hidden="1"/>
    </xf>
    <xf numFmtId="2" fontId="0"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right"/>
      <protection hidden="1"/>
    </xf>
    <xf numFmtId="0" fontId="16" fillId="0" borderId="0" xfId="0" applyFont="1" applyFill="1" applyBorder="1" applyAlignment="1" applyProtection="1">
      <alignment horizontal="left"/>
      <protection hidden="1"/>
    </xf>
    <xf numFmtId="0" fontId="0" fillId="0" borderId="22" xfId="0" applyFont="1" applyBorder="1" applyAlignment="1" applyProtection="1">
      <alignment horizontal="center" wrapText="1"/>
      <protection hidden="1"/>
    </xf>
    <xf numFmtId="0" fontId="0" fillId="0" borderId="32" xfId="0" applyFont="1" applyBorder="1" applyAlignment="1" applyProtection="1">
      <alignment horizontal="center" wrapText="1"/>
      <protection hidden="1"/>
    </xf>
    <xf numFmtId="0" fontId="0" fillId="0" borderId="33" xfId="0" applyFont="1" applyBorder="1" applyAlignment="1" applyProtection="1">
      <alignment horizontal="center" wrapText="1"/>
      <protection hidden="1"/>
    </xf>
    <xf numFmtId="0" fontId="2" fillId="0" borderId="21" xfId="0" applyFont="1" applyBorder="1" applyAlignment="1" applyProtection="1">
      <alignment horizontal="center" wrapText="1"/>
      <protection hidden="1"/>
    </xf>
    <xf numFmtId="0" fontId="2" fillId="0" borderId="24" xfId="0" applyFont="1" applyBorder="1" applyAlignment="1" applyProtection="1">
      <alignment horizontal="center" wrapText="1"/>
      <protection hidden="1"/>
    </xf>
    <xf numFmtId="0" fontId="2" fillId="0" borderId="22" xfId="0" applyFont="1" applyBorder="1" applyAlignment="1" applyProtection="1">
      <alignment horizontal="center" wrapText="1"/>
      <protection hidden="1"/>
    </xf>
    <xf numFmtId="0" fontId="2" fillId="0" borderId="25" xfId="0" applyFont="1" applyBorder="1" applyAlignment="1" applyProtection="1">
      <alignment horizontal="center" wrapText="1"/>
      <protection hidden="1"/>
    </xf>
    <xf numFmtId="0" fontId="0" fillId="0" borderId="28" xfId="0" applyFont="1" applyBorder="1" applyAlignment="1" applyProtection="1">
      <alignment horizontal="center" wrapText="1"/>
      <protection hidden="1"/>
    </xf>
    <xf numFmtId="0" fontId="0" fillId="0" borderId="29" xfId="0" applyFont="1" applyBorder="1" applyAlignment="1" applyProtection="1">
      <alignment horizontal="center" wrapText="1"/>
      <protection hidden="1"/>
    </xf>
    <xf numFmtId="0" fontId="4" fillId="0" borderId="0" xfId="0" applyFont="1" applyFill="1" applyBorder="1" applyAlignment="1" applyProtection="1">
      <alignment horizontal="left"/>
      <protection hidden="1"/>
    </xf>
    <xf numFmtId="0" fontId="0" fillId="0" borderId="10" xfId="0" applyFill="1" applyBorder="1" applyAlignment="1" applyProtection="1">
      <alignment/>
      <protection hidden="1"/>
    </xf>
    <xf numFmtId="0" fontId="1" fillId="0" borderId="1" xfId="0" applyFont="1" applyFill="1" applyBorder="1" applyAlignment="1" applyProtection="1">
      <alignment horizontal="center"/>
      <protection hidden="1"/>
    </xf>
    <xf numFmtId="0" fontId="0" fillId="0" borderId="6" xfId="0" applyFill="1" applyBorder="1" applyAlignment="1" applyProtection="1">
      <alignment/>
      <protection hidden="1"/>
    </xf>
    <xf numFmtId="0" fontId="2" fillId="0" borderId="6" xfId="0" applyFont="1" applyFill="1" applyBorder="1" applyAlignment="1" applyProtection="1">
      <alignment horizontal="center"/>
      <protection hidden="1"/>
    </xf>
    <xf numFmtId="0" fontId="2" fillId="0" borderId="6" xfId="0" applyFont="1" applyFill="1" applyBorder="1" applyAlignment="1" applyProtection="1">
      <alignment horizontal="center" wrapText="1"/>
      <protection hidden="1"/>
    </xf>
    <xf numFmtId="2" fontId="0" fillId="0" borderId="6" xfId="0" applyNumberFormat="1" applyFont="1" applyFill="1" applyBorder="1" applyAlignment="1" applyProtection="1">
      <alignment horizontal="center"/>
      <protection hidden="1"/>
    </xf>
    <xf numFmtId="0" fontId="0" fillId="0" borderId="0" xfId="0" applyAlignment="1" applyProtection="1">
      <alignment/>
      <protection/>
    </xf>
    <xf numFmtId="0" fontId="0" fillId="0" borderId="0" xfId="0" applyAlignment="1" applyProtection="1">
      <alignment horizontal="center"/>
      <protection/>
    </xf>
    <xf numFmtId="0" fontId="10" fillId="0" borderId="0" xfId="0" applyFont="1" applyAlignment="1" applyProtection="1">
      <alignment horizontal="left"/>
      <protection/>
    </xf>
    <xf numFmtId="0" fontId="2" fillId="0" borderId="6" xfId="0" applyFont="1" applyBorder="1" applyAlignment="1" applyProtection="1">
      <alignment horizontal="center" wrapText="1"/>
      <protection/>
    </xf>
    <xf numFmtId="2" fontId="9" fillId="0" borderId="6" xfId="0" applyNumberFormat="1" applyFont="1" applyBorder="1" applyAlignment="1" applyProtection="1">
      <alignment horizontal="center"/>
      <protection/>
    </xf>
    <xf numFmtId="2" fontId="0" fillId="0" borderId="0" xfId="0" applyNumberFormat="1" applyAlignment="1" applyProtection="1">
      <alignment/>
      <protection/>
    </xf>
    <xf numFmtId="0" fontId="6" fillId="0" borderId="0" xfId="0" applyFont="1" applyAlignment="1" applyProtection="1">
      <alignment horizontal="right"/>
      <protection/>
    </xf>
    <xf numFmtId="2" fontId="38" fillId="0" borderId="6" xfId="0" applyNumberFormat="1" applyFont="1" applyBorder="1" applyAlignment="1" applyProtection="1">
      <alignment horizontal="center"/>
      <protection/>
    </xf>
    <xf numFmtId="0" fontId="0" fillId="0" borderId="0" xfId="0" applyFill="1" applyAlignment="1" applyProtection="1">
      <alignment/>
      <protection/>
    </xf>
    <xf numFmtId="2" fontId="9" fillId="0" borderId="6" xfId="0" applyNumberFormat="1" applyFont="1" applyBorder="1" applyAlignment="1" applyProtection="1">
      <alignment horizontal="center"/>
      <protection/>
    </xf>
    <xf numFmtId="0" fontId="6" fillId="0" borderId="0" xfId="0" applyFont="1" applyAlignment="1" applyProtection="1">
      <alignment horizontal="right"/>
      <protection/>
    </xf>
    <xf numFmtId="0" fontId="9" fillId="0" borderId="0" xfId="0" applyFont="1" applyAlignment="1" applyProtection="1">
      <alignment horizontal="right"/>
      <protection/>
    </xf>
    <xf numFmtId="10" fontId="5" fillId="0" borderId="6" xfId="0" applyNumberFormat="1" applyFont="1" applyBorder="1" applyAlignment="1" applyProtection="1">
      <alignment horizontal="center"/>
      <protection hidden="1" locked="0"/>
    </xf>
    <xf numFmtId="10" fontId="5" fillId="0" borderId="6" xfId="0" applyNumberFormat="1" applyFont="1" applyBorder="1" applyAlignment="1" applyProtection="1">
      <alignment horizontal="center"/>
      <protection locked="0"/>
    </xf>
    <xf numFmtId="10" fontId="5" fillId="0" borderId="6" xfId="0" applyNumberFormat="1" applyFont="1" applyBorder="1" applyAlignment="1" applyProtection="1">
      <alignment horizontal="center"/>
      <protection hidden="1" locked="0"/>
    </xf>
    <xf numFmtId="10" fontId="5" fillId="0" borderId="6" xfId="0" applyNumberFormat="1" applyFont="1" applyBorder="1" applyAlignment="1" applyProtection="1">
      <alignment horizontal="center"/>
      <protection locked="0"/>
    </xf>
    <xf numFmtId="0" fontId="1" fillId="0" borderId="19" xfId="0" applyFont="1" applyBorder="1" applyAlignment="1" applyProtection="1">
      <alignment horizontal="center" wrapText="1"/>
      <protection hidden="1"/>
    </xf>
    <xf numFmtId="0" fontId="1" fillId="0" borderId="30" xfId="0" applyFont="1" applyBorder="1" applyAlignment="1" applyProtection="1">
      <alignment horizontal="center" wrapText="1"/>
      <protection hidden="1"/>
    </xf>
    <xf numFmtId="0" fontId="1" fillId="0" borderId="34" xfId="0" applyFont="1" applyBorder="1" applyAlignment="1" applyProtection="1">
      <alignment horizontal="center" wrapText="1"/>
      <protection hidden="1"/>
    </xf>
    <xf numFmtId="0" fontId="1" fillId="0" borderId="33" xfId="0" applyFont="1" applyBorder="1" applyAlignment="1" applyProtection="1">
      <alignment horizontal="center" wrapText="1"/>
      <protection hidden="1"/>
    </xf>
    <xf numFmtId="0" fontId="0" fillId="0" borderId="35" xfId="0" applyFont="1" applyBorder="1" applyAlignment="1" applyProtection="1">
      <alignment horizontal="center" wrapText="1"/>
      <protection hidden="1"/>
    </xf>
    <xf numFmtId="0" fontId="0" fillId="0" borderId="24" xfId="0" applyFont="1" applyBorder="1" applyAlignment="1" applyProtection="1">
      <alignment horizontal="center" wrapText="1"/>
      <protection hidden="1"/>
    </xf>
    <xf numFmtId="0" fontId="0" fillId="0" borderId="34" xfId="0" applyFont="1" applyBorder="1" applyAlignment="1" applyProtection="1">
      <alignment horizontal="center" wrapText="1"/>
      <protection hidden="1"/>
    </xf>
    <xf numFmtId="0" fontId="0" fillId="0" borderId="25" xfId="0" applyFont="1" applyBorder="1" applyAlignment="1" applyProtection="1">
      <alignment horizontal="center" wrapText="1"/>
      <protection hidden="1"/>
    </xf>
    <xf numFmtId="0" fontId="0" fillId="0" borderId="21" xfId="0" applyFont="1" applyBorder="1" applyAlignment="1" applyProtection="1">
      <alignment horizontal="center" wrapText="1"/>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15</xdr:row>
      <xdr:rowOff>57150</xdr:rowOff>
    </xdr:from>
    <xdr:to>
      <xdr:col>8</xdr:col>
      <xdr:colOff>600075</xdr:colOff>
      <xdr:row>50</xdr:row>
      <xdr:rowOff>0</xdr:rowOff>
    </xdr:to>
    <xdr:sp>
      <xdr:nvSpPr>
        <xdr:cNvPr id="1" name="TextBox 1"/>
        <xdr:cNvSpPr txBox="1">
          <a:spLocks noChangeArrowheads="1"/>
        </xdr:cNvSpPr>
      </xdr:nvSpPr>
      <xdr:spPr>
        <a:xfrm>
          <a:off x="381000" y="2486025"/>
          <a:ext cx="5095875" cy="56102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following instructions are intended to help in using the 645 Job Sheet:
1. Enter the name, tract, county, field and acres.
2. Under most situations, select Wildlife (60%) as the percentage calculation.  The Erosive (100%) percentage will be used for slopes, drainage ways, and other more erosive areas of the field.  See the 645 Standard for further guidance in selecting the appropriate percentage rate. 
3. Using the 645 Standard as your guide, enter the percent of warm season, cool season, and legumes in desired grass mixture.  
4. An error message appears when the percentage is less than 100.
5. Note that only the </a:t>
          </a:r>
          <a:r>
            <a:rPr lang="en-US" cap="none" sz="1200" b="1" i="0" u="none" baseline="0">
              <a:solidFill>
                <a:srgbClr val="008000"/>
              </a:solidFill>
              <a:latin typeface="Arial"/>
              <a:ea typeface="Arial"/>
              <a:cs typeface="Arial"/>
            </a:rPr>
            <a:t>green letters and numbers</a:t>
          </a:r>
          <a:r>
            <a:rPr lang="en-US" cap="none" sz="1200" b="0" i="0" u="none" baseline="0">
              <a:latin typeface="Arial"/>
              <a:ea typeface="Arial"/>
              <a:cs typeface="Arial"/>
            </a:rPr>
            <a:t> can be edited.
6. If using any of the Wildrye species in a Warm Season Grass mixture, reduce the amount of WSG by the percent of Wildrye used.  
For example, consider the situation where one (1) pound of Virginia Wildrye is used in a WSG mixture.  The spreadsheet indicates that one pound is 25% of a CSG mixture.  The remainder of the WSG mixture should then be calculated at 75%.  The final mixture therefore has 25% CSG (Wildrye), and 75% WSG, for a total of 100%.
7. Forbs can be added, at the rates indicated, to the mix to provide additional plant diversity, or to meet the needs of the target species.
8. Go to PLS sheet after receiving seed tags to confirm bulk seed rates.</a:t>
          </a:r>
          <a:r>
            <a:rPr lang="en-US" cap="none" sz="1000" b="0" i="0" u="none" baseline="0">
              <a:latin typeface="Arial"/>
              <a:ea typeface="Arial"/>
              <a:cs typeface="Arial"/>
            </a:rPr>
            <a:t>
</a:t>
          </a:r>
        </a:p>
      </xdr:txBody>
    </xdr:sp>
    <xdr:clientData/>
  </xdr:twoCellAnchor>
  <xdr:twoCellAnchor>
    <xdr:from>
      <xdr:col>1</xdr:col>
      <xdr:colOff>95250</xdr:colOff>
      <xdr:row>0</xdr:row>
      <xdr:rowOff>133350</xdr:rowOff>
    </xdr:from>
    <xdr:to>
      <xdr:col>8</xdr:col>
      <xdr:colOff>390525</xdr:colOff>
      <xdr:row>4</xdr:row>
      <xdr:rowOff>152400</xdr:rowOff>
    </xdr:to>
    <xdr:sp>
      <xdr:nvSpPr>
        <xdr:cNvPr id="2" name="TextBox 2"/>
        <xdr:cNvSpPr txBox="1">
          <a:spLocks noChangeArrowheads="1"/>
        </xdr:cNvSpPr>
      </xdr:nvSpPr>
      <xdr:spPr>
        <a:xfrm>
          <a:off x="704850" y="133350"/>
          <a:ext cx="4562475" cy="666750"/>
        </a:xfrm>
        <a:prstGeom prst="rect">
          <a:avLst/>
        </a:prstGeom>
        <a:solidFill>
          <a:srgbClr val="FFFFFF"/>
        </a:solidFill>
        <a:ln w="9525" cmpd="sng">
          <a:noFill/>
        </a:ln>
      </xdr:spPr>
      <xdr:txBody>
        <a:bodyPr vertOverflow="clip" wrap="square"/>
        <a:p>
          <a:pPr algn="ctr">
            <a:defRPr/>
          </a:pPr>
          <a:r>
            <a:rPr lang="en-US" cap="none" sz="1200" b="1" i="0" u="sng" baseline="0">
              <a:latin typeface="Arial"/>
              <a:ea typeface="Arial"/>
              <a:cs typeface="Arial"/>
            </a:rPr>
            <a:t>Conservation Practice Job Sheet 645 – Seeding Mixtures</a:t>
          </a:r>
          <a:r>
            <a:rPr lang="en-US" cap="none" sz="1200" b="1" i="0" u="none" baseline="0">
              <a:latin typeface="Arial"/>
              <a:ea typeface="Arial"/>
              <a:cs typeface="Arial"/>
            </a:rPr>
            <a:t>
(a.k.a. 645 Job Sheet)
Instructions</a:t>
          </a:r>
        </a:p>
      </xdr:txBody>
    </xdr:sp>
    <xdr:clientData/>
  </xdr:twoCellAnchor>
  <xdr:twoCellAnchor>
    <xdr:from>
      <xdr:col>0</xdr:col>
      <xdr:colOff>438150</xdr:colOff>
      <xdr:row>8</xdr:row>
      <xdr:rowOff>0</xdr:rowOff>
    </xdr:from>
    <xdr:to>
      <xdr:col>8</xdr:col>
      <xdr:colOff>590550</xdr:colOff>
      <xdr:row>12</xdr:row>
      <xdr:rowOff>152400</xdr:rowOff>
    </xdr:to>
    <xdr:sp>
      <xdr:nvSpPr>
        <xdr:cNvPr id="3" name="TextBox 3"/>
        <xdr:cNvSpPr txBox="1">
          <a:spLocks noChangeArrowheads="1"/>
        </xdr:cNvSpPr>
      </xdr:nvSpPr>
      <xdr:spPr>
        <a:xfrm>
          <a:off x="438150" y="1295400"/>
          <a:ext cx="5029200" cy="800100"/>
        </a:xfrm>
        <a:prstGeom prst="rect">
          <a:avLst/>
        </a:prstGeom>
        <a:solidFill>
          <a:srgbClr val="FFFFFF"/>
        </a:solidFill>
        <a:ln w="9525" cmpd="sng">
          <a:noFill/>
        </a:ln>
      </xdr:spPr>
      <xdr:txBody>
        <a:bodyPr vertOverflow="clip" wrap="square"/>
        <a:p>
          <a:pPr algn="l">
            <a:defRPr/>
          </a:pPr>
          <a:r>
            <a:rPr lang="en-US" cap="none" sz="1200" b="1" i="0" u="none" baseline="0">
              <a:solidFill>
                <a:srgbClr val="008000"/>
              </a:solidFill>
              <a:latin typeface="Arial"/>
              <a:ea typeface="Arial"/>
              <a:cs typeface="Arial"/>
            </a:rPr>
            <a:t>Seeding rates for Warm Season Grass (WSG) and Cool Season Grass (CSG) mixes used in the FOTG Upland Wildlife Habitat Management Standard (645 Standard) will be calculated using Conservation Practice Job Sheet 645 – Seeding Mixtures.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28575</xdr:rowOff>
    </xdr:from>
    <xdr:to>
      <xdr:col>3</xdr:col>
      <xdr:colOff>561975</xdr:colOff>
      <xdr:row>3</xdr:row>
      <xdr:rowOff>209550</xdr:rowOff>
    </xdr:to>
    <xdr:pic>
      <xdr:nvPicPr>
        <xdr:cNvPr id="1" name="Picture 1"/>
        <xdr:cNvPicPr preferRelativeResize="1">
          <a:picLocks noChangeAspect="1"/>
        </xdr:cNvPicPr>
      </xdr:nvPicPr>
      <xdr:blipFill>
        <a:blip r:embed="rId1"/>
        <a:stretch>
          <a:fillRect/>
        </a:stretch>
      </xdr:blipFill>
      <xdr:spPr>
        <a:xfrm>
          <a:off x="85725" y="190500"/>
          <a:ext cx="3086100" cy="504825"/>
        </a:xfrm>
        <a:prstGeom prst="rect">
          <a:avLst/>
        </a:prstGeom>
        <a:noFill/>
        <a:ln w="9525" cmpd="sng">
          <a:noFill/>
        </a:ln>
      </xdr:spPr>
    </xdr:pic>
    <xdr:clientData/>
  </xdr:twoCellAnchor>
  <xdr:twoCellAnchor editAs="oneCell">
    <xdr:from>
      <xdr:col>5</xdr:col>
      <xdr:colOff>95250</xdr:colOff>
      <xdr:row>10</xdr:row>
      <xdr:rowOff>38100</xdr:rowOff>
    </xdr:from>
    <xdr:to>
      <xdr:col>6</xdr:col>
      <xdr:colOff>523875</xdr:colOff>
      <xdr:row>15</xdr:row>
      <xdr:rowOff>152400</xdr:rowOff>
    </xdr:to>
    <xdr:pic>
      <xdr:nvPicPr>
        <xdr:cNvPr id="2" name="Picture 4"/>
        <xdr:cNvPicPr preferRelativeResize="1">
          <a:picLocks noChangeAspect="1"/>
        </xdr:cNvPicPr>
      </xdr:nvPicPr>
      <xdr:blipFill>
        <a:blip r:embed="rId2"/>
        <a:stretch>
          <a:fillRect/>
        </a:stretch>
      </xdr:blipFill>
      <xdr:spPr>
        <a:xfrm>
          <a:off x="3409950" y="1762125"/>
          <a:ext cx="1724025" cy="962025"/>
        </a:xfrm>
        <a:prstGeom prst="rect">
          <a:avLst/>
        </a:prstGeom>
        <a:noFill/>
        <a:ln w="9525" cmpd="sng">
          <a:noFill/>
        </a:ln>
      </xdr:spPr>
    </xdr:pic>
    <xdr:clientData/>
  </xdr:twoCellAnchor>
  <xdr:twoCellAnchor editAs="oneCell">
    <xdr:from>
      <xdr:col>3</xdr:col>
      <xdr:colOff>600075</xdr:colOff>
      <xdr:row>43</xdr:row>
      <xdr:rowOff>152400</xdr:rowOff>
    </xdr:from>
    <xdr:to>
      <xdr:col>8</xdr:col>
      <xdr:colOff>219075</xdr:colOff>
      <xdr:row>56</xdr:row>
      <xdr:rowOff>28575</xdr:rowOff>
    </xdr:to>
    <xdr:pic>
      <xdr:nvPicPr>
        <xdr:cNvPr id="3" name="Picture 5"/>
        <xdr:cNvPicPr preferRelativeResize="1">
          <a:picLocks noChangeAspect="1"/>
        </xdr:cNvPicPr>
      </xdr:nvPicPr>
      <xdr:blipFill>
        <a:blip r:embed="rId3"/>
        <a:stretch>
          <a:fillRect/>
        </a:stretch>
      </xdr:blipFill>
      <xdr:spPr>
        <a:xfrm>
          <a:off x="3209925" y="7334250"/>
          <a:ext cx="2905125" cy="1895475"/>
        </a:xfrm>
        <a:prstGeom prst="rect">
          <a:avLst/>
        </a:prstGeom>
        <a:noFill/>
        <a:ln w="9525" cmpd="sng">
          <a:noFill/>
        </a:ln>
      </xdr:spPr>
    </xdr:pic>
    <xdr:clientData/>
  </xdr:twoCellAnchor>
  <xdr:twoCellAnchor editAs="oneCell">
    <xdr:from>
      <xdr:col>8</xdr:col>
      <xdr:colOff>38100</xdr:colOff>
      <xdr:row>13</xdr:row>
      <xdr:rowOff>0</xdr:rowOff>
    </xdr:from>
    <xdr:to>
      <xdr:col>8</xdr:col>
      <xdr:colOff>428625</xdr:colOff>
      <xdr:row>14</xdr:row>
      <xdr:rowOff>0</xdr:rowOff>
    </xdr:to>
    <xdr:pic>
      <xdr:nvPicPr>
        <xdr:cNvPr id="4" name="ToggleButton1"/>
        <xdr:cNvPicPr preferRelativeResize="1">
          <a:picLocks noChangeAspect="1"/>
        </xdr:cNvPicPr>
      </xdr:nvPicPr>
      <xdr:blipFill>
        <a:blip r:embed="rId4"/>
        <a:stretch>
          <a:fillRect/>
        </a:stretch>
      </xdr:blipFill>
      <xdr:spPr>
        <a:xfrm>
          <a:off x="5934075" y="2105025"/>
          <a:ext cx="390525" cy="238125"/>
        </a:xfrm>
        <a:prstGeom prst="rect">
          <a:avLst/>
        </a:prstGeom>
        <a:noFill/>
        <a:ln w="9525" cmpd="sng">
          <a:noFill/>
        </a:ln>
      </xdr:spPr>
    </xdr:pic>
    <xdr:clientData/>
  </xdr:twoCellAnchor>
  <xdr:twoCellAnchor editAs="oneCell">
    <xdr:from>
      <xdr:col>8</xdr:col>
      <xdr:colOff>38100</xdr:colOff>
      <xdr:row>13</xdr:row>
      <xdr:rowOff>228600</xdr:rowOff>
    </xdr:from>
    <xdr:to>
      <xdr:col>8</xdr:col>
      <xdr:colOff>428625</xdr:colOff>
      <xdr:row>15</xdr:row>
      <xdr:rowOff>9525</xdr:rowOff>
    </xdr:to>
    <xdr:pic>
      <xdr:nvPicPr>
        <xdr:cNvPr id="5" name="ToggleButton2"/>
        <xdr:cNvPicPr preferRelativeResize="1">
          <a:picLocks noChangeAspect="1"/>
        </xdr:cNvPicPr>
      </xdr:nvPicPr>
      <xdr:blipFill>
        <a:blip r:embed="rId5"/>
        <a:stretch>
          <a:fillRect/>
        </a:stretch>
      </xdr:blipFill>
      <xdr:spPr>
        <a:xfrm>
          <a:off x="5934075" y="2333625"/>
          <a:ext cx="390525" cy="247650"/>
        </a:xfrm>
        <a:prstGeom prst="rect">
          <a:avLst/>
        </a:prstGeom>
        <a:noFill/>
        <a:ln w="9525" cmpd="sng">
          <a:noFill/>
        </a:ln>
      </xdr:spPr>
    </xdr:pic>
    <xdr:clientData/>
  </xdr:twoCellAnchor>
  <xdr:twoCellAnchor editAs="oneCell">
    <xdr:from>
      <xdr:col>7</xdr:col>
      <xdr:colOff>485775</xdr:colOff>
      <xdr:row>8</xdr:row>
      <xdr:rowOff>19050</xdr:rowOff>
    </xdr:from>
    <xdr:to>
      <xdr:col>8</xdr:col>
      <xdr:colOff>542925</xdr:colOff>
      <xdr:row>9</xdr:row>
      <xdr:rowOff>123825</xdr:rowOff>
    </xdr:to>
    <xdr:pic>
      <xdr:nvPicPr>
        <xdr:cNvPr id="6" name="CommandButton1"/>
        <xdr:cNvPicPr preferRelativeResize="1">
          <a:picLocks noChangeAspect="1"/>
        </xdr:cNvPicPr>
      </xdr:nvPicPr>
      <xdr:blipFill>
        <a:blip r:embed="rId6"/>
        <a:stretch>
          <a:fillRect/>
        </a:stretch>
      </xdr:blipFill>
      <xdr:spPr>
        <a:xfrm>
          <a:off x="5705475" y="1419225"/>
          <a:ext cx="7334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3</xdr:row>
      <xdr:rowOff>66675</xdr:rowOff>
    </xdr:from>
    <xdr:to>
      <xdr:col>7</xdr:col>
      <xdr:colOff>409575</xdr:colOff>
      <xdr:row>5</xdr:row>
      <xdr:rowOff>47625</xdr:rowOff>
    </xdr:to>
    <xdr:pic>
      <xdr:nvPicPr>
        <xdr:cNvPr id="1" name="CommandButton1"/>
        <xdr:cNvPicPr preferRelativeResize="1">
          <a:picLocks noChangeAspect="1"/>
        </xdr:cNvPicPr>
      </xdr:nvPicPr>
      <xdr:blipFill>
        <a:blip r:embed="rId1"/>
        <a:stretch>
          <a:fillRect/>
        </a:stretch>
      </xdr:blipFill>
      <xdr:spPr>
        <a:xfrm>
          <a:off x="4419600" y="495300"/>
          <a:ext cx="9144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1"/>
  <sheetViews>
    <sheetView workbookViewId="0" topLeftCell="A25">
      <selection activeCell="K50" sqref="K50"/>
    </sheetView>
  </sheetViews>
  <sheetFormatPr defaultColWidth="9.140625" defaultRowHeight="12.75"/>
  <cols>
    <col min="1" max="16384" width="9.140625" style="1" customWidth="1"/>
  </cols>
  <sheetData/>
  <sheetProtection password="E29C" sheet="1" objects="1" scenarios="1" selectLockedCells="1"/>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4"/>
  <dimension ref="A1:AF66"/>
  <sheetViews>
    <sheetView workbookViewId="0" topLeftCell="A43">
      <selection activeCell="G37" sqref="G37"/>
    </sheetView>
  </sheetViews>
  <sheetFormatPr defaultColWidth="9.140625" defaultRowHeight="12.75"/>
  <cols>
    <col min="1" max="1" width="19.57421875" style="1" customWidth="1"/>
    <col min="2" max="2" width="9.140625" style="1" customWidth="1"/>
    <col min="3" max="3" width="10.421875" style="1" customWidth="1"/>
    <col min="4" max="4" width="9.140625" style="1" customWidth="1"/>
    <col min="5" max="5" width="1.421875" style="1" customWidth="1"/>
    <col min="6" max="6" width="19.421875" style="1" customWidth="1"/>
    <col min="7" max="7" width="9.140625" style="1" customWidth="1"/>
    <col min="8" max="8" width="10.140625" style="1" customWidth="1"/>
    <col min="9" max="21" width="9.140625" style="1" customWidth="1"/>
    <col min="22" max="23" width="9.140625" style="26" customWidth="1"/>
    <col min="24" max="16384" width="9.140625" style="1" customWidth="1"/>
  </cols>
  <sheetData>
    <row r="1" ht="12.75">
      <c r="C1" s="14" t="s">
        <v>56</v>
      </c>
    </row>
    <row r="2" spans="1:25" ht="12.75">
      <c r="A2" s="15"/>
      <c r="B2" s="16"/>
      <c r="C2" s="16"/>
      <c r="D2" s="16"/>
      <c r="E2" s="16"/>
      <c r="F2" s="16"/>
      <c r="G2" s="16"/>
      <c r="H2" s="16"/>
      <c r="I2" s="17"/>
      <c r="J2" s="19"/>
      <c r="K2" s="19"/>
      <c r="L2" s="19"/>
      <c r="M2" s="19"/>
      <c r="N2" s="19"/>
      <c r="O2" s="19"/>
      <c r="P2" s="19"/>
      <c r="Q2" s="19"/>
      <c r="R2" s="19"/>
      <c r="S2" s="19"/>
      <c r="T2" s="19"/>
      <c r="U2" s="19"/>
      <c r="X2" s="16"/>
      <c r="Y2" s="16"/>
    </row>
    <row r="3" spans="1:25" ht="12.75">
      <c r="A3" s="18"/>
      <c r="B3" s="19"/>
      <c r="C3" s="19"/>
      <c r="D3" s="19"/>
      <c r="E3" s="19"/>
      <c r="F3" s="19"/>
      <c r="G3" s="19"/>
      <c r="H3" s="19"/>
      <c r="I3" s="20"/>
      <c r="J3" s="19"/>
      <c r="K3" s="19"/>
      <c r="L3" s="19"/>
      <c r="M3" s="19"/>
      <c r="N3" s="19"/>
      <c r="O3" s="19"/>
      <c r="P3" s="19"/>
      <c r="Q3" s="19"/>
      <c r="R3" s="19"/>
      <c r="S3" s="19"/>
      <c r="T3" s="19"/>
      <c r="U3" s="19"/>
      <c r="X3" s="19"/>
      <c r="Y3" s="19"/>
    </row>
    <row r="4" spans="1:25" ht="20.25">
      <c r="A4" s="18"/>
      <c r="B4" s="19"/>
      <c r="C4" s="28" t="s">
        <v>34</v>
      </c>
      <c r="D4" s="19"/>
      <c r="E4" s="19"/>
      <c r="F4" s="19"/>
      <c r="G4" s="19"/>
      <c r="H4" s="19"/>
      <c r="I4" s="20"/>
      <c r="J4" s="19"/>
      <c r="K4" s="19"/>
      <c r="L4" s="19"/>
      <c r="M4" s="19"/>
      <c r="N4" s="19"/>
      <c r="O4" s="19"/>
      <c r="P4" s="19"/>
      <c r="Q4" s="19"/>
      <c r="R4" s="19"/>
      <c r="S4" s="19"/>
      <c r="T4" s="19"/>
      <c r="U4" s="19"/>
      <c r="X4" s="19"/>
      <c r="Y4" s="19"/>
    </row>
    <row r="5" spans="1:25" ht="20.25">
      <c r="A5" s="18"/>
      <c r="B5" s="19"/>
      <c r="C5" s="19"/>
      <c r="D5" s="28" t="s">
        <v>204</v>
      </c>
      <c r="E5" s="19"/>
      <c r="F5" s="19"/>
      <c r="G5" s="19"/>
      <c r="H5" s="19"/>
      <c r="I5" s="20"/>
      <c r="J5" s="19"/>
      <c r="K5" s="19"/>
      <c r="L5" s="19"/>
      <c r="M5" s="19"/>
      <c r="N5" s="19"/>
      <c r="O5" s="19"/>
      <c r="P5" s="19"/>
      <c r="Q5" s="19"/>
      <c r="R5" s="19"/>
      <c r="S5" s="19"/>
      <c r="T5" s="19"/>
      <c r="U5" s="19"/>
      <c r="X5" s="19"/>
      <c r="Y5" s="19"/>
    </row>
    <row r="6" spans="1:25" ht="9" customHeight="1">
      <c r="A6" s="18"/>
      <c r="B6" s="19"/>
      <c r="C6" s="19"/>
      <c r="D6" s="19"/>
      <c r="E6" s="19"/>
      <c r="F6" s="19"/>
      <c r="G6" s="19"/>
      <c r="H6" s="21"/>
      <c r="I6" s="20"/>
      <c r="J6" s="19"/>
      <c r="K6" s="19"/>
      <c r="L6" s="19"/>
      <c r="M6" s="19"/>
      <c r="N6" s="19"/>
      <c r="O6" s="19"/>
      <c r="P6" s="19"/>
      <c r="Q6" s="19"/>
      <c r="R6" s="19"/>
      <c r="S6" s="19"/>
      <c r="T6" s="19"/>
      <c r="U6" s="19"/>
      <c r="X6" s="19"/>
      <c r="Y6" s="19"/>
    </row>
    <row r="7" spans="1:25" ht="15">
      <c r="A7" s="38" t="s">
        <v>205</v>
      </c>
      <c r="B7" s="22"/>
      <c r="C7" s="54"/>
      <c r="D7" s="22"/>
      <c r="E7" s="22"/>
      <c r="F7" s="22"/>
      <c r="G7" s="22"/>
      <c r="H7" s="22"/>
      <c r="I7" s="23"/>
      <c r="J7" s="26"/>
      <c r="K7" s="26"/>
      <c r="L7" s="26"/>
      <c r="M7" s="26"/>
      <c r="N7" s="26"/>
      <c r="O7" s="26"/>
      <c r="P7" s="26"/>
      <c r="Q7" s="26"/>
      <c r="R7" s="26"/>
      <c r="S7" s="26"/>
      <c r="T7" s="26"/>
      <c r="U7" s="26"/>
      <c r="X7" s="26"/>
      <c r="Y7" s="26"/>
    </row>
    <row r="8" spans="1:21" ht="7.5" customHeight="1">
      <c r="A8" s="18"/>
      <c r="B8" s="19"/>
      <c r="C8" s="19"/>
      <c r="D8" s="19"/>
      <c r="E8" s="19"/>
      <c r="F8" s="19"/>
      <c r="G8" s="19"/>
      <c r="H8" s="19"/>
      <c r="I8" s="20"/>
      <c r="J8" s="26"/>
      <c r="K8" s="26"/>
      <c r="L8" s="26"/>
      <c r="M8" s="26"/>
      <c r="N8" s="26"/>
      <c r="O8" s="26"/>
      <c r="P8" s="26"/>
      <c r="Q8" s="26"/>
      <c r="R8" s="26"/>
      <c r="S8" s="26"/>
      <c r="T8" s="26"/>
      <c r="U8" s="26"/>
    </row>
    <row r="9" spans="1:21" ht="12.75">
      <c r="A9" s="71" t="s">
        <v>55</v>
      </c>
      <c r="B9" s="36"/>
      <c r="C9" s="36"/>
      <c r="D9" s="36"/>
      <c r="E9" s="36"/>
      <c r="F9" s="36"/>
      <c r="G9" s="36"/>
      <c r="H9" s="36"/>
      <c r="I9" s="47"/>
      <c r="J9" s="19"/>
      <c r="K9" s="19"/>
      <c r="L9" s="19"/>
      <c r="M9" s="19"/>
      <c r="N9" s="19"/>
      <c r="O9" s="26"/>
      <c r="P9" s="26"/>
      <c r="Q9" s="26"/>
      <c r="R9" s="26"/>
      <c r="S9" s="26"/>
      <c r="T9" s="26"/>
      <c r="U9" s="26"/>
    </row>
    <row r="10" spans="1:21" ht="12.75">
      <c r="A10" s="71" t="s">
        <v>54</v>
      </c>
      <c r="B10" s="36"/>
      <c r="C10" s="36"/>
      <c r="D10" s="36"/>
      <c r="E10" s="36"/>
      <c r="F10" s="36"/>
      <c r="G10" s="36"/>
      <c r="H10" s="36"/>
      <c r="I10" s="47"/>
      <c r="J10" s="92"/>
      <c r="K10" s="63"/>
      <c r="L10" s="63"/>
      <c r="M10" s="63"/>
      <c r="N10" s="63"/>
      <c r="O10" s="26"/>
      <c r="P10" s="26"/>
      <c r="Q10" s="26"/>
      <c r="R10" s="26"/>
      <c r="S10" s="26"/>
      <c r="T10" s="26"/>
      <c r="U10" s="26"/>
    </row>
    <row r="11" spans="1:21" ht="5.25" customHeight="1">
      <c r="A11" s="18"/>
      <c r="B11" s="19"/>
      <c r="C11" s="19"/>
      <c r="D11" s="19"/>
      <c r="E11" s="26"/>
      <c r="F11" s="26"/>
      <c r="G11" s="26"/>
      <c r="H11" s="26"/>
      <c r="I11" s="20"/>
      <c r="J11" s="63"/>
      <c r="K11" s="63"/>
      <c r="L11" s="63"/>
      <c r="M11" s="63"/>
      <c r="N11" s="63"/>
      <c r="O11" s="26"/>
      <c r="P11" s="26"/>
      <c r="Q11" s="26"/>
      <c r="R11" s="26"/>
      <c r="S11" s="26"/>
      <c r="T11" s="26"/>
      <c r="U11" s="26"/>
    </row>
    <row r="12" spans="1:23" ht="12.75">
      <c r="A12" s="59" t="s">
        <v>46</v>
      </c>
      <c r="B12" s="19"/>
      <c r="C12" s="88" t="s">
        <v>211</v>
      </c>
      <c r="D12" s="24"/>
      <c r="E12" s="19"/>
      <c r="F12" s="19"/>
      <c r="G12" s="30"/>
      <c r="H12" s="36"/>
      <c r="I12" s="95" t="s">
        <v>57</v>
      </c>
      <c r="J12" s="63"/>
      <c r="K12" s="63"/>
      <c r="L12" s="63"/>
      <c r="M12" s="63"/>
      <c r="N12" s="63"/>
      <c r="O12" s="30"/>
      <c r="P12" s="30"/>
      <c r="Q12" s="30"/>
      <c r="R12" s="30"/>
      <c r="S12" s="30"/>
      <c r="T12" s="30"/>
      <c r="U12" s="30"/>
      <c r="V12" s="30"/>
      <c r="W12" s="30"/>
    </row>
    <row r="13" spans="1:23" ht="12" customHeight="1">
      <c r="A13" s="60" t="s">
        <v>47</v>
      </c>
      <c r="B13" s="90">
        <v>0</v>
      </c>
      <c r="C13" s="62" t="s">
        <v>19</v>
      </c>
      <c r="D13" s="61" t="s">
        <v>48</v>
      </c>
      <c r="E13" s="19"/>
      <c r="F13" s="87"/>
      <c r="G13" s="26"/>
      <c r="H13" s="36"/>
      <c r="I13" s="95" t="s">
        <v>206</v>
      </c>
      <c r="J13" s="66"/>
      <c r="K13" s="63"/>
      <c r="L13" s="63"/>
      <c r="M13" s="65"/>
      <c r="N13" s="63"/>
      <c r="O13" s="30"/>
      <c r="P13" s="30"/>
      <c r="Q13" s="30"/>
      <c r="R13" s="30"/>
      <c r="S13" s="30"/>
      <c r="T13" s="30"/>
      <c r="U13" s="30"/>
      <c r="V13" s="30"/>
      <c r="W13" s="30"/>
    </row>
    <row r="14" spans="1:23" ht="18.75" customHeight="1">
      <c r="A14" s="91" t="s">
        <v>52</v>
      </c>
      <c r="B14" s="61" t="s">
        <v>49</v>
      </c>
      <c r="C14" s="19"/>
      <c r="D14" s="89">
        <v>0</v>
      </c>
      <c r="E14" s="19"/>
      <c r="F14" s="87"/>
      <c r="G14" s="26"/>
      <c r="H14" s="94" t="s">
        <v>36</v>
      </c>
      <c r="I14" s="96"/>
      <c r="J14" s="63"/>
      <c r="K14" s="63"/>
      <c r="L14" s="64"/>
      <c r="M14" s="66"/>
      <c r="N14" s="63"/>
      <c r="O14" s="30"/>
      <c r="P14" s="30"/>
      <c r="Q14" s="30"/>
      <c r="R14" s="30"/>
      <c r="S14" s="30"/>
      <c r="T14" s="30"/>
      <c r="U14" s="30"/>
      <c r="V14" s="30"/>
      <c r="W14" s="30"/>
    </row>
    <row r="15" spans="1:23" ht="18" customHeight="1">
      <c r="A15" s="59" t="s">
        <v>50</v>
      </c>
      <c r="B15" s="19"/>
      <c r="C15" s="19"/>
      <c r="D15" s="19"/>
      <c r="E15" s="19"/>
      <c r="F15" s="87"/>
      <c r="G15" s="26"/>
      <c r="H15" s="94" t="s">
        <v>28</v>
      </c>
      <c r="I15" s="96"/>
      <c r="O15" s="30"/>
      <c r="P15" s="30"/>
      <c r="Q15" s="30"/>
      <c r="R15" s="30"/>
      <c r="S15" s="30"/>
      <c r="T15" s="30"/>
      <c r="U15" s="30"/>
      <c r="V15" s="30"/>
      <c r="W15" s="30"/>
    </row>
    <row r="16" spans="1:23" ht="12.75" customHeight="1">
      <c r="A16" s="91">
        <v>0</v>
      </c>
      <c r="B16" s="61" t="s">
        <v>51</v>
      </c>
      <c r="C16" s="19"/>
      <c r="D16" s="19"/>
      <c r="E16" s="19"/>
      <c r="F16" s="87"/>
      <c r="G16" s="30"/>
      <c r="H16" s="3"/>
      <c r="I16" s="46"/>
      <c r="O16" s="30"/>
      <c r="P16" s="30"/>
      <c r="Q16" s="30"/>
      <c r="R16" s="93">
        <v>0.6</v>
      </c>
      <c r="S16" s="30"/>
      <c r="T16" s="30"/>
      <c r="U16" s="30"/>
      <c r="V16" s="30"/>
      <c r="W16" s="30"/>
    </row>
    <row r="17" spans="1:23" ht="12.75" customHeight="1">
      <c r="A17" s="18"/>
      <c r="B17" s="19"/>
      <c r="C17" s="19"/>
      <c r="D17" s="19"/>
      <c r="E17" s="19"/>
      <c r="F17" s="19"/>
      <c r="G17" s="97" t="s">
        <v>225</v>
      </c>
      <c r="H17" s="19"/>
      <c r="I17" s="20"/>
      <c r="N17" s="30"/>
      <c r="O17" s="30"/>
      <c r="P17" s="30"/>
      <c r="Q17" s="30"/>
      <c r="R17" s="30"/>
      <c r="S17" s="30"/>
      <c r="T17" s="30"/>
      <c r="U17" s="30"/>
      <c r="V17" s="30"/>
      <c r="W17" s="30"/>
    </row>
    <row r="18" spans="1:21" ht="16.5">
      <c r="A18" s="45" t="s">
        <v>37</v>
      </c>
      <c r="B18" s="36"/>
      <c r="C18" s="32"/>
      <c r="D18" s="3"/>
      <c r="E18" s="31"/>
      <c r="F18" s="37" t="s">
        <v>38</v>
      </c>
      <c r="G18" s="36"/>
      <c r="H18" s="32"/>
      <c r="I18" s="46"/>
      <c r="J18" s="26"/>
      <c r="K18" s="26"/>
      <c r="L18" s="26"/>
      <c r="M18" s="26"/>
      <c r="N18" s="26"/>
      <c r="O18" s="26"/>
      <c r="P18" s="26"/>
      <c r="Q18" s="26"/>
      <c r="R18" s="26"/>
      <c r="S18" s="26"/>
      <c r="T18" s="26"/>
      <c r="U18" s="26"/>
    </row>
    <row r="19" spans="1:23" ht="8.25" customHeight="1">
      <c r="A19" s="50" t="s">
        <v>19</v>
      </c>
      <c r="B19" s="4" t="s">
        <v>19</v>
      </c>
      <c r="C19" s="4" t="s">
        <v>19</v>
      </c>
      <c r="D19" s="36"/>
      <c r="E19" s="31"/>
      <c r="F19" s="32"/>
      <c r="G19" s="3"/>
      <c r="H19" s="29"/>
      <c r="I19" s="46"/>
      <c r="J19" s="33"/>
      <c r="K19" s="33"/>
      <c r="L19" s="33"/>
      <c r="M19" s="33"/>
      <c r="N19" s="33"/>
      <c r="O19" s="33"/>
      <c r="P19" s="33"/>
      <c r="Q19" s="33"/>
      <c r="R19" s="33"/>
      <c r="S19" s="33"/>
      <c r="T19" s="33"/>
      <c r="U19" s="33"/>
      <c r="V19" s="33"/>
      <c r="W19" s="33"/>
    </row>
    <row r="20" spans="1:32" ht="12.75">
      <c r="A20" s="48"/>
      <c r="B20" s="58" t="s">
        <v>29</v>
      </c>
      <c r="C20" s="5" t="s">
        <v>25</v>
      </c>
      <c r="D20" s="5" t="s">
        <v>62</v>
      </c>
      <c r="E20" s="26"/>
      <c r="F20" s="36"/>
      <c r="G20" s="58" t="s">
        <v>29</v>
      </c>
      <c r="H20" s="5" t="s">
        <v>25</v>
      </c>
      <c r="I20" s="5" t="s">
        <v>62</v>
      </c>
      <c r="J20" s="33"/>
      <c r="K20" s="33"/>
      <c r="L20" s="33"/>
      <c r="M20" s="33"/>
      <c r="N20" s="33"/>
      <c r="O20" s="33"/>
      <c r="P20" s="33"/>
      <c r="Q20" s="33"/>
      <c r="R20" s="33"/>
      <c r="S20" s="33"/>
      <c r="T20" s="33"/>
      <c r="U20" s="33"/>
      <c r="V20" s="33"/>
      <c r="W20" s="33"/>
      <c r="X20" s="2"/>
      <c r="Y20" s="5" t="s">
        <v>22</v>
      </c>
      <c r="Z20" s="6" t="s">
        <v>23</v>
      </c>
      <c r="AA20" s="6" t="s">
        <v>24</v>
      </c>
      <c r="AC20" s="2"/>
      <c r="AD20" s="5" t="s">
        <v>22</v>
      </c>
      <c r="AE20" s="6" t="s">
        <v>23</v>
      </c>
      <c r="AF20" s="6" t="s">
        <v>24</v>
      </c>
    </row>
    <row r="21" spans="1:32" ht="14.25">
      <c r="A21" s="7" t="s">
        <v>20</v>
      </c>
      <c r="B21" s="8" t="s">
        <v>53</v>
      </c>
      <c r="C21" s="8" t="s">
        <v>27</v>
      </c>
      <c r="D21" s="8" t="s">
        <v>63</v>
      </c>
      <c r="E21" s="26"/>
      <c r="F21" s="7" t="s">
        <v>20</v>
      </c>
      <c r="G21" s="8" t="s">
        <v>53</v>
      </c>
      <c r="H21" s="8" t="s">
        <v>27</v>
      </c>
      <c r="I21" s="8" t="s">
        <v>63</v>
      </c>
      <c r="J21" s="41"/>
      <c r="K21" s="41"/>
      <c r="L21" s="41"/>
      <c r="M21" s="41"/>
      <c r="N21" s="41"/>
      <c r="O21" s="41"/>
      <c r="P21" s="41"/>
      <c r="Q21" s="41"/>
      <c r="R21" s="41"/>
      <c r="S21" s="41"/>
      <c r="T21" s="41"/>
      <c r="U21" s="41"/>
      <c r="V21" s="41"/>
      <c r="W21" s="41"/>
      <c r="X21" s="9" t="s">
        <v>21</v>
      </c>
      <c r="Y21" s="8" t="s">
        <v>31</v>
      </c>
      <c r="Z21" s="8" t="s">
        <v>26</v>
      </c>
      <c r="AA21" s="8" t="s">
        <v>32</v>
      </c>
      <c r="AC21" s="9" t="s">
        <v>21</v>
      </c>
      <c r="AD21" s="8" t="s">
        <v>31</v>
      </c>
      <c r="AE21" s="8" t="s">
        <v>26</v>
      </c>
      <c r="AF21" s="8" t="s">
        <v>32</v>
      </c>
    </row>
    <row r="22" spans="1:32" ht="12.75">
      <c r="A22" s="10" t="s">
        <v>0</v>
      </c>
      <c r="B22" s="72">
        <f>(((30*43560)/160000)*C22)*R16</f>
        <v>0</v>
      </c>
      <c r="C22" s="13">
        <v>0</v>
      </c>
      <c r="D22" s="75">
        <f>SUM(C22:C28)</f>
        <v>0</v>
      </c>
      <c r="E22" s="19"/>
      <c r="F22" s="10" t="s">
        <v>4</v>
      </c>
      <c r="G22" s="72">
        <f>(((720*43560)/2177000)*H22)*R16</f>
        <v>0</v>
      </c>
      <c r="H22" s="76">
        <v>0</v>
      </c>
      <c r="I22" s="75">
        <f>SUM(H22:H28)</f>
        <v>0</v>
      </c>
      <c r="J22" s="42"/>
      <c r="K22" s="42"/>
      <c r="L22" s="42"/>
      <c r="M22" s="42"/>
      <c r="N22" s="42"/>
      <c r="O22" s="42"/>
      <c r="P22" s="42"/>
      <c r="Q22" s="42"/>
      <c r="R22" s="42"/>
      <c r="S22" s="42"/>
      <c r="T22" s="42"/>
      <c r="U22" s="42"/>
      <c r="V22" s="42"/>
      <c r="W22" s="42"/>
      <c r="X22" s="40">
        <v>700000</v>
      </c>
      <c r="Y22" s="12">
        <f aca="true" t="shared" si="0" ref="Y22:Y30">(B38*X22)/43560</f>
        <v>0</v>
      </c>
      <c r="Z22" s="12">
        <f aca="true" t="shared" si="1" ref="Z22:Z34">Y22*0.2</f>
        <v>0</v>
      </c>
      <c r="AA22" s="11">
        <v>7</v>
      </c>
      <c r="AC22" s="40">
        <v>160000</v>
      </c>
      <c r="AD22" s="12">
        <f aca="true" t="shared" si="2" ref="AD22:AD30">(B22*AC22)/43560</f>
        <v>0</v>
      </c>
      <c r="AE22" s="12">
        <f aca="true" t="shared" si="3" ref="AE22:AE30">AD22*0.2</f>
        <v>0</v>
      </c>
      <c r="AF22" s="11">
        <v>30</v>
      </c>
    </row>
    <row r="23" spans="1:32" ht="12.75">
      <c r="A23" s="10" t="s">
        <v>59</v>
      </c>
      <c r="B23" s="72">
        <f>(((30*43560)/256000)*C23)*R16</f>
        <v>0</v>
      </c>
      <c r="C23" s="13">
        <v>0</v>
      </c>
      <c r="D23" s="19"/>
      <c r="E23" s="19"/>
      <c r="F23" s="10" t="s">
        <v>6</v>
      </c>
      <c r="G23" s="72">
        <f>(((60*43560)/654000)*H23)*R16</f>
        <v>0</v>
      </c>
      <c r="H23" s="76">
        <v>0</v>
      </c>
      <c r="I23" s="77" t="s">
        <v>19</v>
      </c>
      <c r="J23" s="43"/>
      <c r="K23" s="43"/>
      <c r="L23" s="43"/>
      <c r="M23" s="43"/>
      <c r="N23" s="43"/>
      <c r="O23" s="43"/>
      <c r="P23" s="43"/>
      <c r="Q23" s="43"/>
      <c r="R23" s="43"/>
      <c r="S23" s="43"/>
      <c r="T23" s="43"/>
      <c r="U23" s="43"/>
      <c r="V23" s="42"/>
      <c r="W23" s="42"/>
      <c r="X23" s="40">
        <v>800000</v>
      </c>
      <c r="Y23" s="12">
        <f t="shared" si="0"/>
        <v>0</v>
      </c>
      <c r="Z23" s="12">
        <f t="shared" si="1"/>
        <v>0</v>
      </c>
      <c r="AA23" s="11">
        <v>12</v>
      </c>
      <c r="AC23" s="40">
        <v>256000</v>
      </c>
      <c r="AD23" s="12">
        <f t="shared" si="2"/>
        <v>0</v>
      </c>
      <c r="AE23" s="12">
        <f t="shared" si="3"/>
        <v>0</v>
      </c>
      <c r="AF23" s="11">
        <v>30</v>
      </c>
    </row>
    <row r="24" spans="1:32" ht="12.75">
      <c r="A24" s="10" t="s">
        <v>2</v>
      </c>
      <c r="B24" s="72">
        <f>(((0.6*43560)/6000)*C24)*R16</f>
        <v>0</v>
      </c>
      <c r="C24" s="13">
        <v>0</v>
      </c>
      <c r="D24" s="43" t="s">
        <v>19</v>
      </c>
      <c r="E24" s="19"/>
      <c r="F24" s="10" t="s">
        <v>7</v>
      </c>
      <c r="G24" s="72">
        <f>(((300*43560)/5000000)*H24)*R16</f>
        <v>0</v>
      </c>
      <c r="H24" s="76">
        <v>0</v>
      </c>
      <c r="I24" s="77" t="s">
        <v>19</v>
      </c>
      <c r="J24" s="43"/>
      <c r="K24" s="43"/>
      <c r="L24" s="43"/>
      <c r="M24" s="43"/>
      <c r="N24" s="43"/>
      <c r="O24" s="43"/>
      <c r="P24" s="43"/>
      <c r="Q24" s="43"/>
      <c r="R24" s="43"/>
      <c r="S24" s="43"/>
      <c r="T24" s="43"/>
      <c r="U24" s="43"/>
      <c r="V24" s="42"/>
      <c r="W24" s="42"/>
      <c r="X24" s="40">
        <v>860000</v>
      </c>
      <c r="Y24" s="12">
        <f t="shared" si="0"/>
        <v>0</v>
      </c>
      <c r="Z24" s="12">
        <f t="shared" si="1"/>
        <v>0</v>
      </c>
      <c r="AA24" s="11">
        <v>12</v>
      </c>
      <c r="AC24" s="40">
        <v>6000</v>
      </c>
      <c r="AD24" s="12">
        <f t="shared" si="2"/>
        <v>0</v>
      </c>
      <c r="AE24" s="12">
        <f t="shared" si="3"/>
        <v>0</v>
      </c>
      <c r="AF24" s="11">
        <f>1*R16</f>
        <v>0.6</v>
      </c>
    </row>
    <row r="25" spans="1:32" ht="12.75">
      <c r="A25" s="10" t="s">
        <v>3</v>
      </c>
      <c r="B25" s="72">
        <f>(((30*43560)/175000)*C25)*R16</f>
        <v>0</v>
      </c>
      <c r="C25" s="13">
        <v>0</v>
      </c>
      <c r="D25" s="43" t="s">
        <v>19</v>
      </c>
      <c r="E25" s="19"/>
      <c r="F25" s="10" t="s">
        <v>10</v>
      </c>
      <c r="G25" s="72">
        <f>(((60*43560)/1230000)*H25)*R16</f>
        <v>0</v>
      </c>
      <c r="H25" s="76">
        <v>0</v>
      </c>
      <c r="I25" s="77" t="s">
        <v>19</v>
      </c>
      <c r="J25" s="43"/>
      <c r="K25" s="43"/>
      <c r="L25" s="43"/>
      <c r="M25" s="43"/>
      <c r="N25" s="43"/>
      <c r="O25" s="43"/>
      <c r="P25" s="43"/>
      <c r="Q25" s="43"/>
      <c r="R25" s="43"/>
      <c r="S25" s="43"/>
      <c r="T25" s="43"/>
      <c r="U25" s="43"/>
      <c r="V25" s="42"/>
      <c r="W25" s="42"/>
      <c r="X25" s="40">
        <v>375000</v>
      </c>
      <c r="Y25" s="12">
        <f t="shared" si="0"/>
        <v>0</v>
      </c>
      <c r="Z25" s="12">
        <f t="shared" si="1"/>
        <v>0</v>
      </c>
      <c r="AA25" s="11">
        <v>14.4</v>
      </c>
      <c r="AC25" s="40">
        <v>175000</v>
      </c>
      <c r="AD25" s="12">
        <f t="shared" si="2"/>
        <v>0</v>
      </c>
      <c r="AE25" s="12">
        <f t="shared" si="3"/>
        <v>0</v>
      </c>
      <c r="AF25" s="11">
        <v>30</v>
      </c>
    </row>
    <row r="26" spans="1:32" ht="12.75">
      <c r="A26" s="10" t="s">
        <v>5</v>
      </c>
      <c r="B26" s="72">
        <f>(((30*43560)/255000)*C26)*R16</f>
        <v>0</v>
      </c>
      <c r="C26" s="13">
        <v>0</v>
      </c>
      <c r="D26" s="43" t="s">
        <v>19</v>
      </c>
      <c r="E26" s="19"/>
      <c r="F26" s="10" t="s">
        <v>35</v>
      </c>
      <c r="G26" s="72">
        <f>(((15*43560)/46500)*H26)*R16</f>
        <v>0</v>
      </c>
      <c r="H26" s="76">
        <v>0</v>
      </c>
      <c r="I26" s="77" t="s">
        <v>19</v>
      </c>
      <c r="J26" s="43"/>
      <c r="K26" s="43"/>
      <c r="L26" s="43"/>
      <c r="M26" s="43"/>
      <c r="N26" s="43"/>
      <c r="O26" s="43"/>
      <c r="P26" s="43"/>
      <c r="Q26" s="43"/>
      <c r="R26" s="43"/>
      <c r="S26" s="43"/>
      <c r="T26" s="43"/>
      <c r="U26" s="43"/>
      <c r="V26" s="42"/>
      <c r="W26" s="42"/>
      <c r="X26" s="40">
        <v>275000</v>
      </c>
      <c r="Y26" s="12">
        <f t="shared" si="0"/>
        <v>0</v>
      </c>
      <c r="Z26" s="12">
        <f t="shared" si="1"/>
        <v>0</v>
      </c>
      <c r="AA26" s="11">
        <v>10.5</v>
      </c>
      <c r="AC26" s="40">
        <v>255000</v>
      </c>
      <c r="AD26" s="12">
        <f t="shared" si="2"/>
        <v>0</v>
      </c>
      <c r="AE26" s="12">
        <f t="shared" si="3"/>
        <v>0</v>
      </c>
      <c r="AF26" s="11">
        <v>30</v>
      </c>
    </row>
    <row r="27" spans="1:32" ht="12.75">
      <c r="A27" s="10" t="s">
        <v>8</v>
      </c>
      <c r="B27" s="72">
        <f>(((30*43560)/191000)*C27)*R16</f>
        <v>0</v>
      </c>
      <c r="C27" s="13">
        <v>0</v>
      </c>
      <c r="D27" s="43" t="s">
        <v>19</v>
      </c>
      <c r="E27" s="19"/>
      <c r="F27" s="10" t="s">
        <v>1</v>
      </c>
      <c r="G27" s="72">
        <f>(((14*43560)/84000)*H27)*R16</f>
        <v>0</v>
      </c>
      <c r="H27" s="76">
        <v>0</v>
      </c>
      <c r="I27" s="77" t="s">
        <v>19</v>
      </c>
      <c r="J27" s="43"/>
      <c r="K27" s="43"/>
      <c r="L27" s="43"/>
      <c r="M27" s="43"/>
      <c r="N27" s="43"/>
      <c r="O27" s="43"/>
      <c r="P27" s="43"/>
      <c r="Q27" s="43"/>
      <c r="R27" s="43"/>
      <c r="S27" s="43"/>
      <c r="T27" s="43"/>
      <c r="U27" s="43"/>
      <c r="V27" s="42"/>
      <c r="W27" s="42"/>
      <c r="X27" s="40">
        <v>200000</v>
      </c>
      <c r="Y27" s="12">
        <f t="shared" si="0"/>
        <v>0</v>
      </c>
      <c r="Z27" s="12">
        <f t="shared" si="1"/>
        <v>0</v>
      </c>
      <c r="AA27" s="11">
        <v>15.3</v>
      </c>
      <c r="AC27" s="40">
        <v>191000</v>
      </c>
      <c r="AD27" s="12">
        <f t="shared" si="2"/>
        <v>0</v>
      </c>
      <c r="AE27" s="12">
        <f t="shared" si="3"/>
        <v>0</v>
      </c>
      <c r="AF27" s="11">
        <v>30</v>
      </c>
    </row>
    <row r="28" spans="1:32" ht="12.75" customHeight="1">
      <c r="A28" s="10" t="s">
        <v>9</v>
      </c>
      <c r="B28" s="72">
        <f>(((30*43560)/389000)*C28)*R16</f>
        <v>0</v>
      </c>
      <c r="C28" s="13">
        <v>0</v>
      </c>
      <c r="D28" s="43" t="s">
        <v>19</v>
      </c>
      <c r="E28" s="19"/>
      <c r="F28" s="10" t="s">
        <v>11</v>
      </c>
      <c r="G28" s="78">
        <f>(((14*43560)/88000)*H28)*R16</f>
        <v>0</v>
      </c>
      <c r="H28" s="76">
        <v>0</v>
      </c>
      <c r="I28" s="77" t="s">
        <v>19</v>
      </c>
      <c r="J28" s="49"/>
      <c r="K28" s="49"/>
      <c r="L28" s="49"/>
      <c r="M28" s="49"/>
      <c r="N28" s="49"/>
      <c r="O28" s="49"/>
      <c r="P28" s="49"/>
      <c r="Q28" s="49"/>
      <c r="R28" s="49"/>
      <c r="S28" s="49"/>
      <c r="T28" s="49"/>
      <c r="U28" s="49"/>
      <c r="X28" s="40">
        <v>225000</v>
      </c>
      <c r="Y28" s="12">
        <f t="shared" si="0"/>
        <v>0</v>
      </c>
      <c r="Z28" s="12">
        <f t="shared" si="1"/>
        <v>0</v>
      </c>
      <c r="AA28" s="11">
        <v>17.2</v>
      </c>
      <c r="AC28" s="40">
        <v>389000</v>
      </c>
      <c r="AD28" s="12">
        <f t="shared" si="2"/>
        <v>0</v>
      </c>
      <c r="AE28" s="12">
        <f t="shared" si="3"/>
        <v>0</v>
      </c>
      <c r="AF28" s="11">
        <v>30</v>
      </c>
    </row>
    <row r="29" spans="1:32" ht="13.5" customHeight="1">
      <c r="A29" s="18"/>
      <c r="B29" s="73"/>
      <c r="C29" s="69" t="str">
        <f>IF((D22+I22)&gt;=100%,"","Grass component does not add up to 100%")</f>
        <v>Grass component does not add up to 100%</v>
      </c>
      <c r="D29" s="19"/>
      <c r="E29" s="19"/>
      <c r="F29" s="26"/>
      <c r="G29" s="35"/>
      <c r="H29" s="79"/>
      <c r="I29" s="80"/>
      <c r="J29" s="44"/>
      <c r="K29" s="44"/>
      <c r="L29" s="44"/>
      <c r="M29" s="44"/>
      <c r="N29" s="44"/>
      <c r="O29" s="44"/>
      <c r="P29" s="44"/>
      <c r="Q29" s="44"/>
      <c r="R29" s="44"/>
      <c r="S29" s="44"/>
      <c r="T29" s="44"/>
      <c r="U29" s="44"/>
      <c r="X29" s="40">
        <v>225000</v>
      </c>
      <c r="Y29" s="12">
        <f t="shared" si="0"/>
        <v>0</v>
      </c>
      <c r="Z29" s="12">
        <f t="shared" si="1"/>
        <v>0</v>
      </c>
      <c r="AA29" s="11">
        <v>17.2</v>
      </c>
      <c r="AC29" s="40">
        <v>389000</v>
      </c>
      <c r="AD29" s="12">
        <f t="shared" si="2"/>
        <v>0</v>
      </c>
      <c r="AE29" s="12">
        <f t="shared" si="3"/>
        <v>0</v>
      </c>
      <c r="AF29" s="11">
        <v>30</v>
      </c>
    </row>
    <row r="30" spans="1:32" ht="12.75">
      <c r="A30" s="55" t="s">
        <v>30</v>
      </c>
      <c r="B30" s="74">
        <f>SUM(B22:B28)</f>
        <v>0</v>
      </c>
      <c r="C30" s="19" t="s">
        <v>203</v>
      </c>
      <c r="D30" s="19"/>
      <c r="E30" s="44"/>
      <c r="F30" s="56" t="s">
        <v>30</v>
      </c>
      <c r="G30" s="72">
        <f>SUM(G22:G28)</f>
        <v>0</v>
      </c>
      <c r="H30" s="144" t="s">
        <v>203</v>
      </c>
      <c r="I30" s="82"/>
      <c r="J30" s="19"/>
      <c r="K30" s="19"/>
      <c r="L30" s="19"/>
      <c r="M30" s="19"/>
      <c r="N30" s="19"/>
      <c r="O30" s="19"/>
      <c r="P30" s="19"/>
      <c r="Q30" s="19"/>
      <c r="R30" s="19"/>
      <c r="S30" s="19"/>
      <c r="T30" s="19"/>
      <c r="U30" s="19"/>
      <c r="X30" s="40">
        <v>225000</v>
      </c>
      <c r="Y30" s="12">
        <f t="shared" si="0"/>
        <v>0</v>
      </c>
      <c r="Z30" s="12">
        <f t="shared" si="1"/>
        <v>0</v>
      </c>
      <c r="AA30" s="11">
        <v>17.2</v>
      </c>
      <c r="AC30" s="40">
        <v>389000</v>
      </c>
      <c r="AD30" s="12">
        <f t="shared" si="2"/>
        <v>0</v>
      </c>
      <c r="AE30" s="12">
        <f t="shared" si="3"/>
        <v>0</v>
      </c>
      <c r="AF30" s="11">
        <v>30</v>
      </c>
    </row>
    <row r="31" spans="1:32" ht="12.75">
      <c r="A31" s="55"/>
      <c r="B31" s="98"/>
      <c r="C31" s="19"/>
      <c r="D31" s="19"/>
      <c r="E31" s="44"/>
      <c r="F31" s="56"/>
      <c r="G31" s="98"/>
      <c r="H31" s="81"/>
      <c r="I31" s="82"/>
      <c r="J31" s="19"/>
      <c r="K31" s="19"/>
      <c r="L31" s="19"/>
      <c r="M31" s="19"/>
      <c r="N31" s="19"/>
      <c r="O31" s="19"/>
      <c r="P31" s="19"/>
      <c r="Q31" s="19"/>
      <c r="R31" s="19"/>
      <c r="S31" s="19"/>
      <c r="T31" s="19"/>
      <c r="U31" s="19"/>
      <c r="X31" s="40"/>
      <c r="Y31" s="12"/>
      <c r="Z31" s="12"/>
      <c r="AA31" s="11"/>
      <c r="AC31" s="25"/>
      <c r="AD31" s="34"/>
      <c r="AE31" s="34"/>
      <c r="AF31" s="25"/>
    </row>
    <row r="32" spans="1:27" ht="8.25" customHeight="1">
      <c r="A32" s="18"/>
      <c r="B32" s="19"/>
      <c r="C32" s="19"/>
      <c r="D32" s="19"/>
      <c r="E32" s="19"/>
      <c r="F32" s="19"/>
      <c r="G32" s="19"/>
      <c r="H32" s="19"/>
      <c r="I32" s="20"/>
      <c r="J32" s="19"/>
      <c r="K32" s="19"/>
      <c r="L32" s="19"/>
      <c r="M32" s="19"/>
      <c r="N32" s="19"/>
      <c r="O32" s="19"/>
      <c r="P32" s="19"/>
      <c r="Q32" s="19"/>
      <c r="R32" s="19"/>
      <c r="S32" s="19"/>
      <c r="T32" s="19"/>
      <c r="U32" s="19"/>
      <c r="X32" s="40">
        <v>160000</v>
      </c>
      <c r="Y32" s="12">
        <f>(B48*X32)/43560</f>
        <v>0</v>
      </c>
      <c r="Z32" s="12">
        <f t="shared" si="1"/>
        <v>0</v>
      </c>
      <c r="AA32" s="11">
        <v>12.25</v>
      </c>
    </row>
    <row r="33" spans="1:27" ht="16.5">
      <c r="A33" s="45" t="s">
        <v>44</v>
      </c>
      <c r="B33" s="36"/>
      <c r="C33" s="32"/>
      <c r="D33" s="3"/>
      <c r="E33" s="19"/>
      <c r="F33" s="37" t="s">
        <v>65</v>
      </c>
      <c r="G33" s="36"/>
      <c r="H33" s="87"/>
      <c r="I33" s="70"/>
      <c r="J33" s="19"/>
      <c r="K33" s="19"/>
      <c r="L33" s="19"/>
      <c r="M33" s="19"/>
      <c r="N33" s="19"/>
      <c r="O33" s="19"/>
      <c r="P33" s="19"/>
      <c r="Q33" s="19"/>
      <c r="R33" s="19"/>
      <c r="S33" s="19"/>
      <c r="T33" s="19"/>
      <c r="U33" s="19"/>
      <c r="X33" s="40">
        <v>43200</v>
      </c>
      <c r="Y33" s="12">
        <f>(B49*X33)/43560</f>
        <v>0</v>
      </c>
      <c r="Z33" s="12">
        <f t="shared" si="1"/>
        <v>0</v>
      </c>
      <c r="AA33" s="11">
        <v>12</v>
      </c>
    </row>
    <row r="34" spans="1:27" ht="16.5">
      <c r="A34" s="50" t="s">
        <v>58</v>
      </c>
      <c r="B34" s="3"/>
      <c r="C34" s="3"/>
      <c r="D34" s="3"/>
      <c r="E34" s="31"/>
      <c r="F34" s="37" t="s">
        <v>64</v>
      </c>
      <c r="G34" s="3"/>
      <c r="H34" s="30"/>
      <c r="I34" s="70"/>
      <c r="J34" s="19"/>
      <c r="K34" s="19"/>
      <c r="L34" s="19"/>
      <c r="M34" s="19"/>
      <c r="N34" s="19"/>
      <c r="O34" s="19"/>
      <c r="P34" s="19"/>
      <c r="Q34" s="19"/>
      <c r="R34" s="19"/>
      <c r="S34" s="19"/>
      <c r="T34" s="19"/>
      <c r="U34" s="19"/>
      <c r="V34" s="30"/>
      <c r="W34" s="30"/>
      <c r="X34" s="40">
        <v>44800</v>
      </c>
      <c r="Y34" s="12">
        <f>(B50*X34)/43560</f>
        <v>0</v>
      </c>
      <c r="Z34" s="12">
        <f t="shared" si="1"/>
        <v>0</v>
      </c>
      <c r="AA34" s="11">
        <v>12</v>
      </c>
    </row>
    <row r="35" spans="1:21" ht="12.75">
      <c r="A35" s="39"/>
      <c r="B35" s="4" t="s">
        <v>19</v>
      </c>
      <c r="C35" s="4" t="s">
        <v>19</v>
      </c>
      <c r="D35" s="36"/>
      <c r="E35" s="26"/>
      <c r="F35" s="36"/>
      <c r="G35" s="58" t="s">
        <v>61</v>
      </c>
      <c r="H35" s="101"/>
      <c r="I35" s="51"/>
      <c r="J35" s="26"/>
      <c r="K35" s="26"/>
      <c r="L35" s="26"/>
      <c r="M35" s="26"/>
      <c r="N35" s="26"/>
      <c r="O35" s="26"/>
      <c r="P35" s="26"/>
      <c r="Q35" s="26"/>
      <c r="R35" s="26"/>
      <c r="S35" s="26"/>
      <c r="T35" s="26"/>
      <c r="U35" s="26"/>
    </row>
    <row r="36" spans="1:27" ht="12.75">
      <c r="A36" s="48"/>
      <c r="B36" s="58" t="s">
        <v>29</v>
      </c>
      <c r="C36" s="5" t="s">
        <v>25</v>
      </c>
      <c r="D36" s="5" t="s">
        <v>62</v>
      </c>
      <c r="E36" s="26"/>
      <c r="F36" s="7" t="s">
        <v>20</v>
      </c>
      <c r="G36" s="8" t="s">
        <v>60</v>
      </c>
      <c r="H36" s="33"/>
      <c r="I36" s="52"/>
      <c r="J36" s="33"/>
      <c r="K36" s="33"/>
      <c r="L36" s="33"/>
      <c r="M36" s="33"/>
      <c r="N36" s="33"/>
      <c r="O36" s="33"/>
      <c r="P36" s="33"/>
      <c r="Q36" s="33"/>
      <c r="R36" s="33"/>
      <c r="S36" s="33"/>
      <c r="T36" s="33"/>
      <c r="U36" s="33"/>
      <c r="V36" s="33"/>
      <c r="W36" s="33"/>
      <c r="X36" s="2"/>
      <c r="Y36" s="5" t="s">
        <v>22</v>
      </c>
      <c r="Z36" s="6" t="s">
        <v>23</v>
      </c>
      <c r="AA36" s="6" t="s">
        <v>24</v>
      </c>
    </row>
    <row r="37" spans="1:27" ht="14.25">
      <c r="A37" s="7" t="s">
        <v>20</v>
      </c>
      <c r="B37" s="8" t="s">
        <v>53</v>
      </c>
      <c r="C37" s="8" t="s">
        <v>27</v>
      </c>
      <c r="D37" s="8" t="s">
        <v>63</v>
      </c>
      <c r="E37" s="19"/>
      <c r="F37" s="86"/>
      <c r="G37" s="67">
        <v>0</v>
      </c>
      <c r="H37" s="99"/>
      <c r="I37" s="20"/>
      <c r="J37" s="19"/>
      <c r="K37" s="19"/>
      <c r="L37" s="19"/>
      <c r="M37" s="19"/>
      <c r="N37" s="19"/>
      <c r="O37" s="19"/>
      <c r="P37" s="19"/>
      <c r="Q37" s="19"/>
      <c r="R37" s="19"/>
      <c r="S37" s="19"/>
      <c r="T37" s="19"/>
      <c r="U37" s="19"/>
      <c r="V37" s="33"/>
      <c r="W37" s="33"/>
      <c r="X37" s="9" t="s">
        <v>21</v>
      </c>
      <c r="Y37" s="8" t="s">
        <v>31</v>
      </c>
      <c r="Z37" s="8" t="s">
        <v>26</v>
      </c>
      <c r="AA37" s="8" t="s">
        <v>32</v>
      </c>
    </row>
    <row r="38" spans="1:27" ht="12.75">
      <c r="A38" s="10" t="s">
        <v>12</v>
      </c>
      <c r="B38" s="72">
        <f>(((7*43560)/700000)*C38)*R16</f>
        <v>0</v>
      </c>
      <c r="C38" s="76">
        <v>0</v>
      </c>
      <c r="D38" s="83">
        <f>SUM(C38:C50)</f>
        <v>0</v>
      </c>
      <c r="E38" s="19"/>
      <c r="F38" s="86"/>
      <c r="G38" s="68">
        <v>0</v>
      </c>
      <c r="H38" s="100"/>
      <c r="I38" s="20"/>
      <c r="J38" s="19"/>
      <c r="K38" s="19"/>
      <c r="L38" s="19"/>
      <c r="M38" s="19"/>
      <c r="N38" s="19"/>
      <c r="O38" s="19"/>
      <c r="P38" s="19"/>
      <c r="Q38" s="19"/>
      <c r="R38" s="19"/>
      <c r="S38" s="19"/>
      <c r="T38" s="19"/>
      <c r="U38" s="19"/>
      <c r="V38" s="41"/>
      <c r="W38" s="41"/>
      <c r="X38" s="40">
        <v>2177000</v>
      </c>
      <c r="Y38" s="12">
        <f aca="true" t="shared" si="4" ref="Y38:Y44">(G22*X38)/43560</f>
        <v>0</v>
      </c>
      <c r="Z38" s="12">
        <f>Y38*0.2</f>
        <v>0</v>
      </c>
      <c r="AA38" s="11">
        <v>720</v>
      </c>
    </row>
    <row r="39" spans="1:27" ht="12.75">
      <c r="A39" s="10" t="s">
        <v>13</v>
      </c>
      <c r="B39" s="72">
        <f>(((12*43560)/800000)*C39)*R16</f>
        <v>0</v>
      </c>
      <c r="C39" s="76">
        <v>0</v>
      </c>
      <c r="D39" s="42" t="s">
        <v>19</v>
      </c>
      <c r="E39" s="19"/>
      <c r="F39" s="86"/>
      <c r="G39" s="68">
        <v>0</v>
      </c>
      <c r="H39" s="100"/>
      <c r="I39" s="20"/>
      <c r="J39" s="19"/>
      <c r="K39" s="19"/>
      <c r="L39" s="19"/>
      <c r="M39" s="19"/>
      <c r="N39" s="19"/>
      <c r="O39" s="19"/>
      <c r="P39" s="19"/>
      <c r="Q39" s="19"/>
      <c r="R39" s="19"/>
      <c r="S39" s="19"/>
      <c r="T39" s="19"/>
      <c r="U39" s="19"/>
      <c r="V39" s="42"/>
      <c r="W39" s="42"/>
      <c r="X39" s="40">
        <v>654000</v>
      </c>
      <c r="Y39" s="12">
        <f t="shared" si="4"/>
        <v>0</v>
      </c>
      <c r="Z39" s="12">
        <f>Y39*0.2</f>
        <v>0</v>
      </c>
      <c r="AA39" s="11">
        <v>60</v>
      </c>
    </row>
    <row r="40" spans="1:27" ht="12.75">
      <c r="A40" s="10" t="s">
        <v>14</v>
      </c>
      <c r="B40" s="72">
        <f>(((12*43560)/860000)*C40)*R16</f>
        <v>0</v>
      </c>
      <c r="C40" s="76">
        <v>0</v>
      </c>
      <c r="D40" s="42" t="s">
        <v>19</v>
      </c>
      <c r="E40" s="19"/>
      <c r="F40" s="86"/>
      <c r="G40" s="68">
        <v>0</v>
      </c>
      <c r="H40" s="100"/>
      <c r="I40" s="20"/>
      <c r="J40" s="19"/>
      <c r="K40" s="19"/>
      <c r="L40" s="19"/>
      <c r="M40" s="19"/>
      <c r="N40" s="19"/>
      <c r="O40" s="19"/>
      <c r="P40" s="19"/>
      <c r="Q40" s="19"/>
      <c r="R40" s="19"/>
      <c r="S40" s="19"/>
      <c r="T40" s="19"/>
      <c r="U40" s="19"/>
      <c r="V40" s="42"/>
      <c r="W40" s="42"/>
      <c r="X40" s="40">
        <v>5000000</v>
      </c>
      <c r="Y40" s="12">
        <f t="shared" si="4"/>
        <v>0</v>
      </c>
      <c r="Z40" s="12">
        <f>Y40*0.2</f>
        <v>0</v>
      </c>
      <c r="AA40" s="11">
        <v>300</v>
      </c>
    </row>
    <row r="41" spans="1:27" ht="12.75">
      <c r="A41" s="10" t="s">
        <v>15</v>
      </c>
      <c r="B41" s="72">
        <f>(((14.4*43560)/375000)*C41)*R16</f>
        <v>0</v>
      </c>
      <c r="C41" s="76">
        <v>0</v>
      </c>
      <c r="D41" s="42" t="s">
        <v>19</v>
      </c>
      <c r="E41" s="19"/>
      <c r="F41" s="86"/>
      <c r="G41" s="68">
        <v>0</v>
      </c>
      <c r="H41" s="100"/>
      <c r="I41" s="20"/>
      <c r="J41" s="19"/>
      <c r="K41" s="19"/>
      <c r="L41" s="19"/>
      <c r="M41" s="19"/>
      <c r="N41" s="19"/>
      <c r="O41" s="19"/>
      <c r="P41" s="19"/>
      <c r="Q41" s="19"/>
      <c r="R41" s="19"/>
      <c r="S41" s="19"/>
      <c r="T41" s="19"/>
      <c r="U41" s="19"/>
      <c r="V41" s="42"/>
      <c r="W41" s="42"/>
      <c r="X41" s="40">
        <v>1230000</v>
      </c>
      <c r="Y41" s="12">
        <f t="shared" si="4"/>
        <v>0</v>
      </c>
      <c r="Z41" s="12">
        <f>Y41*0.2</f>
        <v>0</v>
      </c>
      <c r="AA41" s="11">
        <v>60</v>
      </c>
    </row>
    <row r="42" spans="1:27" ht="12.75">
      <c r="A42" s="10" t="s">
        <v>16</v>
      </c>
      <c r="B42" s="72">
        <f>(((10.5*43560)/275000)*C42)*R16</f>
        <v>0</v>
      </c>
      <c r="C42" s="76">
        <v>0</v>
      </c>
      <c r="D42" s="42" t="s">
        <v>19</v>
      </c>
      <c r="E42" s="19"/>
      <c r="F42" s="86"/>
      <c r="G42" s="68">
        <v>0</v>
      </c>
      <c r="H42" s="100"/>
      <c r="I42" s="20"/>
      <c r="J42" s="19"/>
      <c r="K42" s="19"/>
      <c r="L42" s="19"/>
      <c r="M42" s="19"/>
      <c r="N42" s="19"/>
      <c r="O42" s="19"/>
      <c r="P42" s="19"/>
      <c r="Q42" s="19"/>
      <c r="R42" s="19"/>
      <c r="S42" s="19"/>
      <c r="T42" s="19"/>
      <c r="U42" s="19"/>
      <c r="V42" s="42"/>
      <c r="W42" s="42"/>
      <c r="X42" s="40">
        <v>75000</v>
      </c>
      <c r="Y42" s="12">
        <f t="shared" si="4"/>
        <v>0</v>
      </c>
      <c r="Z42" s="12">
        <f>Y42*0.3</f>
        <v>0</v>
      </c>
      <c r="AA42" s="11">
        <v>15</v>
      </c>
    </row>
    <row r="43" spans="1:27" ht="12.75">
      <c r="A43" s="10" t="s">
        <v>17</v>
      </c>
      <c r="B43" s="72">
        <f>(((15.3*43560)/200000)*C43)*R16</f>
        <v>0</v>
      </c>
      <c r="C43" s="76">
        <v>0</v>
      </c>
      <c r="D43" s="42" t="s">
        <v>19</v>
      </c>
      <c r="E43" s="19"/>
      <c r="F43" s="86"/>
      <c r="G43" s="68">
        <v>0</v>
      </c>
      <c r="H43" s="100"/>
      <c r="I43" s="20"/>
      <c r="J43" s="19"/>
      <c r="K43" s="19"/>
      <c r="L43" s="19"/>
      <c r="M43" s="19"/>
      <c r="N43" s="19"/>
      <c r="O43" s="19"/>
      <c r="P43" s="19"/>
      <c r="Q43" s="19"/>
      <c r="R43" s="19"/>
      <c r="S43" s="19"/>
      <c r="T43" s="19"/>
      <c r="U43" s="19"/>
      <c r="V43" s="42"/>
      <c r="W43" s="42"/>
      <c r="X43" s="40">
        <v>84000</v>
      </c>
      <c r="Y43" s="12">
        <f t="shared" si="4"/>
        <v>0</v>
      </c>
      <c r="Z43" s="12">
        <f>Y43*0.3</f>
        <v>0</v>
      </c>
      <c r="AA43" s="11">
        <v>14</v>
      </c>
    </row>
    <row r="44" spans="1:27" ht="12.75">
      <c r="A44" s="10" t="s">
        <v>39</v>
      </c>
      <c r="B44" s="72">
        <f>(((17.2*43560)/225000)*C44)*R16</f>
        <v>0</v>
      </c>
      <c r="C44" s="76">
        <v>0</v>
      </c>
      <c r="D44" s="42" t="s">
        <v>19</v>
      </c>
      <c r="E44" s="19"/>
      <c r="F44" s="19"/>
      <c r="G44" s="19"/>
      <c r="H44" s="19"/>
      <c r="I44" s="20"/>
      <c r="J44" s="19"/>
      <c r="K44" s="19"/>
      <c r="L44" s="19"/>
      <c r="M44" s="19"/>
      <c r="N44" s="19"/>
      <c r="O44" s="19"/>
      <c r="P44" s="19"/>
      <c r="Q44" s="19"/>
      <c r="R44" s="19"/>
      <c r="S44" s="19"/>
      <c r="T44" s="19"/>
      <c r="U44" s="19"/>
      <c r="V44" s="42"/>
      <c r="W44" s="42"/>
      <c r="X44" s="40">
        <v>88000</v>
      </c>
      <c r="Y44" s="12">
        <f t="shared" si="4"/>
        <v>0</v>
      </c>
      <c r="Z44" s="12">
        <f>Y44*0.3</f>
        <v>0</v>
      </c>
      <c r="AA44" s="11">
        <v>14</v>
      </c>
    </row>
    <row r="45" spans="1:27" ht="12.75" customHeight="1">
      <c r="A45" s="10" t="s">
        <v>40</v>
      </c>
      <c r="B45" s="72">
        <f>(((17.2*43560)/225000)*C45)*R16</f>
        <v>0</v>
      </c>
      <c r="C45" s="76">
        <v>0</v>
      </c>
      <c r="D45" s="26"/>
      <c r="E45" s="19"/>
      <c r="F45" s="19"/>
      <c r="G45" s="19"/>
      <c r="H45" s="19"/>
      <c r="I45" s="20"/>
      <c r="J45" s="19"/>
      <c r="K45" s="19"/>
      <c r="L45" s="19"/>
      <c r="M45" s="19"/>
      <c r="N45" s="19"/>
      <c r="O45" s="19"/>
      <c r="P45" s="19"/>
      <c r="Q45" s="19"/>
      <c r="R45" s="19"/>
      <c r="S45" s="19"/>
      <c r="T45" s="19"/>
      <c r="U45" s="19"/>
      <c r="X45" s="25"/>
      <c r="Y45" s="34"/>
      <c r="Z45" s="34"/>
      <c r="AA45" s="25"/>
    </row>
    <row r="46" spans="1:21" ht="12.75">
      <c r="A46" s="10" t="s">
        <v>41</v>
      </c>
      <c r="B46" s="72">
        <f>(((17.2*43560)/225000)*C46)*R16</f>
        <v>0</v>
      </c>
      <c r="C46" s="76">
        <v>0</v>
      </c>
      <c r="D46" s="26"/>
      <c r="E46" s="44"/>
      <c r="F46" s="19"/>
      <c r="G46" s="19"/>
      <c r="H46" s="19"/>
      <c r="I46" s="20"/>
      <c r="J46" s="19"/>
      <c r="K46" s="19"/>
      <c r="L46" s="19"/>
      <c r="M46" s="19"/>
      <c r="N46" s="19"/>
      <c r="O46" s="19"/>
      <c r="P46" s="19"/>
      <c r="Q46" s="19"/>
      <c r="R46" s="19"/>
      <c r="S46" s="19"/>
      <c r="T46" s="19"/>
      <c r="U46" s="19"/>
    </row>
    <row r="47" spans="1:21" ht="12.75">
      <c r="A47" s="10" t="s">
        <v>45</v>
      </c>
      <c r="B47" s="72">
        <f>(((12.25*43560)/128000)*C47)*R16</f>
        <v>0</v>
      </c>
      <c r="C47" s="76">
        <v>0</v>
      </c>
      <c r="D47" s="26"/>
      <c r="E47" s="19" t="s">
        <v>19</v>
      </c>
      <c r="F47" s="19"/>
      <c r="G47" s="19"/>
      <c r="H47" s="19"/>
      <c r="I47" s="20"/>
      <c r="J47" s="19"/>
      <c r="K47" s="19"/>
      <c r="L47" s="19"/>
      <c r="M47" s="19"/>
      <c r="N47" s="19"/>
      <c r="O47" s="19"/>
      <c r="P47" s="19"/>
      <c r="Q47" s="19"/>
      <c r="R47" s="19"/>
      <c r="S47" s="19"/>
      <c r="T47" s="19"/>
      <c r="U47" s="19"/>
    </row>
    <row r="48" spans="1:21" ht="12.75">
      <c r="A48" s="10" t="s">
        <v>42</v>
      </c>
      <c r="B48" s="72">
        <f>(((12.25*43560)/160000)*C48)*R16</f>
        <v>0</v>
      </c>
      <c r="C48" s="76">
        <v>0</v>
      </c>
      <c r="D48" s="26"/>
      <c r="E48" s="19"/>
      <c r="F48" s="19"/>
      <c r="G48" s="19"/>
      <c r="H48" s="19"/>
      <c r="I48" s="20"/>
      <c r="J48" s="19"/>
      <c r="P48" s="19"/>
      <c r="Q48" s="19"/>
      <c r="R48" s="19"/>
      <c r="S48" s="19"/>
      <c r="T48" s="19"/>
      <c r="U48" s="19"/>
    </row>
    <row r="49" spans="1:21" ht="12.75">
      <c r="A49" s="10" t="s">
        <v>18</v>
      </c>
      <c r="B49" s="72">
        <f>(((6.61*43560)/43200)*C49)*R16</f>
        <v>0</v>
      </c>
      <c r="C49" s="76">
        <v>0</v>
      </c>
      <c r="D49" s="26"/>
      <c r="E49" s="19"/>
      <c r="F49" s="19"/>
      <c r="G49" s="19"/>
      <c r="H49" s="19"/>
      <c r="I49" s="20"/>
      <c r="J49" s="19"/>
      <c r="P49" s="19"/>
      <c r="Q49" s="19"/>
      <c r="R49" s="19"/>
      <c r="S49" s="19"/>
      <c r="T49" s="19"/>
      <c r="U49" s="19"/>
    </row>
    <row r="50" spans="1:21" ht="12.75">
      <c r="A50" s="10" t="s">
        <v>43</v>
      </c>
      <c r="B50" s="72">
        <f>(((6.85*43560)/44800)*C50)*R16</f>
        <v>0</v>
      </c>
      <c r="C50" s="76">
        <v>0</v>
      </c>
      <c r="D50" s="26"/>
      <c r="E50" s="19"/>
      <c r="F50" s="19"/>
      <c r="G50" s="19"/>
      <c r="H50" s="19"/>
      <c r="I50" s="20"/>
      <c r="J50" s="19"/>
      <c r="P50" s="19"/>
      <c r="Q50" s="19"/>
      <c r="R50" s="19"/>
      <c r="S50" s="19"/>
      <c r="T50" s="19"/>
      <c r="U50" s="19"/>
    </row>
    <row r="51" spans="1:21" ht="13.5" customHeight="1">
      <c r="A51" s="53"/>
      <c r="B51" s="30"/>
      <c r="C51" s="31"/>
      <c r="D51" s="84" t="str">
        <f>IF(D38&lt;100%,"Does not add up to 100%","")</f>
        <v>Does not add up to 100%</v>
      </c>
      <c r="E51" s="19"/>
      <c r="F51" s="19"/>
      <c r="G51" s="19"/>
      <c r="H51" s="19"/>
      <c r="I51" s="20"/>
      <c r="J51" s="19"/>
      <c r="P51" s="19"/>
      <c r="Q51" s="19"/>
      <c r="R51" s="19"/>
      <c r="S51" s="19"/>
      <c r="T51" s="19"/>
      <c r="U51" s="19"/>
    </row>
    <row r="52" spans="1:21" ht="12.75">
      <c r="A52" s="85" t="s">
        <v>30</v>
      </c>
      <c r="B52" s="74">
        <f>SUM(B38:B50)</f>
        <v>0</v>
      </c>
      <c r="C52" s="145" t="s">
        <v>203</v>
      </c>
      <c r="D52" s="30"/>
      <c r="E52" s="19"/>
      <c r="F52" s="19"/>
      <c r="G52" s="19"/>
      <c r="H52" s="19"/>
      <c r="I52" s="20"/>
      <c r="J52" s="19"/>
      <c r="P52" s="19"/>
      <c r="Q52" s="19"/>
      <c r="R52" s="19"/>
      <c r="S52" s="19"/>
      <c r="T52" s="19"/>
      <c r="U52" s="19"/>
    </row>
    <row r="53" spans="1:21" ht="5.25" customHeight="1">
      <c r="A53" s="85"/>
      <c r="B53" s="98"/>
      <c r="C53" s="145"/>
      <c r="D53" s="30"/>
      <c r="E53" s="19"/>
      <c r="F53" s="19"/>
      <c r="G53" s="19"/>
      <c r="H53" s="19"/>
      <c r="I53" s="20"/>
      <c r="J53" s="19"/>
      <c r="P53" s="19"/>
      <c r="Q53" s="19"/>
      <c r="R53" s="19"/>
      <c r="S53" s="19"/>
      <c r="T53" s="19"/>
      <c r="U53" s="19"/>
    </row>
    <row r="54" spans="1:21" ht="12.75">
      <c r="A54" s="149" t="s">
        <v>208</v>
      </c>
      <c r="B54" s="98"/>
      <c r="C54" s="31"/>
      <c r="D54" s="30"/>
      <c r="E54" s="19"/>
      <c r="F54" s="19"/>
      <c r="G54" s="19"/>
      <c r="H54" s="19"/>
      <c r="I54" s="20"/>
      <c r="J54" s="19"/>
      <c r="P54" s="19"/>
      <c r="Q54" s="19"/>
      <c r="R54" s="19"/>
      <c r="S54" s="19"/>
      <c r="T54" s="19"/>
      <c r="U54" s="19"/>
    </row>
    <row r="55" spans="1:21" ht="12.75">
      <c r="A55" s="150" t="s">
        <v>207</v>
      </c>
      <c r="B55" s="98"/>
      <c r="C55" s="31"/>
      <c r="D55" s="30"/>
      <c r="E55" s="19"/>
      <c r="F55" s="19"/>
      <c r="G55" s="19"/>
      <c r="H55" s="19"/>
      <c r="I55" s="20"/>
      <c r="J55" s="19"/>
      <c r="K55" s="19"/>
      <c r="L55" s="19"/>
      <c r="M55" s="19"/>
      <c r="N55" s="19"/>
      <c r="O55" s="19"/>
      <c r="P55" s="19"/>
      <c r="Q55" s="19"/>
      <c r="R55" s="19"/>
      <c r="S55" s="19"/>
      <c r="T55" s="19"/>
      <c r="U55" s="19"/>
    </row>
    <row r="56" spans="1:21" ht="12.75">
      <c r="A56" s="150" t="s">
        <v>209</v>
      </c>
      <c r="B56" s="98"/>
      <c r="C56" s="57"/>
      <c r="D56" s="30"/>
      <c r="E56" s="19"/>
      <c r="F56" s="19"/>
      <c r="G56" s="19"/>
      <c r="H56" s="19"/>
      <c r="I56" s="20"/>
      <c r="J56" s="19"/>
      <c r="K56" s="19"/>
      <c r="L56" s="19"/>
      <c r="M56" s="19"/>
      <c r="N56" s="19"/>
      <c r="O56" s="19"/>
      <c r="P56" s="19"/>
      <c r="Q56" s="19"/>
      <c r="R56" s="19"/>
      <c r="S56" s="19"/>
      <c r="T56" s="19"/>
      <c r="U56" s="19"/>
    </row>
    <row r="57" spans="1:21" ht="12.75">
      <c r="A57" s="150" t="s">
        <v>210</v>
      </c>
      <c r="B57" s="98"/>
      <c r="C57" s="57"/>
      <c r="D57" s="30"/>
      <c r="E57" s="19"/>
      <c r="F57" s="19"/>
      <c r="G57" s="19"/>
      <c r="H57" s="19"/>
      <c r="I57" s="20"/>
      <c r="J57" s="19"/>
      <c r="K57" s="19"/>
      <c r="L57" s="19"/>
      <c r="M57" s="19"/>
      <c r="N57" s="19"/>
      <c r="O57" s="19"/>
      <c r="P57" s="19"/>
      <c r="Q57" s="19"/>
      <c r="R57" s="19"/>
      <c r="S57" s="19"/>
      <c r="T57" s="19"/>
      <c r="U57" s="19"/>
    </row>
    <row r="58" spans="1:21" ht="5.25" customHeight="1">
      <c r="A58" s="18"/>
      <c r="B58" s="19"/>
      <c r="C58" s="19"/>
      <c r="D58" s="19"/>
      <c r="E58" s="19"/>
      <c r="F58" s="19"/>
      <c r="G58" s="19"/>
      <c r="H58" s="19"/>
      <c r="I58" s="20"/>
      <c r="J58" s="19"/>
      <c r="K58" s="19"/>
      <c r="L58" s="19"/>
      <c r="M58" s="19"/>
      <c r="N58" s="19"/>
      <c r="O58" s="19"/>
      <c r="P58" s="19"/>
      <c r="Q58" s="19"/>
      <c r="R58" s="19"/>
      <c r="S58" s="19"/>
      <c r="T58" s="19"/>
      <c r="U58" s="19"/>
    </row>
    <row r="59" spans="1:21" ht="10.5" customHeight="1">
      <c r="A59" s="27"/>
      <c r="B59" s="148" t="s">
        <v>33</v>
      </c>
      <c r="C59" s="24"/>
      <c r="D59" s="24"/>
      <c r="E59" s="24"/>
      <c r="F59" s="24"/>
      <c r="G59" s="24"/>
      <c r="H59" s="24"/>
      <c r="I59" s="147">
        <v>38231</v>
      </c>
      <c r="J59" s="19"/>
      <c r="K59" s="19"/>
      <c r="L59" s="19"/>
      <c r="M59" s="19"/>
      <c r="N59" s="19"/>
      <c r="O59" s="19"/>
      <c r="P59" s="19"/>
      <c r="Q59" s="19"/>
      <c r="R59" s="19"/>
      <c r="S59" s="19"/>
      <c r="T59" s="19"/>
      <c r="U59" s="19"/>
    </row>
    <row r="61" spans="1:10" ht="12.75">
      <c r="A61" s="146"/>
      <c r="G61" s="19"/>
      <c r="H61" s="19"/>
      <c r="I61" s="19"/>
      <c r="J61" s="19"/>
    </row>
    <row r="62" spans="1:10" ht="12.75">
      <c r="A62" s="146"/>
      <c r="G62" s="19"/>
      <c r="H62" s="19"/>
      <c r="I62" s="19"/>
      <c r="J62" s="19"/>
    </row>
    <row r="63" spans="1:10" ht="12.75">
      <c r="A63" s="146"/>
      <c r="G63" s="19"/>
      <c r="H63" s="19"/>
      <c r="I63" s="19"/>
      <c r="J63" s="19"/>
    </row>
    <row r="64" spans="7:10" ht="12.75">
      <c r="G64" s="19"/>
      <c r="H64" s="19"/>
      <c r="I64" s="19"/>
      <c r="J64" s="19"/>
    </row>
    <row r="65" spans="7:10" ht="12.75">
      <c r="G65" s="19"/>
      <c r="H65" s="19"/>
      <c r="I65" s="19"/>
      <c r="J65" s="19"/>
    </row>
    <row r="66" spans="7:10" ht="12.75">
      <c r="G66" s="19"/>
      <c r="H66" s="19"/>
      <c r="I66" s="19"/>
      <c r="J66" s="19"/>
    </row>
  </sheetData>
  <sheetProtection password="E29C" sheet="1" objects="1" scenarios="1" selectLockedCells="1"/>
  <printOptions/>
  <pageMargins left="0.5" right="0.5" top="0.25" bottom="0.25" header="0.5" footer="0.2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G71"/>
  <sheetViews>
    <sheetView workbookViewId="0" topLeftCell="A1">
      <selection activeCell="H15" sqref="H15"/>
    </sheetView>
  </sheetViews>
  <sheetFormatPr defaultColWidth="9.140625" defaultRowHeight="12.75"/>
  <cols>
    <col min="1" max="1" width="18.57421875" style="1" customWidth="1"/>
    <col min="2" max="2" width="11.28125" style="1" customWidth="1"/>
    <col min="3" max="3" width="13.8515625" style="1" customWidth="1"/>
    <col min="4" max="4" width="3.28125" style="1" customWidth="1"/>
    <col min="5" max="5" width="18.57421875" style="1" customWidth="1"/>
    <col min="6" max="6" width="11.421875" style="1" customWidth="1"/>
    <col min="7" max="7" width="14.140625" style="1" customWidth="1"/>
    <col min="8" max="16384" width="9.140625" style="1" customWidth="1"/>
  </cols>
  <sheetData>
    <row r="1" ht="12.75">
      <c r="A1" s="102" t="s">
        <v>66</v>
      </c>
    </row>
    <row r="2" ht="13.5" thickBot="1">
      <c r="A2" s="103" t="s">
        <v>67</v>
      </c>
    </row>
    <row r="3" spans="1:7" ht="36.75" thickTop="1">
      <c r="A3" s="187" t="s">
        <v>20</v>
      </c>
      <c r="B3" s="104" t="s">
        <v>68</v>
      </c>
      <c r="C3" s="189" t="s">
        <v>69</v>
      </c>
      <c r="D3" s="105"/>
      <c r="E3" s="187" t="s">
        <v>20</v>
      </c>
      <c r="F3" s="104" t="s">
        <v>68</v>
      </c>
      <c r="G3" s="189" t="s">
        <v>69</v>
      </c>
    </row>
    <row r="4" spans="1:7" ht="13.5" thickBot="1">
      <c r="A4" s="188"/>
      <c r="B4" s="106" t="s">
        <v>70</v>
      </c>
      <c r="C4" s="190"/>
      <c r="D4" s="107"/>
      <c r="E4" s="188"/>
      <c r="F4" s="106" t="s">
        <v>70</v>
      </c>
      <c r="G4" s="190"/>
    </row>
    <row r="5" spans="1:7" ht="13.5" thickTop="1">
      <c r="A5" s="108" t="s">
        <v>71</v>
      </c>
      <c r="B5" s="191" t="s">
        <v>72</v>
      </c>
      <c r="C5" s="193" t="s">
        <v>73</v>
      </c>
      <c r="E5" s="109" t="s">
        <v>74</v>
      </c>
      <c r="F5" s="110" t="s">
        <v>75</v>
      </c>
      <c r="G5" s="111" t="s">
        <v>76</v>
      </c>
    </row>
    <row r="6" spans="1:7" ht="13.5" thickBot="1">
      <c r="A6" s="112" t="s">
        <v>145</v>
      </c>
      <c r="B6" s="192"/>
      <c r="C6" s="194"/>
      <c r="E6" s="115" t="s">
        <v>146</v>
      </c>
      <c r="F6" s="113"/>
      <c r="G6" s="114"/>
    </row>
    <row r="7" spans="1:7" ht="12.75">
      <c r="A7" s="109" t="s">
        <v>77</v>
      </c>
      <c r="B7" s="195" t="s">
        <v>78</v>
      </c>
      <c r="C7" s="155" t="s">
        <v>73</v>
      </c>
      <c r="E7" s="116" t="s">
        <v>147</v>
      </c>
      <c r="F7" s="110" t="s">
        <v>79</v>
      </c>
      <c r="G7" s="111" t="s">
        <v>80</v>
      </c>
    </row>
    <row r="8" spans="1:7" ht="13.5" thickBot="1">
      <c r="A8" s="117" t="s">
        <v>148</v>
      </c>
      <c r="B8" s="192"/>
      <c r="C8" s="194"/>
      <c r="E8" s="112" t="s">
        <v>149</v>
      </c>
      <c r="F8" s="113"/>
      <c r="G8" s="114"/>
    </row>
    <row r="9" spans="1:7" ht="12.75">
      <c r="A9" s="116" t="s">
        <v>81</v>
      </c>
      <c r="B9" s="195" t="s">
        <v>82</v>
      </c>
      <c r="C9" s="155" t="s">
        <v>73</v>
      </c>
      <c r="E9" s="109" t="s">
        <v>150</v>
      </c>
      <c r="F9" s="110" t="s">
        <v>83</v>
      </c>
      <c r="G9" s="111" t="s">
        <v>80</v>
      </c>
    </row>
    <row r="10" spans="1:7" ht="13.5" thickBot="1">
      <c r="A10" s="112" t="s">
        <v>151</v>
      </c>
      <c r="B10" s="192"/>
      <c r="C10" s="194"/>
      <c r="E10" s="115" t="s">
        <v>152</v>
      </c>
      <c r="F10" s="113"/>
      <c r="G10" s="114"/>
    </row>
    <row r="11" spans="1:7" ht="37.5" thickBot="1">
      <c r="A11" s="116" t="s">
        <v>84</v>
      </c>
      <c r="B11" s="195" t="s">
        <v>72</v>
      </c>
      <c r="C11" s="155" t="s">
        <v>73</v>
      </c>
      <c r="E11" s="118" t="s">
        <v>153</v>
      </c>
      <c r="F11" s="119" t="s">
        <v>82</v>
      </c>
      <c r="G11" s="120" t="s">
        <v>85</v>
      </c>
    </row>
    <row r="12" spans="1:7" ht="13.5" thickBot="1">
      <c r="A12" s="112" t="s">
        <v>154</v>
      </c>
      <c r="B12" s="192"/>
      <c r="C12" s="194"/>
      <c r="E12" s="109" t="s">
        <v>86</v>
      </c>
      <c r="F12" s="110" t="s">
        <v>87</v>
      </c>
      <c r="G12" s="111" t="s">
        <v>88</v>
      </c>
    </row>
    <row r="13" spans="1:7" ht="12.75">
      <c r="A13" s="109" t="s">
        <v>89</v>
      </c>
      <c r="B13" s="195" t="s">
        <v>90</v>
      </c>
      <c r="C13" s="155" t="s">
        <v>73</v>
      </c>
      <c r="E13" s="121" t="s">
        <v>155</v>
      </c>
      <c r="F13" s="122"/>
      <c r="G13" s="123"/>
    </row>
    <row r="14" spans="1:7" ht="13.5" thickBot="1">
      <c r="A14" s="118" t="s">
        <v>156</v>
      </c>
      <c r="B14" s="192"/>
      <c r="C14" s="194"/>
      <c r="E14" s="124" t="s">
        <v>157</v>
      </c>
      <c r="F14" s="113"/>
      <c r="G14" s="114"/>
    </row>
    <row r="15" spans="1:7" ht="38.25" thickBot="1">
      <c r="A15" s="125" t="s">
        <v>158</v>
      </c>
      <c r="B15" s="119" t="s">
        <v>91</v>
      </c>
      <c r="C15" s="120" t="s">
        <v>80</v>
      </c>
      <c r="E15" s="109" t="s">
        <v>159</v>
      </c>
      <c r="F15" s="110" t="s">
        <v>92</v>
      </c>
      <c r="G15" s="111" t="s">
        <v>88</v>
      </c>
    </row>
    <row r="16" spans="1:7" ht="13.5" thickBot="1">
      <c r="A16" s="116" t="s">
        <v>93</v>
      </c>
      <c r="B16" s="195" t="s">
        <v>87</v>
      </c>
      <c r="C16" s="155" t="s">
        <v>94</v>
      </c>
      <c r="E16" s="115" t="s">
        <v>160</v>
      </c>
      <c r="F16" s="113"/>
      <c r="G16" s="114"/>
    </row>
    <row r="17" spans="1:7" ht="13.5" thickBot="1">
      <c r="A17" s="112" t="s">
        <v>161</v>
      </c>
      <c r="B17" s="192"/>
      <c r="C17" s="194"/>
      <c r="E17" s="109" t="s">
        <v>95</v>
      </c>
      <c r="F17" s="110" t="s">
        <v>75</v>
      </c>
      <c r="G17" s="111" t="s">
        <v>73</v>
      </c>
    </row>
    <row r="18" spans="1:7" ht="13.5" thickBot="1">
      <c r="A18" s="116" t="s">
        <v>96</v>
      </c>
      <c r="B18" s="195" t="s">
        <v>78</v>
      </c>
      <c r="C18" s="155" t="s">
        <v>94</v>
      </c>
      <c r="E18" s="115" t="s">
        <v>162</v>
      </c>
      <c r="F18" s="113"/>
      <c r="G18" s="114"/>
    </row>
    <row r="19" spans="1:7" ht="13.5" thickBot="1">
      <c r="A19" s="112" t="s">
        <v>163</v>
      </c>
      <c r="B19" s="192"/>
      <c r="C19" s="194"/>
      <c r="E19" s="126" t="s">
        <v>97</v>
      </c>
      <c r="F19" s="128" t="s">
        <v>98</v>
      </c>
      <c r="G19" s="129" t="s">
        <v>99</v>
      </c>
    </row>
    <row r="20" spans="1:7" ht="12.75">
      <c r="A20" s="109" t="s">
        <v>100</v>
      </c>
      <c r="B20" s="195" t="s">
        <v>75</v>
      </c>
      <c r="C20" s="155" t="s">
        <v>94</v>
      </c>
      <c r="E20" s="126" t="s">
        <v>164</v>
      </c>
      <c r="F20" s="130"/>
      <c r="G20" s="131"/>
    </row>
    <row r="21" spans="1:7" ht="26.25" thickBot="1">
      <c r="A21" s="115" t="s">
        <v>165</v>
      </c>
      <c r="B21" s="192"/>
      <c r="C21" s="194"/>
      <c r="E21" s="132" t="s">
        <v>101</v>
      </c>
      <c r="F21" s="133"/>
      <c r="G21" s="127"/>
    </row>
    <row r="22" spans="1:7" ht="12.75">
      <c r="A22" s="109" t="s">
        <v>166</v>
      </c>
      <c r="B22" s="195" t="s">
        <v>82</v>
      </c>
      <c r="C22" s="155" t="s">
        <v>102</v>
      </c>
      <c r="E22" s="109" t="s">
        <v>103</v>
      </c>
      <c r="F22" s="110" t="s">
        <v>82</v>
      </c>
      <c r="G22" s="111" t="s">
        <v>104</v>
      </c>
    </row>
    <row r="23" spans="1:7" ht="13.5" thickBot="1">
      <c r="A23" s="115" t="s">
        <v>167</v>
      </c>
      <c r="B23" s="192"/>
      <c r="C23" s="194"/>
      <c r="E23" s="118" t="s">
        <v>168</v>
      </c>
      <c r="F23" s="113"/>
      <c r="G23" s="114"/>
    </row>
    <row r="24" spans="1:7" ht="12.75">
      <c r="A24" s="109" t="s">
        <v>105</v>
      </c>
      <c r="B24" s="195" t="s">
        <v>87</v>
      </c>
      <c r="C24" s="155" t="s">
        <v>104</v>
      </c>
      <c r="E24" s="109" t="s">
        <v>106</v>
      </c>
      <c r="F24" s="110" t="s">
        <v>72</v>
      </c>
      <c r="G24" s="111" t="s">
        <v>107</v>
      </c>
    </row>
    <row r="25" spans="1:7" ht="13.5" thickBot="1">
      <c r="A25" s="118" t="s">
        <v>169</v>
      </c>
      <c r="B25" s="192"/>
      <c r="C25" s="194"/>
      <c r="E25" s="118" t="s">
        <v>170</v>
      </c>
      <c r="F25" s="113"/>
      <c r="G25" s="114"/>
    </row>
    <row r="26" spans="1:7" ht="12.75">
      <c r="A26" s="109" t="s">
        <v>108</v>
      </c>
      <c r="B26" s="195" t="s">
        <v>72</v>
      </c>
      <c r="C26" s="155" t="s">
        <v>109</v>
      </c>
      <c r="E26" s="109" t="s">
        <v>110</v>
      </c>
      <c r="F26" s="110" t="s">
        <v>111</v>
      </c>
      <c r="G26" s="111" t="s">
        <v>99</v>
      </c>
    </row>
    <row r="27" spans="1:7" ht="13.5" thickBot="1">
      <c r="A27" s="118" t="s">
        <v>171</v>
      </c>
      <c r="B27" s="192"/>
      <c r="C27" s="194"/>
      <c r="E27" s="115" t="s">
        <v>172</v>
      </c>
      <c r="F27" s="113"/>
      <c r="G27" s="114"/>
    </row>
    <row r="28" spans="1:7" ht="38.25" thickBot="1">
      <c r="A28" s="118" t="s">
        <v>173</v>
      </c>
      <c r="B28" s="119" t="s">
        <v>87</v>
      </c>
      <c r="C28" s="120" t="s">
        <v>112</v>
      </c>
      <c r="E28" s="109" t="s">
        <v>113</v>
      </c>
      <c r="F28" s="110" t="s">
        <v>87</v>
      </c>
      <c r="G28" s="111" t="s">
        <v>114</v>
      </c>
    </row>
    <row r="29" spans="1:7" ht="39" thickBot="1">
      <c r="A29" s="118" t="s">
        <v>174</v>
      </c>
      <c r="B29" s="119" t="s">
        <v>82</v>
      </c>
      <c r="C29" s="120" t="s">
        <v>115</v>
      </c>
      <c r="E29" s="118" t="s">
        <v>175</v>
      </c>
      <c r="F29" s="113"/>
      <c r="G29" s="114"/>
    </row>
    <row r="30" spans="1:7" ht="26.25" thickBot="1">
      <c r="A30" s="118" t="s">
        <v>176</v>
      </c>
      <c r="B30" s="119" t="s">
        <v>82</v>
      </c>
      <c r="C30" s="120" t="s">
        <v>116</v>
      </c>
      <c r="E30" s="109" t="s">
        <v>117</v>
      </c>
      <c r="F30" s="110" t="s">
        <v>72</v>
      </c>
      <c r="G30" s="111" t="s">
        <v>118</v>
      </c>
    </row>
    <row r="31" spans="1:7" ht="13.5" thickBot="1">
      <c r="A31" s="109" t="s">
        <v>119</v>
      </c>
      <c r="B31" s="195" t="s">
        <v>82</v>
      </c>
      <c r="C31" s="155" t="s">
        <v>112</v>
      </c>
      <c r="E31" s="118" t="s">
        <v>177</v>
      </c>
      <c r="F31" s="113"/>
      <c r="G31" s="114"/>
    </row>
    <row r="32" spans="1:7" ht="13.5" thickBot="1">
      <c r="A32" s="115" t="s">
        <v>178</v>
      </c>
      <c r="B32" s="192"/>
      <c r="C32" s="194"/>
      <c r="E32" s="109" t="s">
        <v>120</v>
      </c>
      <c r="F32" s="110" t="s">
        <v>72</v>
      </c>
      <c r="G32" s="111" t="s">
        <v>94</v>
      </c>
    </row>
    <row r="33" spans="1:7" ht="13.5" thickBot="1">
      <c r="A33" s="109" t="s">
        <v>121</v>
      </c>
      <c r="B33" s="195" t="s">
        <v>75</v>
      </c>
      <c r="C33" s="155" t="s">
        <v>122</v>
      </c>
      <c r="E33" s="118" t="s">
        <v>179</v>
      </c>
      <c r="F33" s="113"/>
      <c r="G33" s="114"/>
    </row>
    <row r="34" spans="1:7" ht="13.5" thickBot="1">
      <c r="A34" s="115" t="s">
        <v>180</v>
      </c>
      <c r="B34" s="192"/>
      <c r="C34" s="194"/>
      <c r="E34" s="109" t="s">
        <v>123</v>
      </c>
      <c r="F34" s="110" t="s">
        <v>111</v>
      </c>
      <c r="G34" s="111" t="s">
        <v>114</v>
      </c>
    </row>
    <row r="35" spans="1:7" ht="38.25" thickBot="1">
      <c r="A35" s="118" t="s">
        <v>181</v>
      </c>
      <c r="B35" s="119" t="s">
        <v>87</v>
      </c>
      <c r="C35" s="120" t="s">
        <v>124</v>
      </c>
      <c r="E35" s="118" t="s">
        <v>182</v>
      </c>
      <c r="F35" s="113"/>
      <c r="G35" s="114"/>
    </row>
    <row r="36" spans="1:7" ht="38.25" thickBot="1">
      <c r="A36" s="118" t="s">
        <v>183</v>
      </c>
      <c r="B36" s="119" t="s">
        <v>125</v>
      </c>
      <c r="C36" s="120" t="s">
        <v>73</v>
      </c>
      <c r="E36" s="134" t="s">
        <v>184</v>
      </c>
      <c r="F36" s="135" t="s">
        <v>82</v>
      </c>
      <c r="G36" s="136" t="s">
        <v>118</v>
      </c>
    </row>
    <row r="41" spans="1:7" ht="38.25" thickBot="1">
      <c r="A41" s="134" t="s">
        <v>185</v>
      </c>
      <c r="B41" s="135" t="s">
        <v>82</v>
      </c>
      <c r="C41" s="136" t="s">
        <v>99</v>
      </c>
      <c r="E41" s="137"/>
      <c r="F41" s="138"/>
      <c r="G41" s="138"/>
    </row>
    <row r="42" spans="1:3" ht="12.75">
      <c r="A42" s="116" t="s">
        <v>126</v>
      </c>
      <c r="B42" s="162" t="s">
        <v>79</v>
      </c>
      <c r="C42" s="163" t="s">
        <v>127</v>
      </c>
    </row>
    <row r="43" spans="1:3" ht="25.5" thickBot="1">
      <c r="A43" s="112" t="s">
        <v>186</v>
      </c>
      <c r="B43" s="192"/>
      <c r="C43" s="194"/>
    </row>
    <row r="44" spans="1:3" ht="12.75">
      <c r="A44" s="116" t="s">
        <v>128</v>
      </c>
      <c r="B44" s="195" t="s">
        <v>91</v>
      </c>
      <c r="C44" s="155" t="s">
        <v>114</v>
      </c>
    </row>
    <row r="45" spans="1:3" ht="13.5" thickBot="1">
      <c r="A45" s="139" t="s">
        <v>187</v>
      </c>
      <c r="B45" s="192"/>
      <c r="C45" s="194"/>
    </row>
    <row r="46" spans="1:3" ht="12.75">
      <c r="A46" s="109" t="s">
        <v>129</v>
      </c>
      <c r="B46" s="110" t="s">
        <v>72</v>
      </c>
      <c r="C46" s="111" t="s">
        <v>73</v>
      </c>
    </row>
    <row r="47" spans="1:3" ht="13.5" thickBot="1">
      <c r="A47" s="118" t="s">
        <v>188</v>
      </c>
      <c r="B47" s="113"/>
      <c r="C47" s="114"/>
    </row>
    <row r="48" spans="1:3" ht="38.25" thickBot="1">
      <c r="A48" s="118" t="s">
        <v>189</v>
      </c>
      <c r="B48" s="119" t="s">
        <v>72</v>
      </c>
      <c r="C48" s="120" t="s">
        <v>73</v>
      </c>
    </row>
    <row r="49" spans="1:3" ht="12.75">
      <c r="A49" s="109" t="s">
        <v>130</v>
      </c>
      <c r="B49" s="110" t="s">
        <v>87</v>
      </c>
      <c r="C49" s="111" t="s">
        <v>107</v>
      </c>
    </row>
    <row r="50" spans="1:3" ht="13.5" thickBot="1">
      <c r="A50" s="118" t="s">
        <v>190</v>
      </c>
      <c r="B50" s="113"/>
      <c r="C50" s="114"/>
    </row>
    <row r="51" spans="1:3" ht="38.25" thickBot="1">
      <c r="A51" s="118" t="s">
        <v>191</v>
      </c>
      <c r="B51" s="119" t="s">
        <v>78</v>
      </c>
      <c r="C51" s="120" t="s">
        <v>107</v>
      </c>
    </row>
    <row r="52" spans="1:3" ht="12.75">
      <c r="A52" s="109" t="s">
        <v>131</v>
      </c>
      <c r="B52" s="110" t="s">
        <v>79</v>
      </c>
      <c r="C52" s="111" t="s">
        <v>132</v>
      </c>
    </row>
    <row r="53" spans="1:3" ht="13.5" thickBot="1">
      <c r="A53" s="118" t="s">
        <v>192</v>
      </c>
      <c r="B53" s="113"/>
      <c r="C53" s="114"/>
    </row>
    <row r="54" spans="1:3" ht="12.75">
      <c r="A54" s="140" t="s">
        <v>193</v>
      </c>
      <c r="B54" s="158"/>
      <c r="C54" s="155" t="s">
        <v>133</v>
      </c>
    </row>
    <row r="55" spans="1:3" ht="24.75" thickBot="1">
      <c r="A55" s="141" t="s">
        <v>194</v>
      </c>
      <c r="B55" s="159"/>
      <c r="C55" s="194"/>
    </row>
    <row r="56" spans="1:3" ht="38.25">
      <c r="A56" s="126" t="s">
        <v>134</v>
      </c>
      <c r="B56" s="158" t="s">
        <v>111</v>
      </c>
      <c r="C56" s="160" t="s">
        <v>107</v>
      </c>
    </row>
    <row r="57" spans="1:3" ht="24.75" thickBot="1">
      <c r="A57" s="142" t="s">
        <v>195</v>
      </c>
      <c r="B57" s="159"/>
      <c r="C57" s="161"/>
    </row>
    <row r="58" spans="1:3" ht="12.75">
      <c r="A58" s="109" t="s">
        <v>135</v>
      </c>
      <c r="B58" s="195" t="s">
        <v>136</v>
      </c>
      <c r="C58" s="155" t="s">
        <v>112</v>
      </c>
    </row>
    <row r="59" spans="1:3" ht="13.5" thickBot="1">
      <c r="A59" s="115" t="s">
        <v>196</v>
      </c>
      <c r="B59" s="192"/>
      <c r="C59" s="194"/>
    </row>
    <row r="60" spans="1:3" ht="12.75">
      <c r="A60" s="109" t="s">
        <v>137</v>
      </c>
      <c r="B60" s="195" t="s">
        <v>82</v>
      </c>
      <c r="C60" s="155" t="s">
        <v>112</v>
      </c>
    </row>
    <row r="61" spans="1:3" ht="13.5" thickBot="1">
      <c r="A61" s="115" t="s">
        <v>197</v>
      </c>
      <c r="B61" s="192"/>
      <c r="C61" s="194"/>
    </row>
    <row r="62" spans="1:3" ht="12.75">
      <c r="A62" s="109" t="s">
        <v>138</v>
      </c>
      <c r="B62" s="195" t="s">
        <v>72</v>
      </c>
      <c r="C62" s="155" t="s">
        <v>139</v>
      </c>
    </row>
    <row r="63" spans="1:3" ht="25.5" thickBot="1">
      <c r="A63" s="118" t="s">
        <v>198</v>
      </c>
      <c r="B63" s="192"/>
      <c r="C63" s="194"/>
    </row>
    <row r="64" spans="1:3" ht="25.5">
      <c r="A64" s="109" t="s">
        <v>140</v>
      </c>
      <c r="B64" s="195" t="s">
        <v>111</v>
      </c>
      <c r="C64" s="155" t="s">
        <v>73</v>
      </c>
    </row>
    <row r="65" spans="1:3" ht="25.5" thickBot="1">
      <c r="A65" s="118" t="s">
        <v>199</v>
      </c>
      <c r="B65" s="192"/>
      <c r="C65" s="194"/>
    </row>
    <row r="66" spans="1:3" ht="12.75">
      <c r="A66" s="109" t="s">
        <v>141</v>
      </c>
      <c r="B66" s="195" t="s">
        <v>111</v>
      </c>
      <c r="C66" s="155" t="s">
        <v>73</v>
      </c>
    </row>
    <row r="67" spans="1:3" ht="13.5" thickBot="1">
      <c r="A67" s="118" t="s">
        <v>200</v>
      </c>
      <c r="B67" s="192"/>
      <c r="C67" s="194"/>
    </row>
    <row r="68" spans="1:3" ht="12.75">
      <c r="A68" s="109" t="s">
        <v>142</v>
      </c>
      <c r="B68" s="195" t="s">
        <v>87</v>
      </c>
      <c r="C68" s="155" t="s">
        <v>116</v>
      </c>
    </row>
    <row r="69" spans="1:3" ht="25.5" thickBot="1">
      <c r="A69" s="118" t="s">
        <v>201</v>
      </c>
      <c r="B69" s="192"/>
      <c r="C69" s="194"/>
    </row>
    <row r="70" spans="1:3" ht="12.75">
      <c r="A70" s="109" t="s">
        <v>143</v>
      </c>
      <c r="B70" s="195" t="s">
        <v>78</v>
      </c>
      <c r="C70" s="155" t="s">
        <v>144</v>
      </c>
    </row>
    <row r="71" spans="1:3" ht="13.5" thickBot="1">
      <c r="A71" s="143" t="s">
        <v>202</v>
      </c>
      <c r="B71" s="156"/>
      <c r="C71" s="157"/>
    </row>
    <row r="72" ht="13.5" thickTop="1"/>
  </sheetData>
  <sheetProtection password="E29C" sheet="1" objects="1" scenarios="1" selectLockedCells="1"/>
  <mergeCells count="52">
    <mergeCell ref="A3:A4"/>
    <mergeCell ref="C3:C4"/>
    <mergeCell ref="B7:B8"/>
    <mergeCell ref="C7:C8"/>
    <mergeCell ref="B9:B10"/>
    <mergeCell ref="C9:C10"/>
    <mergeCell ref="B11:B12"/>
    <mergeCell ref="C11:C12"/>
    <mergeCell ref="B13:B14"/>
    <mergeCell ref="C13:C14"/>
    <mergeCell ref="B16:B17"/>
    <mergeCell ref="C16:C17"/>
    <mergeCell ref="B18:B19"/>
    <mergeCell ref="C18:C19"/>
    <mergeCell ref="B20:B21"/>
    <mergeCell ref="C20:C21"/>
    <mergeCell ref="B22:B23"/>
    <mergeCell ref="C22:C23"/>
    <mergeCell ref="B24:B25"/>
    <mergeCell ref="C24:C25"/>
    <mergeCell ref="B26:B27"/>
    <mergeCell ref="C26:C27"/>
    <mergeCell ref="B31:B32"/>
    <mergeCell ref="C31:C32"/>
    <mergeCell ref="B33:B34"/>
    <mergeCell ref="C33:C34"/>
    <mergeCell ref="B54:B55"/>
    <mergeCell ref="C54:C55"/>
    <mergeCell ref="B42:B43"/>
    <mergeCell ref="C42:C43"/>
    <mergeCell ref="B44:B45"/>
    <mergeCell ref="C44:C45"/>
    <mergeCell ref="B56:B57"/>
    <mergeCell ref="C56:C57"/>
    <mergeCell ref="B58:B59"/>
    <mergeCell ref="C58:C59"/>
    <mergeCell ref="B60:B61"/>
    <mergeCell ref="C60:C61"/>
    <mergeCell ref="B62:B63"/>
    <mergeCell ref="C62:C63"/>
    <mergeCell ref="B64:B65"/>
    <mergeCell ref="C64:C65"/>
    <mergeCell ref="B66:B67"/>
    <mergeCell ref="C66:C67"/>
    <mergeCell ref="B68:B69"/>
    <mergeCell ref="C68:C69"/>
    <mergeCell ref="B70:B71"/>
    <mergeCell ref="C70:C71"/>
    <mergeCell ref="E3:E4"/>
    <mergeCell ref="G3:G4"/>
    <mergeCell ref="B5:B6"/>
    <mergeCell ref="C5:C6"/>
  </mergeCells>
  <printOptions/>
  <pageMargins left="0.75" right="0.25" top="1" bottom="0.25" header="0.2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3"/>
  <dimension ref="B2:F55"/>
  <sheetViews>
    <sheetView tabSelected="1" workbookViewId="0" topLeftCell="A1">
      <selection activeCell="E10" sqref="E10"/>
    </sheetView>
  </sheetViews>
  <sheetFormatPr defaultColWidth="9.140625" defaultRowHeight="12.75"/>
  <cols>
    <col min="1" max="1" width="3.00390625" style="171" customWidth="1"/>
    <col min="2" max="2" width="18.28125" style="171" customWidth="1"/>
    <col min="3" max="3" width="9.140625" style="171" customWidth="1"/>
    <col min="4" max="4" width="9.140625" style="172" customWidth="1"/>
    <col min="5" max="5" width="14.00390625" style="172" customWidth="1"/>
    <col min="6" max="6" width="11.140625" style="171" customWidth="1"/>
    <col min="7" max="16384" width="9.140625" style="171" customWidth="1"/>
  </cols>
  <sheetData>
    <row r="1" ht="8.25" customHeight="1"/>
    <row r="2" spans="2:5" ht="12.75">
      <c r="B2" s="154" t="s">
        <v>208</v>
      </c>
      <c r="E2" s="173" t="s">
        <v>223</v>
      </c>
    </row>
    <row r="3" ht="12.75">
      <c r="B3" s="146" t="s">
        <v>207</v>
      </c>
    </row>
    <row r="4" ht="12.75">
      <c r="B4" s="146" t="s">
        <v>209</v>
      </c>
    </row>
    <row r="5" ht="12.75">
      <c r="B5" s="146" t="s">
        <v>210</v>
      </c>
    </row>
    <row r="6" ht="6" customHeight="1"/>
    <row r="7" spans="2:4" ht="16.5">
      <c r="B7" s="164" t="s">
        <v>37</v>
      </c>
      <c r="C7" s="26"/>
      <c r="D7" s="31"/>
    </row>
    <row r="8" spans="2:4" ht="1.5" customHeight="1" hidden="1">
      <c r="B8" s="165"/>
      <c r="C8" s="166" t="s">
        <v>29</v>
      </c>
      <c r="D8" s="81"/>
    </row>
    <row r="9" spans="2:6" ht="42" customHeight="1">
      <c r="B9" s="168" t="s">
        <v>20</v>
      </c>
      <c r="C9" s="169" t="s">
        <v>213</v>
      </c>
      <c r="D9" s="169" t="s">
        <v>217</v>
      </c>
      <c r="E9" s="174" t="s">
        <v>218</v>
      </c>
      <c r="F9" s="174" t="s">
        <v>216</v>
      </c>
    </row>
    <row r="10" spans="2:6" ht="12.75">
      <c r="B10" s="167" t="s">
        <v>0</v>
      </c>
      <c r="C10" s="170">
        <f>'645 Seed Calculator'!B22</f>
        <v>0</v>
      </c>
      <c r="D10" s="183">
        <v>1</v>
      </c>
      <c r="E10" s="184">
        <v>1</v>
      </c>
      <c r="F10" s="175">
        <f>C10/(D10*E10)</f>
        <v>0</v>
      </c>
    </row>
    <row r="11" spans="2:6" ht="12.75">
      <c r="B11" s="167" t="s">
        <v>59</v>
      </c>
      <c r="C11" s="170">
        <f>'645 Seed Calculator'!B23</f>
        <v>0</v>
      </c>
      <c r="D11" s="184">
        <v>1</v>
      </c>
      <c r="E11" s="184">
        <v>1</v>
      </c>
      <c r="F11" s="175">
        <f aca="true" t="shared" si="0" ref="F11:F16">C11/(D11*E11)</f>
        <v>0</v>
      </c>
    </row>
    <row r="12" spans="2:6" ht="12.75">
      <c r="B12" s="167" t="s">
        <v>2</v>
      </c>
      <c r="C12" s="170">
        <f>'645 Seed Calculator'!B24</f>
        <v>0</v>
      </c>
      <c r="D12" s="183">
        <v>1</v>
      </c>
      <c r="E12" s="184">
        <v>1</v>
      </c>
      <c r="F12" s="175">
        <f t="shared" si="0"/>
        <v>0</v>
      </c>
    </row>
    <row r="13" spans="2:6" ht="12.75">
      <c r="B13" s="167" t="s">
        <v>3</v>
      </c>
      <c r="C13" s="170">
        <f>'645 Seed Calculator'!B25</f>
        <v>0</v>
      </c>
      <c r="D13" s="183">
        <v>1</v>
      </c>
      <c r="E13" s="184">
        <v>1</v>
      </c>
      <c r="F13" s="175">
        <f t="shared" si="0"/>
        <v>0</v>
      </c>
    </row>
    <row r="14" spans="2:6" ht="12.75">
      <c r="B14" s="167" t="s">
        <v>5</v>
      </c>
      <c r="C14" s="170">
        <f>'645 Seed Calculator'!B26</f>
        <v>0</v>
      </c>
      <c r="D14" s="183">
        <v>1</v>
      </c>
      <c r="E14" s="184">
        <v>1</v>
      </c>
      <c r="F14" s="175">
        <f t="shared" si="0"/>
        <v>0</v>
      </c>
    </row>
    <row r="15" spans="2:6" ht="12.75">
      <c r="B15" s="167" t="s">
        <v>8</v>
      </c>
      <c r="C15" s="170">
        <f>'645 Seed Calculator'!B27</f>
        <v>0</v>
      </c>
      <c r="D15" s="183">
        <v>1</v>
      </c>
      <c r="E15" s="184">
        <v>1</v>
      </c>
      <c r="F15" s="175">
        <f t="shared" si="0"/>
        <v>0</v>
      </c>
    </row>
    <row r="16" spans="2:6" ht="12.75">
      <c r="B16" s="167" t="s">
        <v>9</v>
      </c>
      <c r="C16" s="170">
        <f>'645 Seed Calculator'!B28</f>
        <v>0</v>
      </c>
      <c r="D16" s="183">
        <v>1</v>
      </c>
      <c r="E16" s="184">
        <v>1</v>
      </c>
      <c r="F16" s="175">
        <f t="shared" si="0"/>
        <v>0</v>
      </c>
    </row>
    <row r="17" spans="2:6" ht="6" customHeight="1">
      <c r="B17" s="26"/>
      <c r="C17" s="152"/>
      <c r="D17" s="25"/>
      <c r="F17" s="176"/>
    </row>
    <row r="18" spans="2:6" ht="12.75">
      <c r="B18" s="153"/>
      <c r="C18" s="152"/>
      <c r="D18" s="44"/>
      <c r="E18" s="177" t="s">
        <v>222</v>
      </c>
      <c r="F18" s="178">
        <f>SUM(F10:F17)</f>
        <v>0</v>
      </c>
    </row>
    <row r="19" spans="2:3" ht="6.75" customHeight="1">
      <c r="B19" s="179"/>
      <c r="C19" s="179"/>
    </row>
    <row r="20" spans="2:3" ht="16.5">
      <c r="B20" s="164" t="s">
        <v>38</v>
      </c>
      <c r="C20" s="26"/>
    </row>
    <row r="21" spans="2:6" ht="42" customHeight="1">
      <c r="B21" s="168" t="s">
        <v>20</v>
      </c>
      <c r="C21" s="169" t="s">
        <v>213</v>
      </c>
      <c r="D21" s="169" t="s">
        <v>214</v>
      </c>
      <c r="E21" s="174" t="s">
        <v>215</v>
      </c>
      <c r="F21" s="174" t="s">
        <v>216</v>
      </c>
    </row>
    <row r="22" spans="2:6" ht="12.75">
      <c r="B22" s="167" t="s">
        <v>4</v>
      </c>
      <c r="C22" s="170">
        <f>'645 Seed Calculator'!G22</f>
        <v>0</v>
      </c>
      <c r="D22" s="183">
        <v>1</v>
      </c>
      <c r="E22" s="184">
        <v>1</v>
      </c>
      <c r="F22" s="180">
        <f aca="true" t="shared" si="1" ref="F22:F28">C22/(D22*E22)</f>
        <v>0</v>
      </c>
    </row>
    <row r="23" spans="2:6" ht="12.75">
      <c r="B23" s="167" t="s">
        <v>6</v>
      </c>
      <c r="C23" s="170">
        <f>'645 Seed Calculator'!G23</f>
        <v>0</v>
      </c>
      <c r="D23" s="183">
        <v>1</v>
      </c>
      <c r="E23" s="184">
        <v>1</v>
      </c>
      <c r="F23" s="180">
        <f t="shared" si="1"/>
        <v>0</v>
      </c>
    </row>
    <row r="24" spans="2:6" ht="12.75">
      <c r="B24" s="167" t="s">
        <v>7</v>
      </c>
      <c r="C24" s="170">
        <f>'645 Seed Calculator'!G24</f>
        <v>0</v>
      </c>
      <c r="D24" s="183">
        <v>1</v>
      </c>
      <c r="E24" s="184">
        <v>1</v>
      </c>
      <c r="F24" s="180">
        <f t="shared" si="1"/>
        <v>0</v>
      </c>
    </row>
    <row r="25" spans="2:6" ht="12.75">
      <c r="B25" s="167" t="s">
        <v>10</v>
      </c>
      <c r="C25" s="170">
        <f>'645 Seed Calculator'!G25</f>
        <v>0</v>
      </c>
      <c r="D25" s="183">
        <v>1</v>
      </c>
      <c r="E25" s="184">
        <v>1</v>
      </c>
      <c r="F25" s="180">
        <f t="shared" si="1"/>
        <v>0</v>
      </c>
    </row>
    <row r="26" spans="2:6" ht="12.75">
      <c r="B26" s="167" t="s">
        <v>35</v>
      </c>
      <c r="C26" s="170">
        <f>'645 Seed Calculator'!G26</f>
        <v>0</v>
      </c>
      <c r="D26" s="183">
        <v>1</v>
      </c>
      <c r="E26" s="184">
        <v>1</v>
      </c>
      <c r="F26" s="180">
        <f t="shared" si="1"/>
        <v>0</v>
      </c>
    </row>
    <row r="27" spans="2:6" ht="12.75">
      <c r="B27" s="167" t="s">
        <v>1</v>
      </c>
      <c r="C27" s="170">
        <f>'645 Seed Calculator'!G27</f>
        <v>0</v>
      </c>
      <c r="D27" s="183">
        <v>1</v>
      </c>
      <c r="E27" s="184">
        <v>1</v>
      </c>
      <c r="F27" s="180">
        <f t="shared" si="1"/>
        <v>0</v>
      </c>
    </row>
    <row r="28" spans="2:6" ht="12.75">
      <c r="B28" s="167" t="s">
        <v>11</v>
      </c>
      <c r="C28" s="170">
        <f>'645 Seed Calculator'!G28</f>
        <v>0</v>
      </c>
      <c r="D28" s="183">
        <v>1</v>
      </c>
      <c r="E28" s="184">
        <v>1</v>
      </c>
      <c r="F28" s="180">
        <f t="shared" si="1"/>
        <v>0</v>
      </c>
    </row>
    <row r="29" spans="2:6" ht="8.25" customHeight="1">
      <c r="B29" s="26"/>
      <c r="C29" s="152"/>
      <c r="F29" s="176"/>
    </row>
    <row r="30" spans="2:6" ht="12.75">
      <c r="B30" s="153"/>
      <c r="C30" s="152"/>
      <c r="E30" s="177" t="s">
        <v>221</v>
      </c>
      <c r="F30" s="178">
        <f>SUM(F22:F29)</f>
        <v>0</v>
      </c>
    </row>
    <row r="31" spans="2:6" ht="14.25" customHeight="1">
      <c r="B31" s="179"/>
      <c r="C31" s="179"/>
      <c r="E31" s="181" t="s">
        <v>224</v>
      </c>
      <c r="F31" s="180">
        <f>F18+F30</f>
        <v>0</v>
      </c>
    </row>
    <row r="32" spans="2:3" ht="16.5">
      <c r="B32" s="164" t="s">
        <v>212</v>
      </c>
      <c r="C32" s="26"/>
    </row>
    <row r="33" spans="2:6" ht="38.25" customHeight="1">
      <c r="B33" s="168" t="s">
        <v>20</v>
      </c>
      <c r="C33" s="169" t="s">
        <v>213</v>
      </c>
      <c r="D33" s="169" t="s">
        <v>214</v>
      </c>
      <c r="E33" s="174" t="s">
        <v>215</v>
      </c>
      <c r="F33" s="174" t="s">
        <v>216</v>
      </c>
    </row>
    <row r="34" spans="2:6" ht="12.75">
      <c r="B34" s="167" t="s">
        <v>12</v>
      </c>
      <c r="C34" s="170">
        <f>'645 Seed Calculator'!B38</f>
        <v>0</v>
      </c>
      <c r="D34" s="185">
        <v>1</v>
      </c>
      <c r="E34" s="186">
        <v>1</v>
      </c>
      <c r="F34" s="175">
        <f aca="true" t="shared" si="2" ref="F34:F46">C34/(D34*E34)</f>
        <v>0</v>
      </c>
    </row>
    <row r="35" spans="2:6" ht="12.75">
      <c r="B35" s="167" t="s">
        <v>13</v>
      </c>
      <c r="C35" s="170">
        <f>'645 Seed Calculator'!B39</f>
        <v>0</v>
      </c>
      <c r="D35" s="185">
        <v>1</v>
      </c>
      <c r="E35" s="186">
        <v>1</v>
      </c>
      <c r="F35" s="175">
        <f t="shared" si="2"/>
        <v>0</v>
      </c>
    </row>
    <row r="36" spans="2:6" ht="12.75">
      <c r="B36" s="167" t="s">
        <v>14</v>
      </c>
      <c r="C36" s="170">
        <f>'645 Seed Calculator'!B40</f>
        <v>0</v>
      </c>
      <c r="D36" s="185">
        <v>1</v>
      </c>
      <c r="E36" s="186">
        <v>1</v>
      </c>
      <c r="F36" s="175">
        <f t="shared" si="2"/>
        <v>0</v>
      </c>
    </row>
    <row r="37" spans="2:6" ht="12.75">
      <c r="B37" s="167" t="s">
        <v>15</v>
      </c>
      <c r="C37" s="170">
        <f>'645 Seed Calculator'!B41</f>
        <v>0</v>
      </c>
      <c r="D37" s="185">
        <v>1</v>
      </c>
      <c r="E37" s="186">
        <v>1</v>
      </c>
      <c r="F37" s="175">
        <f t="shared" si="2"/>
        <v>0</v>
      </c>
    </row>
    <row r="38" spans="2:6" ht="12.75">
      <c r="B38" s="167" t="s">
        <v>16</v>
      </c>
      <c r="C38" s="170">
        <f>'645 Seed Calculator'!B42</f>
        <v>0</v>
      </c>
      <c r="D38" s="185">
        <v>1</v>
      </c>
      <c r="E38" s="186">
        <v>1</v>
      </c>
      <c r="F38" s="175">
        <f t="shared" si="2"/>
        <v>0</v>
      </c>
    </row>
    <row r="39" spans="2:6" ht="12.75">
      <c r="B39" s="167" t="s">
        <v>17</v>
      </c>
      <c r="C39" s="170">
        <f>'645 Seed Calculator'!B43</f>
        <v>0</v>
      </c>
      <c r="D39" s="185">
        <v>1</v>
      </c>
      <c r="E39" s="186">
        <v>1</v>
      </c>
      <c r="F39" s="175">
        <f t="shared" si="2"/>
        <v>0</v>
      </c>
    </row>
    <row r="40" spans="2:6" ht="12.75">
      <c r="B40" s="167" t="s">
        <v>39</v>
      </c>
      <c r="C40" s="170">
        <f>'645 Seed Calculator'!B44</f>
        <v>0</v>
      </c>
      <c r="D40" s="185">
        <v>1</v>
      </c>
      <c r="E40" s="186">
        <v>1</v>
      </c>
      <c r="F40" s="175">
        <f t="shared" si="2"/>
        <v>0</v>
      </c>
    </row>
    <row r="41" spans="2:6" ht="12.75">
      <c r="B41" s="167" t="s">
        <v>40</v>
      </c>
      <c r="C41" s="170">
        <f>'645 Seed Calculator'!B45</f>
        <v>0</v>
      </c>
      <c r="D41" s="185">
        <v>1</v>
      </c>
      <c r="E41" s="186">
        <v>1</v>
      </c>
      <c r="F41" s="175">
        <f t="shared" si="2"/>
        <v>0</v>
      </c>
    </row>
    <row r="42" spans="2:6" ht="12.75">
      <c r="B42" s="167" t="s">
        <v>41</v>
      </c>
      <c r="C42" s="170">
        <f>'645 Seed Calculator'!B46</f>
        <v>0</v>
      </c>
      <c r="D42" s="185">
        <v>1</v>
      </c>
      <c r="E42" s="186">
        <v>1</v>
      </c>
      <c r="F42" s="175">
        <f t="shared" si="2"/>
        <v>0</v>
      </c>
    </row>
    <row r="43" spans="2:6" ht="12.75">
      <c r="B43" s="167" t="s">
        <v>45</v>
      </c>
      <c r="C43" s="170">
        <f>'645 Seed Calculator'!B47</f>
        <v>0</v>
      </c>
      <c r="D43" s="185">
        <v>1</v>
      </c>
      <c r="E43" s="186">
        <v>1</v>
      </c>
      <c r="F43" s="175">
        <f t="shared" si="2"/>
        <v>0</v>
      </c>
    </row>
    <row r="44" spans="2:6" ht="12.75">
      <c r="B44" s="167" t="s">
        <v>42</v>
      </c>
      <c r="C44" s="170">
        <f>'645 Seed Calculator'!B48</f>
        <v>0</v>
      </c>
      <c r="D44" s="185">
        <v>1</v>
      </c>
      <c r="E44" s="186">
        <v>1</v>
      </c>
      <c r="F44" s="175">
        <f t="shared" si="2"/>
        <v>0</v>
      </c>
    </row>
    <row r="45" spans="2:6" ht="12.75">
      <c r="B45" s="167" t="s">
        <v>18</v>
      </c>
      <c r="C45" s="170">
        <f>'645 Seed Calculator'!B49</f>
        <v>0</v>
      </c>
      <c r="D45" s="185">
        <v>1</v>
      </c>
      <c r="E45" s="186">
        <v>1</v>
      </c>
      <c r="F45" s="175">
        <f t="shared" si="2"/>
        <v>0</v>
      </c>
    </row>
    <row r="46" spans="2:6" ht="12.75">
      <c r="B46" s="167" t="s">
        <v>43</v>
      </c>
      <c r="C46" s="170">
        <f>'645 Seed Calculator'!B50</f>
        <v>0</v>
      </c>
      <c r="D46" s="185">
        <v>1</v>
      </c>
      <c r="E46" s="186">
        <v>1</v>
      </c>
      <c r="F46" s="175">
        <f t="shared" si="2"/>
        <v>0</v>
      </c>
    </row>
    <row r="47" spans="2:6" ht="7.5" customHeight="1">
      <c r="B47" s="87"/>
      <c r="C47" s="151"/>
      <c r="F47" s="176"/>
    </row>
    <row r="48" spans="2:6" ht="12.75">
      <c r="B48" s="153"/>
      <c r="C48" s="152"/>
      <c r="E48" s="177" t="s">
        <v>220</v>
      </c>
      <c r="F48" s="178">
        <f>SUM(F34:F47)</f>
        <v>0</v>
      </c>
    </row>
    <row r="49" spans="2:6" ht="6.75" customHeight="1">
      <c r="B49" s="179"/>
      <c r="C49" s="179"/>
      <c r="F49" s="176"/>
    </row>
    <row r="50" spans="2:6" ht="12.75">
      <c r="B50" s="179"/>
      <c r="C50" s="179"/>
      <c r="E50" s="182" t="s">
        <v>219</v>
      </c>
      <c r="F50" s="180">
        <f>F18+F30+F48</f>
        <v>0</v>
      </c>
    </row>
    <row r="51" spans="2:3" ht="12.75">
      <c r="B51" s="179"/>
      <c r="C51" s="179"/>
    </row>
    <row r="52" spans="2:3" ht="12.75">
      <c r="B52" s="179"/>
      <c r="C52" s="179"/>
    </row>
    <row r="53" spans="2:3" ht="12.75">
      <c r="B53" s="179"/>
      <c r="C53" s="179"/>
    </row>
    <row r="54" spans="2:3" ht="12.75">
      <c r="B54" s="179"/>
      <c r="C54" s="179"/>
    </row>
    <row r="55" spans="2:3" ht="12.75">
      <c r="B55" s="179"/>
      <c r="C55" s="179"/>
    </row>
  </sheetData>
  <sheetProtection password="E29C" sheet="1" objects="1" scenarios="1" selectLockedCells="1"/>
  <printOptions/>
  <pageMargins left="0.75" right="0.75" top="0.75" bottom="0.75" header="0.5" footer="0.5"/>
  <pageSetup horizontalDpi="600" verticalDpi="600" orientation="portrait" r:id="rId2"/>
  <headerFooter alignWithMargins="0">
    <oddHeader>&amp;CBulk Seed Requirements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NRCS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Seed Calculator for Standard 645</dc:title>
  <dc:subject/>
  <dc:creator>Victor R. Shelton</dc:creator>
  <cp:keywords/>
  <dc:description/>
  <cp:lastModifiedBy>Dave Stratman</cp:lastModifiedBy>
  <cp:lastPrinted>2004-08-27T14:53:30Z</cp:lastPrinted>
  <dcterms:created xsi:type="dcterms:W3CDTF">2003-12-12T16:18:03Z</dcterms:created>
  <dcterms:modified xsi:type="dcterms:W3CDTF">2004-09-01T21:13:36Z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788524934</vt:i4>
  </property>
  <property fmtid="{D5CDD505-2E9C-101B-9397-08002B2CF9AE}" pid="3" name="_EmailSubject">
    <vt:lpwstr>Seed Calculator - 645-6-04.xls</vt:lpwstr>
  </property>
  <property fmtid="{D5CDD505-2E9C-101B-9397-08002B2CF9AE}" pid="4" name="_AuthorEmail">
    <vt:lpwstr>Victor.Shelton@in.usda.gov</vt:lpwstr>
  </property>
  <property fmtid="{D5CDD505-2E9C-101B-9397-08002B2CF9AE}" pid="5" name="_AuthorEmailDisplayName">
    <vt:lpwstr>Shelton, Victor - Vincennes, IN</vt:lpwstr>
  </property>
  <property fmtid="{D5CDD505-2E9C-101B-9397-08002B2CF9AE}" pid="6" name="_ReviewingToolsShownOnce">
    <vt:lpwstr/>
  </property>
</Properties>
</file>