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1292" windowHeight="6000" activeTab="0"/>
  </bookViews>
  <sheets>
    <sheet name="0.49 lb NonEndangered EEC &amp; RQ" sheetId="1" r:id="rId1"/>
    <sheet name="0.49 lb Endangered EEC &amp; RQ" sheetId="2" r:id="rId2"/>
    <sheet name="0.375 lb NonEndangered EEC &amp; RQ" sheetId="3" r:id="rId3"/>
    <sheet name="0.375 lb Endangered EEC &amp; RQ" sheetId="4" r:id="rId4"/>
    <sheet name="0.2 NonEndangered EEC &amp; RQ" sheetId="5" r:id="rId5"/>
    <sheet name="0.2 Endangered EEC &amp; RQ" sheetId="6" r:id="rId6"/>
    <sheet name="Agdrift analysis" sheetId="7" r:id="rId7"/>
    <sheet name="Agdrift ground application" sheetId="8" r:id="rId8"/>
    <sheet name="Agdrift aerial application" sheetId="9" r:id="rId9"/>
  </sheets>
  <externalReferences>
    <externalReference r:id="rId12"/>
  </externalReferences>
  <definedNames>
    <definedName name="_xlnm.Print_Area" localSheetId="5">'0.2 Endangered EEC &amp; RQ'!$B$1:$O$14</definedName>
    <definedName name="_xlnm.Print_Area" localSheetId="4">'0.2 NonEndangered EEC &amp; RQ'!$B$1:$O$14</definedName>
    <definedName name="_xlnm.Print_Area" localSheetId="3">'0.375 lb Endangered EEC &amp; RQ'!$B$1:$O$14</definedName>
    <definedName name="_xlnm.Print_Area" localSheetId="2">'0.375 lb NonEndangered EEC &amp; RQ'!$B$1:$O$14</definedName>
    <definedName name="_xlnm.Print_Area" localSheetId="1">'0.49 lb Endangered EEC &amp; RQ'!$B$1:$O$14</definedName>
    <definedName name="_xlnm.Print_Area" localSheetId="0">'0.49 lb NonEndangered EEC &amp; RQ'!$B$1:$O$14</definedName>
    <definedName name="Z_120376EA_C6D0_47F9_9858_CF2DFF5BACC2_.wvu.PrintArea" localSheetId="5" hidden="1">'0.2 Endangered EEC &amp; RQ'!$B$1:$O$14</definedName>
    <definedName name="Z_120376EA_C6D0_47F9_9858_CF2DFF5BACC2_.wvu.PrintArea" localSheetId="4" hidden="1">'0.2 NonEndangered EEC &amp; RQ'!$B$1:$O$14</definedName>
    <definedName name="Z_120376EA_C6D0_47F9_9858_CF2DFF5BACC2_.wvu.PrintArea" localSheetId="3" hidden="1">'0.375 lb Endangered EEC &amp; RQ'!$B$1:$O$14</definedName>
    <definedName name="Z_120376EA_C6D0_47F9_9858_CF2DFF5BACC2_.wvu.PrintArea" localSheetId="2" hidden="1">'0.375 lb NonEndangered EEC &amp; RQ'!$B$1:$O$14</definedName>
    <definedName name="Z_120376EA_C6D0_47F9_9858_CF2DFF5BACC2_.wvu.PrintArea" localSheetId="1" hidden="1">'0.49 lb Endangered EEC &amp; RQ'!$B$1:$O$14</definedName>
    <definedName name="Z_120376EA_C6D0_47F9_9858_CF2DFF5BACC2_.wvu.PrintArea" localSheetId="0" hidden="1">'0.49 lb NonEndangered EEC &amp; RQ'!$B$1:$O$14</definedName>
    <definedName name="Z_5DD1C3DB_8AAC_4741_9DDC_76592C2118F9_.wvu.PrintArea" localSheetId="5" hidden="1">'0.2 Endangered EEC &amp; RQ'!$B$1:$O$14</definedName>
    <definedName name="Z_5DD1C3DB_8AAC_4741_9DDC_76592C2118F9_.wvu.PrintArea" localSheetId="4" hidden="1">'0.2 NonEndangered EEC &amp; RQ'!$B$1:$O$14</definedName>
    <definedName name="Z_5DD1C3DB_8AAC_4741_9DDC_76592C2118F9_.wvu.PrintArea" localSheetId="3" hidden="1">'0.375 lb Endangered EEC &amp; RQ'!$B$1:$O$14</definedName>
    <definedName name="Z_5DD1C3DB_8AAC_4741_9DDC_76592C2118F9_.wvu.PrintArea" localSheetId="2" hidden="1">'0.375 lb NonEndangered EEC &amp; RQ'!$B$1:$O$14</definedName>
    <definedName name="Z_5DD1C3DB_8AAC_4741_9DDC_76592C2118F9_.wvu.PrintArea" localSheetId="1" hidden="1">'0.49 lb Endangered EEC &amp; RQ'!$B$1:$O$14</definedName>
    <definedName name="Z_5DD1C3DB_8AAC_4741_9DDC_76592C2118F9_.wvu.PrintArea" localSheetId="0" hidden="1">'0.49 lb NonEndangered EEC &amp; RQ'!$B$1:$O$14</definedName>
    <definedName name="Z_CCA4C1C0_68E5_11DA_9E5A_B1FB2A2F8849_.wvu.PrintArea" localSheetId="5" hidden="1">'0.2 Endangered EEC &amp; RQ'!$B$1:$O$14</definedName>
    <definedName name="Z_CCA4C1C0_68E5_11DA_9E5A_B1FB2A2F8849_.wvu.PrintArea" localSheetId="4" hidden="1">'0.2 NonEndangered EEC &amp; RQ'!$B$1:$O$14</definedName>
    <definedName name="Z_CCA4C1C3_68E5_11DA_9E5A_B1FB2A2F8849_.wvu.PrintArea" localSheetId="1" hidden="1">'0.49 lb Endangered EEC &amp; RQ'!$B$1:$O$14</definedName>
    <definedName name="Z_CCA4C1C3_68E5_11DA_9E5A_B1FB2A2F8849_.wvu.PrintArea" localSheetId="0" hidden="1">'0.49 lb NonEndangered EEC &amp; RQ'!$B$1:$O$14</definedName>
  </definedNames>
  <calcPr fullCalcOnLoad="1"/>
</workbook>
</file>

<file path=xl/sharedStrings.xml><?xml version="1.0" encoding="utf-8"?>
<sst xmlns="http://schemas.openxmlformats.org/spreadsheetml/2006/main" count="278" uniqueCount="66">
  <si>
    <t>Terrestrial Plant EECs and Acute Non Endangered RQs (November 9, 2005; version 1.2.1)</t>
  </si>
  <si>
    <t>Chemical: Fomesafen Ground Application</t>
  </si>
  <si>
    <t>Input Values</t>
  </si>
  <si>
    <t>Application Rate (lb a.i./acre)</t>
  </si>
  <si>
    <t>Estimated Environmental Concentrations (EECs) for    NON-GRANULAR formulation applications (lbs a.i./acre)</t>
  </si>
  <si>
    <t>Risk Quotients (RQs) for NON-GRANULAR formulation applications</t>
  </si>
  <si>
    <t>Runoff Value             (0.01, 0.02, or 0.05 if chemical solubility &lt;10, 10-100,  or &gt;100 ppm, respectively)</t>
  </si>
  <si>
    <t>Application Method</t>
  </si>
  <si>
    <t>Total Loading  to Adjacent Areas (EEC = Sheet Runoff +Drift)</t>
  </si>
  <si>
    <t xml:space="preserve">Total Loading to Semi-aquatic Areas (EEC = Channelized Runoff + Drift) </t>
  </si>
  <si>
    <t>DRIFT EEC   (for ground: application rate x 0.01) (for aerial: application rate x 0.05)</t>
  </si>
  <si>
    <t>Emergence RQs, Adjacent Areas                           RQ = EEC/Seedling Emergence EC25</t>
  </si>
  <si>
    <t>Emergence RQs, Semi-aquatic Areas                RQ = EEC/Seedling Emergence EC25</t>
  </si>
  <si>
    <t xml:space="preserve">Drift RQs                     RQ = Drift EEC/Vegetative Vigor EC25 </t>
  </si>
  <si>
    <t>Minimum Incorporation Depth  (cm)</t>
  </si>
  <si>
    <t>Monocot</t>
  </si>
  <si>
    <t>Dicot</t>
  </si>
  <si>
    <t>Ground Unincorp.</t>
  </si>
  <si>
    <t>Seed Emerg  Monocot EC25  (lb a.i./acre)</t>
  </si>
  <si>
    <t>Ground Incorp</t>
  </si>
  <si>
    <t>Seed Emerg Dicot  EC25 (lb a.i./acre)</t>
  </si>
  <si>
    <t>Aerial, Airblast, Spray Chemigation</t>
  </si>
  <si>
    <t>Veg Vigor Monocot EC25 (lb a.i./acre)</t>
  </si>
  <si>
    <t>Veg Vigor Dicot EC25 (lb a.i./acre)</t>
  </si>
  <si>
    <t>EECs for GRANULAR formulation applications (lbs a.i./acre)</t>
  </si>
  <si>
    <t>RQs for GRANULAR formulation applications</t>
  </si>
  <si>
    <t>Total Loading  to Adjacent Areas (EEC = Sheet Runoff)</t>
  </si>
  <si>
    <t xml:space="preserve">Total Loading to Semiaquatic Areas (EEC = Channelized Runoff) </t>
  </si>
  <si>
    <t>Emergence RQs, Semiaquatic Areas                   RQ = EEC/Seedling Emergence EC25</t>
  </si>
  <si>
    <t>Unincorp.</t>
  </si>
  <si>
    <t>Incorp.</t>
  </si>
  <si>
    <t>Terrestrial Plant EECs and Acute Endangered RQs (November 9, 2005; version 1.2.1)</t>
  </si>
  <si>
    <t>Application                      Method</t>
  </si>
  <si>
    <t xml:space="preserve">Total Loading to Adjacent Areas (EEC = Sheet Runoff + Drift) </t>
  </si>
  <si>
    <t>Total Loading to Semi-aquatic Areas (EEC =  (Channelized Runoff + Drift)</t>
  </si>
  <si>
    <t>DRIFT EEC    (for ground:  application rate x 0.01) (for aerial: application rate x 0.05)</t>
  </si>
  <si>
    <t xml:space="preserve">Emergence RQs, Adjacent Areas                             RQ = EEC/Seedling Emergence EC05 or NOAEC </t>
  </si>
  <si>
    <t>Emergence RQs, Semi-aquatic areas                 RQ  =   EEC/Seedling Emergence EC05 or NOAEC</t>
  </si>
  <si>
    <t xml:space="preserve">Drift RQs                      RQ = EEC/Vegetative Vigor EC05 or NOAEC </t>
  </si>
  <si>
    <t>Minimum Incorporation Depth (cm)</t>
  </si>
  <si>
    <t>Seed Emerg  Monocot EC05 or NOAEC  (lb a.i./acre)</t>
  </si>
  <si>
    <t>Seed Emerg Dicot  EC05 or NOAEC (lb a.i./acre)</t>
  </si>
  <si>
    <t>Veg Vigor Monocot EC05 or NOAEC (lbs a.i./acre)</t>
  </si>
  <si>
    <t>Veg Vigor Dicot EC05 or NOAEC (lb a.i./acre)</t>
  </si>
  <si>
    <t>Total Loading to Adjacent Area (EEC = Sheet Runoff)</t>
  </si>
  <si>
    <t>Total Loading to Semi-aquatic Areas (EEC =  (Channelized Runoff)</t>
  </si>
  <si>
    <t>Emergence RQs, Adjacent Areas, RQ =  EEC/Seedling Emerg. EC05 or NOAEC</t>
  </si>
  <si>
    <t>Emergence RQs, Semi-aquatic Areas, RQ =  EEC/Seedling Emergence EC05 or NOAEC</t>
  </si>
  <si>
    <t>Note:  Reported NOAEC &gt;EC25, EC05 not available, EC25 used for calculation</t>
  </si>
  <si>
    <t>Chemical: Fomesafen Aerial Application</t>
  </si>
  <si>
    <t>Fomesafen ground deposition, based on AgDrift</t>
  </si>
  <si>
    <t>Tier I</t>
  </si>
  <si>
    <t>Ground application, low boom, rate 0.49 ai/A, 90% percentile</t>
  </si>
  <si>
    <t>Aerial application rate 0.375 lb ai/A, 90% percentile</t>
  </si>
  <si>
    <t>EC25 Dicot</t>
  </si>
  <si>
    <t>EC25 Monocot</t>
  </si>
  <si>
    <t>Proposed 0.49 lb ai/A</t>
  </si>
  <si>
    <t>Alternative 0.375 lb ai/A</t>
  </si>
  <si>
    <t>Alternative 0.2 lb ai/A</t>
  </si>
  <si>
    <t>Distance (ft)</t>
  </si>
  <si>
    <t>Fraction of applied</t>
  </si>
  <si>
    <t>lb ai/A</t>
  </si>
  <si>
    <t xml:space="preserve"> Dicot RQ</t>
  </si>
  <si>
    <t>Dicot ES RQ</t>
  </si>
  <si>
    <t>Monocot RQ</t>
  </si>
  <si>
    <t>out of range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</si>
</sst>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4" borderId="7" xfId="0" applyFont="1" applyFill="1" applyBorder="1" applyAlignment="1">
      <alignment vertical="top" wrapText="1"/>
    </xf>
    <xf numFmtId="165" fontId="6" fillId="4" borderId="8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10" xfId="0" applyNumberFormat="1" applyFont="1" applyFill="1" applyBorder="1" applyAlignment="1">
      <alignment vertical="top" wrapText="1"/>
    </xf>
    <xf numFmtId="2" fontId="6" fillId="3" borderId="11" xfId="0" applyNumberFormat="1" applyFont="1" applyFill="1" applyBorder="1" applyAlignment="1">
      <alignment horizontal="left" vertical="top" wrapText="1"/>
    </xf>
    <xf numFmtId="2" fontId="6" fillId="3" borderId="12" xfId="0" applyNumberFormat="1" applyFont="1" applyFill="1" applyBorder="1" applyAlignment="1">
      <alignment horizontal="left" vertical="top" wrapText="1"/>
    </xf>
    <xf numFmtId="2" fontId="6" fillId="3" borderId="13" xfId="0" applyNumberFormat="1" applyFont="1" applyFill="1" applyBorder="1" applyAlignment="1">
      <alignment horizontal="left" vertical="top" wrapText="1"/>
    </xf>
    <xf numFmtId="2" fontId="6" fillId="3" borderId="14" xfId="0" applyNumberFormat="1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vertical="top" wrapText="1"/>
    </xf>
    <xf numFmtId="165" fontId="6" fillId="4" borderId="16" xfId="0" applyNumberFormat="1" applyFont="1" applyFill="1" applyBorder="1" applyAlignment="1">
      <alignment vertical="top" wrapText="1"/>
    </xf>
    <xf numFmtId="165" fontId="6" fillId="4" borderId="17" xfId="0" applyNumberFormat="1" applyFont="1" applyFill="1" applyBorder="1" applyAlignment="1">
      <alignment vertical="top" wrapText="1"/>
    </xf>
    <xf numFmtId="165" fontId="6" fillId="4" borderId="18" xfId="0" applyNumberFormat="1" applyFont="1" applyFill="1" applyBorder="1" applyAlignment="1">
      <alignment vertical="top" wrapText="1"/>
    </xf>
    <xf numFmtId="2" fontId="6" fillId="3" borderId="19" xfId="0" applyNumberFormat="1" applyFont="1" applyFill="1" applyBorder="1" applyAlignment="1">
      <alignment horizontal="left" vertical="top" wrapText="1"/>
    </xf>
    <xf numFmtId="2" fontId="6" fillId="3" borderId="2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5" borderId="23" xfId="0" applyFont="1" applyFill="1" applyBorder="1" applyAlignment="1">
      <alignment vertical="top" wrapText="1"/>
    </xf>
    <xf numFmtId="0" fontId="6" fillId="5" borderId="24" xfId="0" applyFont="1" applyFill="1" applyBorder="1" applyAlignment="1">
      <alignment vertical="top" wrapText="1"/>
    </xf>
    <xf numFmtId="0" fontId="6" fillId="5" borderId="25" xfId="0" applyFont="1" applyFill="1" applyBorder="1" applyAlignment="1">
      <alignment vertical="top" wrapText="1"/>
    </xf>
    <xf numFmtId="165" fontId="6" fillId="4" borderId="26" xfId="0" applyNumberFormat="1" applyFont="1" applyFill="1" applyBorder="1" applyAlignment="1">
      <alignment vertical="top" wrapText="1"/>
    </xf>
    <xf numFmtId="2" fontId="6" fillId="3" borderId="27" xfId="0" applyNumberFormat="1" applyFont="1" applyFill="1" applyBorder="1" applyAlignment="1">
      <alignment horizontal="left" vertical="top" wrapText="1"/>
    </xf>
    <xf numFmtId="2" fontId="6" fillId="3" borderId="28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6" fillId="4" borderId="29" xfId="0" applyNumberFormat="1" applyFont="1" applyFill="1" applyBorder="1" applyAlignment="1">
      <alignment vertical="top" wrapText="1"/>
    </xf>
    <xf numFmtId="165" fontId="6" fillId="4" borderId="30" xfId="0" applyNumberFormat="1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31" xfId="0" applyFont="1" applyFill="1" applyBorder="1" applyAlignment="1">
      <alignment vertical="top" wrapText="1"/>
    </xf>
    <xf numFmtId="0" fontId="6" fillId="4" borderId="32" xfId="0" applyFont="1" applyFill="1" applyBorder="1" applyAlignment="1">
      <alignment vertical="top" wrapText="1"/>
    </xf>
    <xf numFmtId="165" fontId="6" fillId="4" borderId="33" xfId="0" applyNumberFormat="1" applyFont="1" applyFill="1" applyBorder="1" applyAlignment="1">
      <alignment vertical="top" wrapText="1"/>
    </xf>
    <xf numFmtId="165" fontId="6" fillId="4" borderId="34" xfId="0" applyNumberFormat="1" applyFont="1" applyFill="1" applyBorder="1" applyAlignment="1">
      <alignment vertical="top" wrapText="1"/>
    </xf>
    <xf numFmtId="2" fontId="6" fillId="3" borderId="35" xfId="0" applyNumberFormat="1" applyFont="1" applyFill="1" applyBorder="1" applyAlignment="1">
      <alignment horizontal="left" vertical="top" wrapText="1"/>
    </xf>
    <xf numFmtId="2" fontId="6" fillId="3" borderId="36" xfId="0" applyNumberFormat="1" applyFont="1" applyFill="1" applyBorder="1" applyAlignment="1">
      <alignment horizontal="left" vertical="top" wrapText="1"/>
    </xf>
    <xf numFmtId="2" fontId="6" fillId="3" borderId="37" xfId="0" applyNumberFormat="1" applyFont="1" applyFill="1" applyBorder="1" applyAlignment="1">
      <alignment horizontal="left" vertical="top" wrapText="1"/>
    </xf>
    <xf numFmtId="165" fontId="6" fillId="4" borderId="38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6" fillId="5" borderId="39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5" borderId="39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42" xfId="0" applyFont="1" applyFill="1" applyBorder="1" applyAlignment="1">
      <alignment horizontal="left" vertical="top" wrapText="1"/>
    </xf>
    <xf numFmtId="0" fontId="6" fillId="3" borderId="43" xfId="0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165" fontId="6" fillId="4" borderId="43" xfId="0" applyNumberFormat="1" applyFont="1" applyFill="1" applyBorder="1" applyAlignment="1">
      <alignment vertical="top" wrapText="1"/>
    </xf>
    <xf numFmtId="0" fontId="0" fillId="0" borderId="45" xfId="0" applyBorder="1" applyAlignment="1">
      <alignment vertical="top" wrapText="1"/>
    </xf>
    <xf numFmtId="165" fontId="6" fillId="4" borderId="46" xfId="0" applyNumberFormat="1" applyFont="1" applyFill="1" applyBorder="1" applyAlignment="1">
      <alignment vertical="top" wrapText="1"/>
    </xf>
    <xf numFmtId="165" fontId="6" fillId="4" borderId="47" xfId="0" applyNumberFormat="1" applyFont="1" applyFill="1" applyBorder="1" applyAlignment="1">
      <alignment vertical="top" wrapText="1"/>
    </xf>
    <xf numFmtId="165" fontId="6" fillId="4" borderId="48" xfId="0" applyNumberFormat="1" applyFont="1" applyFill="1" applyBorder="1" applyAlignment="1">
      <alignment vertical="top" wrapText="1"/>
    </xf>
    <xf numFmtId="165" fontId="6" fillId="4" borderId="49" xfId="0" applyNumberFormat="1" applyFont="1" applyFill="1" applyBorder="1" applyAlignment="1">
      <alignment vertical="top" wrapText="1"/>
    </xf>
    <xf numFmtId="165" fontId="6" fillId="4" borderId="50" xfId="0" applyNumberFormat="1" applyFont="1" applyFill="1" applyBorder="1" applyAlignment="1">
      <alignment vertical="top" wrapText="1"/>
    </xf>
    <xf numFmtId="165" fontId="6" fillId="4" borderId="51" xfId="0" applyNumberFormat="1" applyFont="1" applyFill="1" applyBorder="1" applyAlignment="1">
      <alignment vertical="top" wrapText="1"/>
    </xf>
    <xf numFmtId="0" fontId="6" fillId="4" borderId="52" xfId="0" applyFont="1" applyFill="1" applyBorder="1" applyAlignment="1">
      <alignment vertical="top" wrapText="1"/>
    </xf>
    <xf numFmtId="0" fontId="6" fillId="4" borderId="4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6" fillId="4" borderId="39" xfId="0" applyNumberFormat="1" applyFont="1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165" fontId="6" fillId="4" borderId="53" xfId="0" applyNumberFormat="1" applyFont="1" applyFill="1" applyBorder="1" applyAlignment="1">
      <alignment vertical="top" wrapText="1"/>
    </xf>
    <xf numFmtId="165" fontId="6" fillId="4" borderId="5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2" borderId="55" xfId="0" applyFont="1" applyFill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6" fillId="2" borderId="57" xfId="0" applyFont="1" applyFill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165" fontId="6" fillId="4" borderId="52" xfId="0" applyNumberFormat="1" applyFont="1" applyFill="1" applyBorder="1" applyAlignment="1" applyProtection="1">
      <alignment vertical="top" wrapText="1"/>
      <protection/>
    </xf>
    <xf numFmtId="0" fontId="6" fillId="5" borderId="41" xfId="0" applyFont="1" applyFill="1" applyBorder="1" applyAlignment="1">
      <alignment vertical="top" wrapText="1"/>
    </xf>
    <xf numFmtId="0" fontId="6" fillId="5" borderId="42" xfId="0" applyFont="1" applyFill="1" applyBorder="1" applyAlignment="1">
      <alignment vertical="top" wrapText="1"/>
    </xf>
    <xf numFmtId="0" fontId="6" fillId="5" borderId="43" xfId="0" applyFont="1" applyFill="1" applyBorder="1" applyAlignment="1">
      <alignment vertical="top" wrapText="1"/>
    </xf>
    <xf numFmtId="0" fontId="0" fillId="0" borderId="39" xfId="0" applyBorder="1" applyAlignment="1">
      <alignment vertical="top" wrapText="1"/>
    </xf>
    <xf numFmtId="165" fontId="6" fillId="4" borderId="59" xfId="0" applyNumberFormat="1" applyFont="1" applyFill="1" applyBorder="1" applyAlignment="1">
      <alignment vertical="top" wrapText="1"/>
    </xf>
    <xf numFmtId="0" fontId="0" fillId="0" borderId="59" xfId="0" applyBorder="1" applyAlignment="1">
      <alignment vertical="top" wrapText="1"/>
    </xf>
    <xf numFmtId="165" fontId="6" fillId="4" borderId="60" xfId="0" applyNumberFormat="1" applyFont="1" applyFill="1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165" fontId="6" fillId="4" borderId="41" xfId="0" applyNumberFormat="1" applyFont="1" applyFill="1" applyBorder="1" applyAlignment="1">
      <alignment vertical="top" wrapText="1"/>
    </xf>
    <xf numFmtId="165" fontId="6" fillId="4" borderId="42" xfId="0" applyNumberFormat="1" applyFont="1" applyFill="1" applyBorder="1" applyAlignment="1">
      <alignment vertical="top" wrapText="1"/>
    </xf>
    <xf numFmtId="0" fontId="3" fillId="5" borderId="41" xfId="0" applyFont="1" applyFill="1" applyBorder="1" applyAlignment="1">
      <alignment horizontal="left" vertical="top" wrapText="1"/>
    </xf>
    <xf numFmtId="0" fontId="3" fillId="5" borderId="42" xfId="0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5" fontId="8" fillId="4" borderId="46" xfId="0" applyNumberFormat="1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Fomesafen Dicot Acute Risk RQ
 Ground application, Low boom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73"/>
          <c:w val="0.9442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Dicot RQ Proposed 0.49 lb ai/A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'[1]Agdrift analysis'!$A$13:$A$25</c:f>
              <c:numCach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</c:numCache>
            </c:numRef>
          </c:xVal>
          <c:yVal>
            <c:numRef>
              <c:f>'[1]Agdrift analysis'!$D$13:$D$25</c:f>
              <c:numCache>
                <c:ptCount val="13"/>
                <c:pt idx="0">
                  <c:v>8.9375</c:v>
                </c:pt>
                <c:pt idx="1">
                  <c:v>6.687499999999999</c:v>
                </c:pt>
                <c:pt idx="2">
                  <c:v>5.437499999999999</c:v>
                </c:pt>
                <c:pt idx="3">
                  <c:v>4.5625</c:v>
                </c:pt>
                <c:pt idx="4">
                  <c:v>4</c:v>
                </c:pt>
                <c:pt idx="5">
                  <c:v>3.5625</c:v>
                </c:pt>
                <c:pt idx="6">
                  <c:v>3.1875</c:v>
                </c:pt>
                <c:pt idx="7">
                  <c:v>2.875</c:v>
                </c:pt>
                <c:pt idx="8">
                  <c:v>2</c:v>
                </c:pt>
                <c:pt idx="9">
                  <c:v>1.5625</c:v>
                </c:pt>
                <c:pt idx="10">
                  <c:v>1.25</c:v>
                </c:pt>
                <c:pt idx="11">
                  <c:v>1.0625</c:v>
                </c:pt>
                <c:pt idx="12">
                  <c:v>0.9375</c:v>
                </c:pt>
              </c:numCache>
            </c:numRef>
          </c:yVal>
          <c:smooth val="0"/>
        </c:ser>
        <c:ser>
          <c:idx val="1"/>
          <c:order val="1"/>
          <c:tx>
            <c:v>Dicot RQ Alternative 0.375 lb ai/A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'[1]Agdrift analysis'!$A$13:$A$25</c:f>
              <c:numCach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</c:numCache>
            </c:numRef>
          </c:xVal>
          <c:yVal>
            <c:numRef>
              <c:f>'[1]Agdrift analysis'!$H$13:$H$25</c:f>
              <c:numCache>
                <c:ptCount val="13"/>
                <c:pt idx="0">
                  <c:v>6.8203125</c:v>
                </c:pt>
                <c:pt idx="1">
                  <c:v>5.109375</c:v>
                </c:pt>
                <c:pt idx="2">
                  <c:v>4.1484375</c:v>
                </c:pt>
                <c:pt idx="3">
                  <c:v>3.4921875</c:v>
                </c:pt>
                <c:pt idx="4">
                  <c:v>3.046875</c:v>
                </c:pt>
                <c:pt idx="5">
                  <c:v>2.6953125</c:v>
                </c:pt>
                <c:pt idx="6">
                  <c:v>2.4374999999999996</c:v>
                </c:pt>
                <c:pt idx="7">
                  <c:v>2.2265624999999996</c:v>
                </c:pt>
                <c:pt idx="8">
                  <c:v>1.5468749999999998</c:v>
                </c:pt>
                <c:pt idx="9">
                  <c:v>1.1953125</c:v>
                </c:pt>
                <c:pt idx="10">
                  <c:v>0.984375</c:v>
                </c:pt>
                <c:pt idx="11">
                  <c:v>0.8203125</c:v>
                </c:pt>
                <c:pt idx="12">
                  <c:v>0.703125</c:v>
                </c:pt>
              </c:numCache>
            </c:numRef>
          </c:yVal>
          <c:smooth val="0"/>
        </c:ser>
        <c:ser>
          <c:idx val="2"/>
          <c:order val="2"/>
          <c:tx>
            <c:v>Dicot RQ Alternative 0.2 lb ai/A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'[1]Agdrift analysis'!$A$13:$A$25</c:f>
              <c:numCache>
                <c:ptCount val="1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300</c:v>
                </c:pt>
                <c:pt idx="12">
                  <c:v>350</c:v>
                </c:pt>
              </c:numCache>
            </c:numRef>
          </c:xVal>
          <c:yVal>
            <c:numRef>
              <c:f>'[1]Agdrift analysis'!$L$13:$L$25</c:f>
              <c:numCache>
                <c:ptCount val="13"/>
                <c:pt idx="0">
                  <c:v>1.7875</c:v>
                </c:pt>
                <c:pt idx="1">
                  <c:v>1.3375</c:v>
                </c:pt>
                <c:pt idx="2">
                  <c:v>1.0875</c:v>
                </c:pt>
                <c:pt idx="3">
                  <c:v>0.9125000000000001</c:v>
                </c:pt>
                <c:pt idx="4">
                  <c:v>0.8</c:v>
                </c:pt>
                <c:pt idx="5">
                  <c:v>0.7125</c:v>
                </c:pt>
                <c:pt idx="6">
                  <c:v>0.6375000000000001</c:v>
                </c:pt>
                <c:pt idx="7">
                  <c:v>0.575</c:v>
                </c:pt>
                <c:pt idx="8">
                  <c:v>0.4</c:v>
                </c:pt>
                <c:pt idx="9">
                  <c:v>0.3125</c:v>
                </c:pt>
                <c:pt idx="10">
                  <c:v>0.25</c:v>
                </c:pt>
                <c:pt idx="11">
                  <c:v>0.2125</c:v>
                </c:pt>
                <c:pt idx="12">
                  <c:v>0.1875</c:v>
                </c:pt>
              </c:numCache>
            </c:numRef>
          </c:yVal>
          <c:smooth val="0"/>
        </c:ser>
        <c:axId val="64006289"/>
        <c:axId val="39185690"/>
      </c:scatterChart>
      <c:val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85690"/>
        <c:crosses val="autoZero"/>
        <c:crossBetween val="midCat"/>
        <c:dispUnits/>
      </c:valAx>
      <c:valAx>
        <c:axId val="39185690"/>
        <c:scaling>
          <c:orientation val="minMax"/>
          <c:max val="9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00628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6"/>
          <c:w val="0.83425"/>
          <c:h val="0.0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Fomesafen Dicot Acute Risk RQ
 Aerial Application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73"/>
          <c:w val="0.94425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v>Dicot RQ Proposed 0.375 lb ai/A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'[1]Agdrift analysis'!$P$10:$P$19</c:f>
              <c:numCache>
                <c:ptCount val="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</c:numCache>
            </c:numRef>
          </c:xVal>
          <c:yVal>
            <c:numRef>
              <c:f>'[1]Agdrift analysis'!$S$10:$S$19</c:f>
              <c:numCache>
                <c:ptCount val="10"/>
                <c:pt idx="0">
                  <c:v>118.75</c:v>
                </c:pt>
                <c:pt idx="1">
                  <c:v>22.9375</c:v>
                </c:pt>
                <c:pt idx="2">
                  <c:v>109.99999999999999</c:v>
                </c:pt>
                <c:pt idx="3">
                  <c:v>73.125</c:v>
                </c:pt>
                <c:pt idx="4">
                  <c:v>5.5</c:v>
                </c:pt>
                <c:pt idx="5">
                  <c:v>4.5</c:v>
                </c:pt>
                <c:pt idx="6">
                  <c:v>3.8749999999999996</c:v>
                </c:pt>
                <c:pt idx="7">
                  <c:v>3.4374999999999996</c:v>
                </c:pt>
                <c:pt idx="8">
                  <c:v>3.125</c:v>
                </c:pt>
                <c:pt idx="9">
                  <c:v>2.875</c:v>
                </c:pt>
              </c:numCache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24292"/>
        <c:crosses val="autoZero"/>
        <c:crossBetween val="midCat"/>
        <c:dispUnits/>
      </c:valAx>
      <c:valAx>
        <c:axId val="19924292"/>
        <c:scaling>
          <c:orientation val="minMax"/>
          <c:max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712689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5"/>
          <c:y val="0.126"/>
          <c:w val="0.2905"/>
          <c:h val="0.0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headerFooter>
    <oddHeader>&amp;C&amp;A</oddHeader>
    <oddFooter>&amp;L&amp;F&amp;CD-&amp;P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0.54975</cdr:y>
    </cdr:from>
    <cdr:to>
      <cdr:x>0.97775</cdr:x>
      <cdr:y>0.622</cdr:y>
    </cdr:to>
    <cdr:sp>
      <cdr:nvSpPr>
        <cdr:cNvPr id="1" name="TextBox 1"/>
        <cdr:cNvSpPr txBox="1">
          <a:spLocks noChangeArrowheads="1"/>
        </cdr:cNvSpPr>
      </cdr:nvSpPr>
      <cdr:spPr>
        <a:xfrm>
          <a:off x="6991350" y="3257550"/>
          <a:ext cx="14859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At 1000 ft, 
AgDrift is out of range</a:t>
          </a:r>
        </a:p>
      </cdr:txBody>
    </cdr:sp>
  </cdr:relSizeAnchor>
  <cdr:relSizeAnchor xmlns:cdr="http://schemas.openxmlformats.org/drawingml/2006/chartDrawing">
    <cdr:from>
      <cdr:x>0.304</cdr:x>
      <cdr:y>0.7655</cdr:y>
    </cdr:from>
    <cdr:to>
      <cdr:x>0.52425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4533900"/>
          <a:ext cx="19145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Proposed ground application
clears LOC at 350 ft</a:t>
          </a:r>
        </a:p>
      </cdr:txBody>
    </cdr:sp>
  </cdr:relSizeAnchor>
  <cdr:relSizeAnchor xmlns:cdr="http://schemas.openxmlformats.org/drawingml/2006/chartDrawing">
    <cdr:from>
      <cdr:x>0.38625</cdr:x>
      <cdr:y>0.83175</cdr:y>
    </cdr:from>
    <cdr:to>
      <cdr:x>0.38625</cdr:x>
      <cdr:y>0.8925</cdr:y>
    </cdr:to>
    <cdr:sp>
      <cdr:nvSpPr>
        <cdr:cNvPr id="3" name="Line 3"/>
        <cdr:cNvSpPr>
          <a:spLocks/>
        </cdr:cNvSpPr>
      </cdr:nvSpPr>
      <cdr:spPr>
        <a:xfrm>
          <a:off x="3343275" y="4933950"/>
          <a:ext cx="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mesafen\Analysis\DER%20formulation%20conver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 Formulation conversions"/>
      <sheetName val="Aquatic RQ Calculations"/>
      <sheetName val="Insect Tests"/>
      <sheetName val="Terrestrial Plant Guideline"/>
      <sheetName val="Terrestrial Plant Efficacy"/>
      <sheetName val="Agdrift analysis"/>
      <sheetName val="Agdrift ground application"/>
      <sheetName val="Agdrift aerial application"/>
    </sheetNames>
    <sheetDataSet>
      <sheetData sheetId="5">
        <row r="10">
          <cell r="P10">
            <v>0</v>
          </cell>
          <cell r="S10">
            <v>118.75</v>
          </cell>
        </row>
        <row r="11">
          <cell r="P11">
            <v>100</v>
          </cell>
          <cell r="S11">
            <v>22.9375</v>
          </cell>
        </row>
        <row r="12">
          <cell r="P12">
            <v>200</v>
          </cell>
          <cell r="S12">
            <v>109.99999999999999</v>
          </cell>
        </row>
        <row r="13">
          <cell r="A13">
            <v>30</v>
          </cell>
          <cell r="D13">
            <v>8.9375</v>
          </cell>
          <cell r="H13">
            <v>6.8203125</v>
          </cell>
          <cell r="L13">
            <v>1.7875</v>
          </cell>
          <cell r="P13">
            <v>300</v>
          </cell>
          <cell r="S13">
            <v>73.125</v>
          </cell>
        </row>
        <row r="14">
          <cell r="A14">
            <v>40</v>
          </cell>
          <cell r="D14">
            <v>6.687499999999999</v>
          </cell>
          <cell r="H14">
            <v>5.109375</v>
          </cell>
          <cell r="L14">
            <v>1.3375</v>
          </cell>
          <cell r="P14">
            <v>400</v>
          </cell>
          <cell r="S14">
            <v>5.5</v>
          </cell>
        </row>
        <row r="15">
          <cell r="A15">
            <v>50</v>
          </cell>
          <cell r="D15">
            <v>5.437499999999999</v>
          </cell>
          <cell r="H15">
            <v>4.1484375</v>
          </cell>
          <cell r="L15">
            <v>1.0875</v>
          </cell>
          <cell r="P15">
            <v>500</v>
          </cell>
          <cell r="S15">
            <v>4.5</v>
          </cell>
        </row>
        <row r="16">
          <cell r="A16">
            <v>60</v>
          </cell>
          <cell r="D16">
            <v>4.5625</v>
          </cell>
          <cell r="H16">
            <v>3.4921875</v>
          </cell>
          <cell r="L16">
            <v>0.9125000000000001</v>
          </cell>
          <cell r="P16">
            <v>600</v>
          </cell>
          <cell r="S16">
            <v>3.8749999999999996</v>
          </cell>
        </row>
        <row r="17">
          <cell r="A17">
            <v>70</v>
          </cell>
          <cell r="D17">
            <v>4</v>
          </cell>
          <cell r="H17">
            <v>3.046875</v>
          </cell>
          <cell r="L17">
            <v>0.8</v>
          </cell>
          <cell r="P17">
            <v>700</v>
          </cell>
          <cell r="S17">
            <v>3.4374999999999996</v>
          </cell>
        </row>
        <row r="18">
          <cell r="A18">
            <v>80</v>
          </cell>
          <cell r="D18">
            <v>3.5625</v>
          </cell>
          <cell r="H18">
            <v>2.6953125</v>
          </cell>
          <cell r="L18">
            <v>0.7125</v>
          </cell>
          <cell r="P18">
            <v>800</v>
          </cell>
          <cell r="S18">
            <v>3.125</v>
          </cell>
        </row>
        <row r="19">
          <cell r="A19">
            <v>90</v>
          </cell>
          <cell r="D19">
            <v>3.1875</v>
          </cell>
          <cell r="H19">
            <v>2.4374999999999996</v>
          </cell>
          <cell r="L19">
            <v>0.6375000000000001</v>
          </cell>
          <cell r="P19">
            <v>900</v>
          </cell>
          <cell r="S19">
            <v>2.875</v>
          </cell>
        </row>
        <row r="20">
          <cell r="A20">
            <v>100</v>
          </cell>
          <cell r="D20">
            <v>2.875</v>
          </cell>
          <cell r="H20">
            <v>2.2265624999999996</v>
          </cell>
          <cell r="L20">
            <v>0.575</v>
          </cell>
        </row>
        <row r="21">
          <cell r="A21">
            <v>150</v>
          </cell>
          <cell r="D21">
            <v>2</v>
          </cell>
          <cell r="H21">
            <v>1.5468749999999998</v>
          </cell>
          <cell r="L21">
            <v>0.4</v>
          </cell>
        </row>
        <row r="22">
          <cell r="A22">
            <v>200</v>
          </cell>
          <cell r="D22">
            <v>1.5625</v>
          </cell>
          <cell r="H22">
            <v>1.1953125</v>
          </cell>
          <cell r="L22">
            <v>0.3125</v>
          </cell>
        </row>
        <row r="23">
          <cell r="A23">
            <v>250</v>
          </cell>
          <cell r="D23">
            <v>1.25</v>
          </cell>
          <cell r="H23">
            <v>0.984375</v>
          </cell>
          <cell r="L23">
            <v>0.25</v>
          </cell>
        </row>
        <row r="24">
          <cell r="A24">
            <v>300</v>
          </cell>
          <cell r="D24">
            <v>1.0625</v>
          </cell>
          <cell r="H24">
            <v>0.8203125</v>
          </cell>
          <cell r="L24">
            <v>0.2125</v>
          </cell>
        </row>
        <row r="25">
          <cell r="A25">
            <v>350</v>
          </cell>
          <cell r="D25">
            <v>0.9375</v>
          </cell>
          <cell r="H25">
            <v>0.703125</v>
          </cell>
          <cell r="L25">
            <v>0.1875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="35" zoomScaleNormal="35" zoomScaleSheetLayoutView="38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1.2812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0</v>
      </c>
      <c r="C1" s="83"/>
      <c r="D1" s="83"/>
      <c r="E1" s="83"/>
      <c r="F1" s="83"/>
      <c r="G1" s="83"/>
      <c r="H1" s="83"/>
      <c r="K1" s="76" t="s">
        <v>1</v>
      </c>
      <c r="L1" s="76"/>
      <c r="M1" s="3"/>
      <c r="N1" s="3"/>
      <c r="O1" s="3"/>
    </row>
    <row r="2" spans="3:15" ht="27" customHeight="1" thickBot="1">
      <c r="C2" s="4" t="s">
        <v>2</v>
      </c>
      <c r="D2" s="2"/>
      <c r="E2" s="2"/>
      <c r="F2" s="2"/>
      <c r="G2" s="2"/>
      <c r="H2" s="2"/>
      <c r="K2" s="3"/>
      <c r="L2" s="3"/>
      <c r="M2" s="3"/>
      <c r="N2" s="3"/>
      <c r="O2" s="3"/>
    </row>
    <row r="3" spans="2:15" ht="100.5" customHeight="1" thickBot="1" thickTop="1">
      <c r="B3" s="5" t="s">
        <v>3</v>
      </c>
      <c r="C3" s="6">
        <v>0.49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50.5" customHeight="1">
      <c r="B4" s="7" t="s">
        <v>6</v>
      </c>
      <c r="C4" s="8">
        <v>0.02</v>
      </c>
      <c r="E4" s="74" t="s">
        <v>7</v>
      </c>
      <c r="F4" s="68" t="s">
        <v>8</v>
      </c>
      <c r="G4" s="70" t="s">
        <v>9</v>
      </c>
      <c r="H4" s="72" t="s">
        <v>10</v>
      </c>
      <c r="I4" s="3"/>
      <c r="J4" s="64" t="s">
        <v>11</v>
      </c>
      <c r="K4" s="65"/>
      <c r="L4" s="64" t="s">
        <v>12</v>
      </c>
      <c r="M4" s="65"/>
      <c r="N4" s="64" t="s">
        <v>13</v>
      </c>
      <c r="O4" s="65"/>
    </row>
    <row r="5" spans="2:15" ht="57" customHeight="1">
      <c r="B5" s="84" t="s">
        <v>14</v>
      </c>
      <c r="C5" s="86"/>
      <c r="E5" s="75"/>
      <c r="F5" s="69"/>
      <c r="G5" s="71"/>
      <c r="H5" s="73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105" customHeight="1" thickBot="1">
      <c r="B6" s="85"/>
      <c r="C6" s="87"/>
      <c r="E6" s="11" t="s">
        <v>17</v>
      </c>
      <c r="F6" s="12">
        <f>($C$3*$C$4)+($C$3*0.01)</f>
        <v>0.0147</v>
      </c>
      <c r="G6" s="13">
        <f>($C$3*$C$4*10)+($C$3*0.01)</f>
        <v>0.1029</v>
      </c>
      <c r="H6" s="14">
        <f>$C$3*0.01</f>
        <v>0.0049</v>
      </c>
      <c r="J6" s="15">
        <f>$F$6/$C$7</f>
        <v>0.1651685393258427</v>
      </c>
      <c r="K6" s="16">
        <f>$F$6/$C$8</f>
        <v>0.1860759493670886</v>
      </c>
      <c r="L6" s="15">
        <f>$G$6/$C$7</f>
        <v>1.1561797752808989</v>
      </c>
      <c r="M6" s="16">
        <f>$G$6/$C$8</f>
        <v>1.3025316455696203</v>
      </c>
      <c r="N6" s="15">
        <f>$H$6/$C$9</f>
        <v>0.015806451612903224</v>
      </c>
      <c r="O6" s="16">
        <f>$H$6/$C$10</f>
        <v>3.0624999999999996</v>
      </c>
    </row>
    <row r="7" spans="2:15" ht="108.75" customHeight="1" thickTop="1">
      <c r="B7" s="5" t="s">
        <v>18</v>
      </c>
      <c r="C7" s="6">
        <v>0.089</v>
      </c>
      <c r="E7" s="11" t="s">
        <v>19</v>
      </c>
      <c r="F7" s="12">
        <f>IF(($C$5&gt;1),(($C$3/$C$5)*$C$4)+($C$3*0.01),(($C$3*$C$4)+($C$3*0.01)))</f>
        <v>0.0147</v>
      </c>
      <c r="G7" s="12">
        <f>IF(($C$5&gt;1),(($C$3/$C$5)*$C$4*10)+($C$3*0.01),($C$3*$C$4*10)+($C$3*0.01))</f>
        <v>0.1029</v>
      </c>
      <c r="H7" s="14">
        <f>$C$3*0.01</f>
        <v>0.0049</v>
      </c>
      <c r="J7" s="17">
        <f>$F$7/$C$7</f>
        <v>0.1651685393258427</v>
      </c>
      <c r="K7" s="18">
        <f>$F$7/$C$8</f>
        <v>0.1860759493670886</v>
      </c>
      <c r="L7" s="17">
        <f>$G$7/$C$7</f>
        <v>1.1561797752808989</v>
      </c>
      <c r="M7" s="18">
        <f>$G$7/$C$8</f>
        <v>1.3025316455696203</v>
      </c>
      <c r="N7" s="17">
        <f>$H$7/$C$9</f>
        <v>0.015806451612903224</v>
      </c>
      <c r="O7" s="18">
        <f>$H$7/$C$10</f>
        <v>3.0624999999999996</v>
      </c>
    </row>
    <row r="8" spans="2:15" ht="152.25" customHeight="1" thickBot="1">
      <c r="B8" s="7" t="s">
        <v>20</v>
      </c>
      <c r="C8" s="8">
        <v>0.079</v>
      </c>
      <c r="E8" s="19" t="s">
        <v>21</v>
      </c>
      <c r="F8" s="20">
        <f>($C$3*$C$4)+($C$3*0.05)</f>
        <v>0.0343</v>
      </c>
      <c r="G8" s="21">
        <f>($C$3*$C$4*10)+($C$3*0.05)</f>
        <v>0.1225</v>
      </c>
      <c r="H8" s="22">
        <f>$C$3*0.05</f>
        <v>0.0245</v>
      </c>
      <c r="J8" s="23">
        <f>$F$8/$C$7</f>
        <v>0.38539325842696626</v>
      </c>
      <c r="K8" s="24">
        <f>$F$8/$C$8</f>
        <v>0.4341772151898734</v>
      </c>
      <c r="L8" s="23">
        <f>$G$8/$C$7</f>
        <v>1.3764044943820226</v>
      </c>
      <c r="M8" s="24">
        <f>$G$8/$C$8</f>
        <v>1.5506329113924051</v>
      </c>
      <c r="N8" s="23">
        <f>$H$8/$C$9</f>
        <v>0.07903225806451614</v>
      </c>
      <c r="O8" s="24">
        <f>$H$8/$C$10</f>
        <v>15.3125</v>
      </c>
    </row>
    <row r="9" spans="2:15" ht="95.25" customHeight="1" thickBot="1">
      <c r="B9" s="7" t="s">
        <v>22</v>
      </c>
      <c r="C9" s="8">
        <v>0.31</v>
      </c>
      <c r="J9" s="26"/>
      <c r="K9" s="26"/>
      <c r="L9" s="26"/>
      <c r="M9" s="26"/>
      <c r="N9" s="26"/>
      <c r="O9" s="26"/>
    </row>
    <row r="10" spans="2:15" ht="84.75" customHeight="1" thickBot="1">
      <c r="B10" s="27" t="s">
        <v>23</v>
      </c>
      <c r="C10" s="28">
        <v>0.0016</v>
      </c>
      <c r="D10" s="29"/>
      <c r="F10" s="77" t="s">
        <v>24</v>
      </c>
      <c r="G10" s="78"/>
      <c r="H10" s="79"/>
      <c r="J10" s="61" t="s">
        <v>25</v>
      </c>
      <c r="K10" s="62"/>
      <c r="L10" s="62"/>
      <c r="M10" s="63"/>
      <c r="N10" s="26"/>
      <c r="O10" s="26"/>
    </row>
    <row r="11" spans="2:15" ht="212.25" customHeight="1" thickBot="1" thickTop="1">
      <c r="B11" s="30"/>
      <c r="C11" s="30"/>
      <c r="D11" s="29"/>
      <c r="E11"/>
      <c r="F11" s="88" t="s">
        <v>7</v>
      </c>
      <c r="G11" s="68" t="s">
        <v>26</v>
      </c>
      <c r="H11" s="80" t="s">
        <v>27</v>
      </c>
      <c r="J11" s="64" t="s">
        <v>11</v>
      </c>
      <c r="K11" s="65"/>
      <c r="L11" s="64" t="s">
        <v>28</v>
      </c>
      <c r="M11" s="65"/>
      <c r="N11" s="26"/>
      <c r="O11" s="26"/>
    </row>
    <row r="12" spans="2:15" ht="58.5" customHeight="1">
      <c r="B12" s="30"/>
      <c r="C12" s="30"/>
      <c r="D12" s="29"/>
      <c r="E12"/>
      <c r="F12" s="60"/>
      <c r="G12" s="69"/>
      <c r="H12" s="81"/>
      <c r="J12" s="31" t="s">
        <v>15</v>
      </c>
      <c r="K12" s="32" t="s">
        <v>16</v>
      </c>
      <c r="L12" s="33" t="s">
        <v>15</v>
      </c>
      <c r="M12" s="32" t="s">
        <v>16</v>
      </c>
      <c r="N12" s="26"/>
      <c r="O12" s="26"/>
    </row>
    <row r="13" spans="2:15" ht="41.25" customHeight="1">
      <c r="B13" s="29"/>
      <c r="C13" s="29"/>
      <c r="D13" s="29"/>
      <c r="F13" s="11" t="s">
        <v>29</v>
      </c>
      <c r="G13" s="12">
        <f>($C$3*$C$4)</f>
        <v>0.0098</v>
      </c>
      <c r="H13" s="34">
        <f>$C$3*$C$4*10</f>
        <v>0.098</v>
      </c>
      <c r="J13" s="17">
        <f>$G$13/$C$7</f>
        <v>0.1101123595505618</v>
      </c>
      <c r="K13" s="18">
        <f>$G$13/$C$8</f>
        <v>0.1240506329113924</v>
      </c>
      <c r="L13" s="35">
        <f>$H$13/$C$7</f>
        <v>1.101123595505618</v>
      </c>
      <c r="M13" s="18">
        <f>$H$13/$C$8</f>
        <v>1.240506329113924</v>
      </c>
      <c r="N13" s="26"/>
      <c r="O13" s="26"/>
    </row>
    <row r="14" spans="6:15" ht="57" customHeight="1" thickBot="1">
      <c r="F14" s="19" t="s">
        <v>30</v>
      </c>
      <c r="G14" s="12">
        <f>IF(($C$5&gt;1),(($C$3/$C$5)*$C$4),($C$3*$C$4))</f>
        <v>0.0098</v>
      </c>
      <c r="H14" s="12">
        <f>IF(($C$5&gt;1),(($C$3/$C$5*10)*$C$4),($C$3*$C$4))</f>
        <v>0.0098</v>
      </c>
      <c r="J14" s="23">
        <f>$G$14/$C$7</f>
        <v>0.1101123595505618</v>
      </c>
      <c r="K14" s="24">
        <f>$G$14/$C$8</f>
        <v>0.1240506329113924</v>
      </c>
      <c r="L14" s="36">
        <f>$H$14/$C$7</f>
        <v>0.1101123595505618</v>
      </c>
      <c r="M14" s="24">
        <f>$H$14/$C$8</f>
        <v>0.1240506329113924</v>
      </c>
      <c r="N14" s="3"/>
      <c r="O14" s="3"/>
    </row>
  </sheetData>
  <mergeCells count="20">
    <mergeCell ref="K1:L1"/>
    <mergeCell ref="F10:H10"/>
    <mergeCell ref="G11:G12"/>
    <mergeCell ref="H11:H12"/>
    <mergeCell ref="B1:H1"/>
    <mergeCell ref="B5:B6"/>
    <mergeCell ref="C5:C6"/>
    <mergeCell ref="F11:F12"/>
    <mergeCell ref="J3:O3"/>
    <mergeCell ref="N4:O4"/>
    <mergeCell ref="E3:H3"/>
    <mergeCell ref="F4:F5"/>
    <mergeCell ref="G4:G5"/>
    <mergeCell ref="H4:H5"/>
    <mergeCell ref="E4:E5"/>
    <mergeCell ref="J10:M10"/>
    <mergeCell ref="J11:K11"/>
    <mergeCell ref="L11:M11"/>
    <mergeCell ref="J4:K4"/>
    <mergeCell ref="L4:M4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4"/>
  <sheetViews>
    <sheetView tabSelected="1" view="pageBreakPreview" zoomScale="38" zoomScaleNormal="35" zoomScaleSheetLayoutView="38" workbookViewId="0" topLeftCell="F1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2.5742187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31</v>
      </c>
      <c r="C1" s="83"/>
      <c r="D1" s="83"/>
      <c r="E1" s="83"/>
      <c r="F1" s="83"/>
      <c r="G1" s="104"/>
      <c r="J1" s="3"/>
      <c r="K1" s="102" t="s">
        <v>1</v>
      </c>
      <c r="L1" s="103"/>
      <c r="M1" s="3"/>
      <c r="N1" s="3"/>
      <c r="O1" s="3"/>
    </row>
    <row r="2" spans="2:15" ht="30.75" customHeight="1" thickBot="1">
      <c r="B2" s="38"/>
      <c r="C2" s="39" t="s">
        <v>2</v>
      </c>
      <c r="D2" s="40"/>
      <c r="E2" s="40"/>
      <c r="F2" s="40"/>
      <c r="G2" s="37"/>
      <c r="J2" s="3"/>
      <c r="K2" s="3"/>
      <c r="L2" s="3"/>
      <c r="M2" s="3"/>
      <c r="N2" s="3"/>
      <c r="O2" s="3"/>
    </row>
    <row r="3" spans="2:15" ht="72.75" customHeight="1" thickBot="1" thickTop="1">
      <c r="B3" s="5" t="s">
        <v>3</v>
      </c>
      <c r="C3" s="6">
        <v>0.49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15.25" customHeight="1">
      <c r="B4" s="7" t="s">
        <v>6</v>
      </c>
      <c r="C4" s="8">
        <v>0.02</v>
      </c>
      <c r="E4" s="74" t="s">
        <v>32</v>
      </c>
      <c r="F4" s="68" t="s">
        <v>33</v>
      </c>
      <c r="G4" s="105" t="s">
        <v>34</v>
      </c>
      <c r="H4" s="80" t="s">
        <v>35</v>
      </c>
      <c r="I4" s="3"/>
      <c r="J4" s="64" t="s">
        <v>36</v>
      </c>
      <c r="K4" s="65"/>
      <c r="L4" s="64" t="s">
        <v>37</v>
      </c>
      <c r="M4" s="65"/>
      <c r="N4" s="64" t="s">
        <v>38</v>
      </c>
      <c r="O4" s="65"/>
    </row>
    <row r="5" spans="2:15" ht="57" customHeight="1">
      <c r="B5" s="84" t="s">
        <v>39</v>
      </c>
      <c r="C5" s="86"/>
      <c r="E5" s="109"/>
      <c r="F5" s="106"/>
      <c r="G5" s="106"/>
      <c r="H5" s="107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87" customHeight="1" thickBot="1">
      <c r="B6" s="108"/>
      <c r="C6" s="97"/>
      <c r="E6" s="11" t="s">
        <v>17</v>
      </c>
      <c r="F6" s="12">
        <f>($C$3*$C$4)+($C$3*0.01)</f>
        <v>0.0147</v>
      </c>
      <c r="G6" s="12">
        <f>($C$3*$C$4*10)+($C$3*0.01)</f>
        <v>0.1029</v>
      </c>
      <c r="H6" s="41">
        <f>$C$3*0.01</f>
        <v>0.0049</v>
      </c>
      <c r="J6" s="15">
        <f>$F$6/$C$7</f>
        <v>0.1651685393258427</v>
      </c>
      <c r="K6" s="16">
        <f>$F$6/$C$8</f>
        <v>0.1860759493670886</v>
      </c>
      <c r="L6" s="15">
        <f>$G$6/$C$7</f>
        <v>1.1561797752808989</v>
      </c>
      <c r="M6" s="16">
        <f>$G$6/$C$8</f>
        <v>1.3025316455696203</v>
      </c>
      <c r="N6" s="15">
        <f>$H$6/$C$9</f>
        <v>0.0196</v>
      </c>
      <c r="O6" s="16">
        <f>$H$6/$C$10</f>
        <v>5</v>
      </c>
    </row>
    <row r="7" spans="2:15" ht="93" customHeight="1" thickTop="1">
      <c r="B7" s="5" t="s">
        <v>40</v>
      </c>
      <c r="C7" s="6">
        <v>0.089</v>
      </c>
      <c r="E7" s="11" t="s">
        <v>19</v>
      </c>
      <c r="F7" s="12">
        <f>IF(($C$5&gt;1),(($C$3/$C$5)*$C$4)+($C$3*0.01),(($C$3)*$C$4)+($C$3*0.01))</f>
        <v>0.0147</v>
      </c>
      <c r="G7" s="12">
        <f>IF(($C$5&gt;1),(($C$3/$C$5)*$C$4*10)+($C$3*0.01),(($C$3)*$C$4*10)+($C$3*0.01))</f>
        <v>0.1029</v>
      </c>
      <c r="H7" s="41">
        <f>$C$3*0.01</f>
        <v>0.0049</v>
      </c>
      <c r="J7" s="17">
        <f>$F$7/$C$7</f>
        <v>0.1651685393258427</v>
      </c>
      <c r="K7" s="18">
        <f>$F$7/$C$8</f>
        <v>0.1860759493670886</v>
      </c>
      <c r="L7" s="17">
        <f>$G$7/$C$7</f>
        <v>1.1561797752808989</v>
      </c>
      <c r="M7" s="18">
        <f>$G$7/$C$8</f>
        <v>1.3025316455696203</v>
      </c>
      <c r="N7" s="17">
        <f>$H$7/$C$9</f>
        <v>0.0196</v>
      </c>
      <c r="O7" s="18">
        <f>$H$7/$C$10</f>
        <v>5</v>
      </c>
    </row>
    <row r="8" spans="2:15" ht="165" customHeight="1" thickBot="1">
      <c r="B8" s="7" t="s">
        <v>41</v>
      </c>
      <c r="C8" s="8">
        <v>0.079</v>
      </c>
      <c r="E8" s="19" t="s">
        <v>21</v>
      </c>
      <c r="F8" s="20">
        <f>($C$3*$C$4)+($C$3*0.05)</f>
        <v>0.0343</v>
      </c>
      <c r="G8" s="20">
        <f>($C$3*$C$4*10)+($C$3*0.05)</f>
        <v>0.1225</v>
      </c>
      <c r="H8" s="42">
        <f>$C$3*0.05</f>
        <v>0.0245</v>
      </c>
      <c r="J8" s="23">
        <f>$F$8/$C$7</f>
        <v>0.38539325842696626</v>
      </c>
      <c r="K8" s="24">
        <f>$F$8/$C$8</f>
        <v>0.4341772151898734</v>
      </c>
      <c r="L8" s="23">
        <f>$G$8/$C$7</f>
        <v>1.3764044943820226</v>
      </c>
      <c r="M8" s="24">
        <f>$G$8/$C$8</f>
        <v>1.5506329113924051</v>
      </c>
      <c r="N8" s="23">
        <f>$H$8/$C$9</f>
        <v>0.098</v>
      </c>
      <c r="O8" s="24">
        <f>$H$8/$C$10</f>
        <v>25</v>
      </c>
    </row>
    <row r="9" spans="2:15" ht="95.25" customHeight="1" thickBot="1">
      <c r="B9" s="7" t="s">
        <v>42</v>
      </c>
      <c r="C9" s="8">
        <v>0.25</v>
      </c>
      <c r="E9"/>
      <c r="J9" s="26"/>
      <c r="K9" s="26"/>
      <c r="L9" s="26"/>
      <c r="M9" s="26"/>
      <c r="N9" s="26"/>
      <c r="O9" s="26"/>
    </row>
    <row r="10" spans="2:15" ht="99.75" customHeight="1" thickBot="1">
      <c r="B10" s="27" t="s">
        <v>43</v>
      </c>
      <c r="C10" s="28">
        <v>0.00098</v>
      </c>
      <c r="D10" s="29"/>
      <c r="E10"/>
      <c r="F10" s="77" t="s">
        <v>24</v>
      </c>
      <c r="G10" s="98"/>
      <c r="H10" s="99"/>
      <c r="J10" s="61" t="s">
        <v>25</v>
      </c>
      <c r="K10" s="100"/>
      <c r="L10" s="100"/>
      <c r="M10" s="101"/>
      <c r="N10" s="26"/>
      <c r="O10" s="26"/>
    </row>
    <row r="11" spans="2:15" ht="149.25" customHeight="1" thickBot="1" thickTop="1">
      <c r="B11" s="30"/>
      <c r="C11" s="30"/>
      <c r="D11" s="29"/>
      <c r="E11"/>
      <c r="F11" s="77" t="s">
        <v>7</v>
      </c>
      <c r="G11" s="93" t="s">
        <v>44</v>
      </c>
      <c r="H11" s="95" t="s">
        <v>45</v>
      </c>
      <c r="J11" s="91" t="s">
        <v>46</v>
      </c>
      <c r="K11" s="65"/>
      <c r="L11" s="91" t="s">
        <v>47</v>
      </c>
      <c r="M11" s="65"/>
      <c r="N11" s="26"/>
      <c r="O11" s="26"/>
    </row>
    <row r="12" spans="2:15" ht="58.5" customHeight="1" thickBot="1">
      <c r="B12" s="30" t="s">
        <v>48</v>
      </c>
      <c r="C12" s="30"/>
      <c r="D12" s="29"/>
      <c r="E12"/>
      <c r="F12" s="92"/>
      <c r="G12" s="94"/>
      <c r="H12" s="96"/>
      <c r="J12" s="43" t="s">
        <v>15</v>
      </c>
      <c r="K12" s="44" t="s">
        <v>16</v>
      </c>
      <c r="L12" s="45" t="s">
        <v>15</v>
      </c>
      <c r="M12" s="44" t="s">
        <v>16</v>
      </c>
      <c r="N12" s="26"/>
      <c r="O12" s="26"/>
    </row>
    <row r="13" spans="2:15" ht="41.25" customHeight="1">
      <c r="B13" s="29"/>
      <c r="C13" s="29"/>
      <c r="D13" s="29"/>
      <c r="E13"/>
      <c r="F13" s="46" t="s">
        <v>29</v>
      </c>
      <c r="G13" s="47">
        <f>$C$3*$C$4</f>
        <v>0.0098</v>
      </c>
      <c r="H13" s="48">
        <f>$C$3*$C$4*10</f>
        <v>0.098</v>
      </c>
      <c r="J13" s="49">
        <f>$G$13/$C$7</f>
        <v>0.1101123595505618</v>
      </c>
      <c r="K13" s="50">
        <f>$G$13/$C$8</f>
        <v>0.1240506329113924</v>
      </c>
      <c r="L13" s="51">
        <f>$H$13/$C$7</f>
        <v>1.101123595505618</v>
      </c>
      <c r="M13" s="50">
        <f>$H$13/$C$8</f>
        <v>1.240506329113924</v>
      </c>
      <c r="N13" s="26"/>
      <c r="O13" s="26"/>
    </row>
    <row r="14" spans="6:15" ht="57" customHeight="1" thickBot="1">
      <c r="F14" s="19" t="s">
        <v>30</v>
      </c>
      <c r="G14" s="20" t="e">
        <f>(($C$3/$C$5)*$C$4)</f>
        <v>#DIV/0!</v>
      </c>
      <c r="H14" s="52" t="e">
        <f>(($C$3/$C$5*10)*$C$4)</f>
        <v>#DIV/0!</v>
      </c>
      <c r="J14" s="23" t="e">
        <f>$G$14/$C$7</f>
        <v>#DIV/0!</v>
      </c>
      <c r="K14" s="24" t="e">
        <f>$G$14/$C$8</f>
        <v>#DIV/0!</v>
      </c>
      <c r="L14" s="36" t="e">
        <f>$H$14/$C$7</f>
        <v>#DIV/0!</v>
      </c>
      <c r="M14" s="24" t="e">
        <f>$H$14/$C$8</f>
        <v>#DIV/0!</v>
      </c>
      <c r="N14" s="3"/>
      <c r="O14" s="3"/>
    </row>
  </sheetData>
  <mergeCells count="20">
    <mergeCell ref="N4:O4"/>
    <mergeCell ref="K1:L1"/>
    <mergeCell ref="E3:H3"/>
    <mergeCell ref="B1:G1"/>
    <mergeCell ref="J3:O3"/>
    <mergeCell ref="G4:G5"/>
    <mergeCell ref="H4:H5"/>
    <mergeCell ref="B5:B6"/>
    <mergeCell ref="E4:E5"/>
    <mergeCell ref="F4:F5"/>
    <mergeCell ref="C5:C6"/>
    <mergeCell ref="F10:H10"/>
    <mergeCell ref="J11:K11"/>
    <mergeCell ref="J10:M10"/>
    <mergeCell ref="L4:M4"/>
    <mergeCell ref="J4:K4"/>
    <mergeCell ref="L11:M11"/>
    <mergeCell ref="F11:F12"/>
    <mergeCell ref="G11:G12"/>
    <mergeCell ref="H11:H12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="35" zoomScaleNormal="35" zoomScaleSheetLayoutView="38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1.2812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0</v>
      </c>
      <c r="C1" s="83"/>
      <c r="D1" s="83"/>
      <c r="E1" s="83"/>
      <c r="F1" s="83"/>
      <c r="G1" s="83"/>
      <c r="H1" s="83"/>
      <c r="K1" s="76" t="s">
        <v>49</v>
      </c>
      <c r="L1" s="76"/>
      <c r="M1" s="3"/>
      <c r="N1" s="3"/>
      <c r="O1" s="3"/>
    </row>
    <row r="2" spans="3:15" ht="27" customHeight="1" thickBot="1">
      <c r="C2" s="4" t="s">
        <v>2</v>
      </c>
      <c r="D2" s="2"/>
      <c r="E2" s="2"/>
      <c r="F2" s="2"/>
      <c r="G2" s="2"/>
      <c r="H2" s="2"/>
      <c r="K2" s="3"/>
      <c r="L2" s="3"/>
      <c r="M2" s="3"/>
      <c r="N2" s="3"/>
      <c r="O2" s="3"/>
    </row>
    <row r="3" spans="2:15" ht="100.5" customHeight="1" thickBot="1" thickTop="1">
      <c r="B3" s="5" t="s">
        <v>3</v>
      </c>
      <c r="C3" s="6">
        <v>0.375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50.5" customHeight="1">
      <c r="B4" s="7" t="s">
        <v>6</v>
      </c>
      <c r="C4" s="8">
        <v>0.02</v>
      </c>
      <c r="E4" s="74" t="s">
        <v>7</v>
      </c>
      <c r="F4" s="68" t="s">
        <v>8</v>
      </c>
      <c r="G4" s="70" t="s">
        <v>9</v>
      </c>
      <c r="H4" s="72" t="s">
        <v>10</v>
      </c>
      <c r="I4" s="3"/>
      <c r="J4" s="64" t="s">
        <v>11</v>
      </c>
      <c r="K4" s="65"/>
      <c r="L4" s="64" t="s">
        <v>12</v>
      </c>
      <c r="M4" s="65"/>
      <c r="N4" s="64" t="s">
        <v>13</v>
      </c>
      <c r="O4" s="65"/>
    </row>
    <row r="5" spans="2:15" ht="57" customHeight="1">
      <c r="B5" s="84" t="s">
        <v>14</v>
      </c>
      <c r="C5" s="86"/>
      <c r="E5" s="75"/>
      <c r="F5" s="69"/>
      <c r="G5" s="71"/>
      <c r="H5" s="73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105" customHeight="1" thickBot="1">
      <c r="B6" s="85"/>
      <c r="C6" s="87"/>
      <c r="E6" s="11" t="s">
        <v>17</v>
      </c>
      <c r="F6" s="12">
        <f>($C$3*$C$4)+($C$3*0.01)</f>
        <v>0.01125</v>
      </c>
      <c r="G6" s="13">
        <f>($C$3*$C$4*10)+($C$3*0.01)</f>
        <v>0.07875</v>
      </c>
      <c r="H6" s="14">
        <f>$C$3*0.01</f>
        <v>0.00375</v>
      </c>
      <c r="J6" s="15">
        <f>$F$6/$C$7</f>
        <v>0.12640449438202248</v>
      </c>
      <c r="K6" s="16">
        <f>$F$6/$C$8</f>
        <v>0.14240506329113922</v>
      </c>
      <c r="L6" s="15">
        <f>$G$6/$C$7</f>
        <v>0.8848314606741573</v>
      </c>
      <c r="M6" s="16">
        <f>$G$6/$C$8</f>
        <v>0.9968354430379747</v>
      </c>
      <c r="N6" s="15">
        <f>$H$6/$C$9</f>
        <v>0.012096774193548387</v>
      </c>
      <c r="O6" s="16">
        <f>$H$6/$C$10</f>
        <v>2.34375</v>
      </c>
    </row>
    <row r="7" spans="2:15" ht="108.75" customHeight="1" thickTop="1">
      <c r="B7" s="5" t="s">
        <v>18</v>
      </c>
      <c r="C7" s="6">
        <v>0.089</v>
      </c>
      <c r="E7" s="11" t="s">
        <v>19</v>
      </c>
      <c r="F7" s="12">
        <f>IF(($C$5&gt;1),(($C$3/$C$5)*$C$4)+($C$3*0.01),(($C$3*$C$4)+($C$3*0.01)))</f>
        <v>0.01125</v>
      </c>
      <c r="G7" s="12">
        <f>IF(($C$5&gt;1),(($C$3/$C$5)*$C$4*10)+($C$3*0.01),($C$3*$C$4*10)+($C$3*0.01))</f>
        <v>0.07875</v>
      </c>
      <c r="H7" s="14">
        <f>$C$3*0.01</f>
        <v>0.00375</v>
      </c>
      <c r="J7" s="17">
        <f>$F$7/$C$7</f>
        <v>0.12640449438202248</v>
      </c>
      <c r="K7" s="18">
        <f>$F$7/$C$8</f>
        <v>0.14240506329113922</v>
      </c>
      <c r="L7" s="17">
        <f>$G$7/$C$7</f>
        <v>0.8848314606741573</v>
      </c>
      <c r="M7" s="18">
        <f>$G$7/$C$8</f>
        <v>0.9968354430379747</v>
      </c>
      <c r="N7" s="17">
        <f>$H$7/$C$9</f>
        <v>0.012096774193548387</v>
      </c>
      <c r="O7" s="18">
        <f>$H$7/$C$10</f>
        <v>2.34375</v>
      </c>
    </row>
    <row r="8" spans="2:15" ht="152.25" customHeight="1" thickBot="1">
      <c r="B8" s="7" t="s">
        <v>20</v>
      </c>
      <c r="C8" s="8">
        <v>0.079</v>
      </c>
      <c r="E8" s="19" t="s">
        <v>21</v>
      </c>
      <c r="F8" s="20">
        <f>($C$3*$C$4)+($C$3*0.05)</f>
        <v>0.026250000000000002</v>
      </c>
      <c r="G8" s="21">
        <f>($C$3*$C$4*10)+($C$3*0.05)</f>
        <v>0.09375</v>
      </c>
      <c r="H8" s="22">
        <f>$C$3*0.05</f>
        <v>0.018750000000000003</v>
      </c>
      <c r="J8" s="23">
        <f>$F$8/$C$7</f>
        <v>0.29494382022471916</v>
      </c>
      <c r="K8" s="24">
        <f>$F$8/$C$8</f>
        <v>0.3322784810126583</v>
      </c>
      <c r="L8" s="23">
        <f>$G$8/$C$7</f>
        <v>1.053370786516854</v>
      </c>
      <c r="M8" s="24">
        <f>$G$8/$C$8</f>
        <v>1.1867088607594936</v>
      </c>
      <c r="N8" s="23">
        <f>$H$8/$C$9</f>
        <v>0.060483870967741944</v>
      </c>
      <c r="O8" s="24">
        <f>$H$8/$C$10</f>
        <v>11.718750000000002</v>
      </c>
    </row>
    <row r="9" spans="2:15" ht="95.25" customHeight="1" thickBot="1">
      <c r="B9" s="7" t="s">
        <v>22</v>
      </c>
      <c r="C9" s="8">
        <v>0.31</v>
      </c>
      <c r="J9" s="26"/>
      <c r="K9" s="26"/>
      <c r="L9" s="26"/>
      <c r="M9" s="26"/>
      <c r="N9" s="26"/>
      <c r="O9" s="26"/>
    </row>
    <row r="10" spans="2:15" ht="84.75" customHeight="1" thickBot="1">
      <c r="B10" s="27" t="s">
        <v>23</v>
      </c>
      <c r="C10" s="28">
        <v>0.0016</v>
      </c>
      <c r="D10" s="29"/>
      <c r="F10" s="77" t="s">
        <v>24</v>
      </c>
      <c r="G10" s="78"/>
      <c r="H10" s="79"/>
      <c r="J10" s="61" t="s">
        <v>25</v>
      </c>
      <c r="K10" s="62"/>
      <c r="L10" s="62"/>
      <c r="M10" s="63"/>
      <c r="N10" s="26"/>
      <c r="O10" s="26"/>
    </row>
    <row r="11" spans="2:15" ht="212.25" customHeight="1" thickBot="1" thickTop="1">
      <c r="B11" s="30"/>
      <c r="C11" s="30"/>
      <c r="D11" s="29"/>
      <c r="E11"/>
      <c r="F11" s="88" t="s">
        <v>7</v>
      </c>
      <c r="G11" s="68" t="s">
        <v>26</v>
      </c>
      <c r="H11" s="80" t="s">
        <v>27</v>
      </c>
      <c r="J11" s="64" t="s">
        <v>11</v>
      </c>
      <c r="K11" s="65"/>
      <c r="L11" s="64" t="s">
        <v>28</v>
      </c>
      <c r="M11" s="65"/>
      <c r="N11" s="26"/>
      <c r="O11" s="26"/>
    </row>
    <row r="12" spans="2:15" ht="58.5" customHeight="1">
      <c r="B12" s="30"/>
      <c r="C12" s="30"/>
      <c r="D12" s="29"/>
      <c r="E12"/>
      <c r="F12" s="60"/>
      <c r="G12" s="69"/>
      <c r="H12" s="81"/>
      <c r="J12" s="31" t="s">
        <v>15</v>
      </c>
      <c r="K12" s="32" t="s">
        <v>16</v>
      </c>
      <c r="L12" s="33" t="s">
        <v>15</v>
      </c>
      <c r="M12" s="32" t="s">
        <v>16</v>
      </c>
      <c r="N12" s="26"/>
      <c r="O12" s="26"/>
    </row>
    <row r="13" spans="2:15" ht="41.25" customHeight="1">
      <c r="B13" s="29"/>
      <c r="C13" s="29"/>
      <c r="D13" s="29"/>
      <c r="F13" s="11" t="s">
        <v>29</v>
      </c>
      <c r="G13" s="12">
        <f>($C$3*$C$4)</f>
        <v>0.0075</v>
      </c>
      <c r="H13" s="34">
        <f>$C$3*$C$4*10</f>
        <v>0.075</v>
      </c>
      <c r="J13" s="17">
        <f>$G$13/$C$7</f>
        <v>0.08426966292134831</v>
      </c>
      <c r="K13" s="18">
        <f>$G$13/$C$8</f>
        <v>0.09493670886075949</v>
      </c>
      <c r="L13" s="35">
        <f>$H$13/$C$7</f>
        <v>0.8426966292134832</v>
      </c>
      <c r="M13" s="18">
        <f>$H$13/$C$8</f>
        <v>0.9493670886075949</v>
      </c>
      <c r="N13" s="26"/>
      <c r="O13" s="26"/>
    </row>
    <row r="14" spans="6:15" ht="57" customHeight="1" thickBot="1">
      <c r="F14" s="19" t="s">
        <v>30</v>
      </c>
      <c r="G14" s="12">
        <f>IF(($C$5&gt;1),(($C$3/$C$5)*$C$4),($C$3*$C$4))</f>
        <v>0.0075</v>
      </c>
      <c r="H14" s="12">
        <f>IF(($C$5&gt;1),(($C$3/$C$5*10)*$C$4),($C$3*$C$4))</f>
        <v>0.0075</v>
      </c>
      <c r="J14" s="23">
        <f>$G$14/$C$7</f>
        <v>0.08426966292134831</v>
      </c>
      <c r="K14" s="24">
        <f>$G$14/$C$8</f>
        <v>0.09493670886075949</v>
      </c>
      <c r="L14" s="36">
        <f>$H$14/$C$7</f>
        <v>0.08426966292134831</v>
      </c>
      <c r="M14" s="24">
        <f>$H$14/$C$8</f>
        <v>0.09493670886075949</v>
      </c>
      <c r="N14" s="3"/>
      <c r="O14" s="3"/>
    </row>
  </sheetData>
  <mergeCells count="20">
    <mergeCell ref="K1:L1"/>
    <mergeCell ref="F10:H10"/>
    <mergeCell ref="G11:G12"/>
    <mergeCell ref="H11:H12"/>
    <mergeCell ref="B1:H1"/>
    <mergeCell ref="B5:B6"/>
    <mergeCell ref="C5:C6"/>
    <mergeCell ref="F11:F12"/>
    <mergeCell ref="J3:O3"/>
    <mergeCell ref="N4:O4"/>
    <mergeCell ref="E3:H3"/>
    <mergeCell ref="F4:F5"/>
    <mergeCell ref="G4:G5"/>
    <mergeCell ref="H4:H5"/>
    <mergeCell ref="E4:E5"/>
    <mergeCell ref="J10:M10"/>
    <mergeCell ref="J11:K11"/>
    <mergeCell ref="L11:M11"/>
    <mergeCell ref="J4:K4"/>
    <mergeCell ref="L4:M4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14"/>
  <sheetViews>
    <sheetView tabSelected="1" view="pageBreakPreview" zoomScale="38" zoomScaleNormal="35" zoomScaleSheetLayoutView="38" workbookViewId="0" topLeftCell="D1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2.5742187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31</v>
      </c>
      <c r="C1" s="83"/>
      <c r="D1" s="83"/>
      <c r="E1" s="83"/>
      <c r="F1" s="83"/>
      <c r="G1" s="104"/>
      <c r="J1" s="3"/>
      <c r="K1" s="102" t="s">
        <v>49</v>
      </c>
      <c r="L1" s="103"/>
      <c r="M1" s="3"/>
      <c r="N1" s="3"/>
      <c r="O1" s="3"/>
    </row>
    <row r="2" spans="2:15" ht="30.75" customHeight="1" thickBot="1">
      <c r="B2" s="38"/>
      <c r="C2" s="39" t="s">
        <v>2</v>
      </c>
      <c r="D2" s="40"/>
      <c r="E2" s="40"/>
      <c r="F2" s="40"/>
      <c r="G2" s="37"/>
      <c r="J2" s="3"/>
      <c r="K2" s="3"/>
      <c r="L2" s="3"/>
      <c r="M2" s="3"/>
      <c r="N2" s="3"/>
      <c r="O2" s="3"/>
    </row>
    <row r="3" spans="2:15" ht="72.75" customHeight="1" thickBot="1" thickTop="1">
      <c r="B3" s="5" t="s">
        <v>3</v>
      </c>
      <c r="C3" s="6">
        <v>0.375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15.25" customHeight="1">
      <c r="B4" s="7" t="s">
        <v>6</v>
      </c>
      <c r="C4" s="8">
        <v>0.02</v>
      </c>
      <c r="E4" s="74" t="s">
        <v>32</v>
      </c>
      <c r="F4" s="68" t="s">
        <v>33</v>
      </c>
      <c r="G4" s="105" t="s">
        <v>34</v>
      </c>
      <c r="H4" s="80" t="s">
        <v>35</v>
      </c>
      <c r="I4" s="3"/>
      <c r="J4" s="64" t="s">
        <v>36</v>
      </c>
      <c r="K4" s="65"/>
      <c r="L4" s="64" t="s">
        <v>37</v>
      </c>
      <c r="M4" s="65"/>
      <c r="N4" s="64" t="s">
        <v>38</v>
      </c>
      <c r="O4" s="65"/>
    </row>
    <row r="5" spans="2:15" ht="57" customHeight="1">
      <c r="B5" s="84" t="s">
        <v>39</v>
      </c>
      <c r="C5" s="86"/>
      <c r="E5" s="109"/>
      <c r="F5" s="106"/>
      <c r="G5" s="106"/>
      <c r="H5" s="107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87" customHeight="1" thickBot="1">
      <c r="B6" s="108"/>
      <c r="C6" s="97"/>
      <c r="E6" s="11" t="s">
        <v>17</v>
      </c>
      <c r="F6" s="12">
        <f>($C$3*$C$4)+($C$3*0.01)</f>
        <v>0.01125</v>
      </c>
      <c r="G6" s="12">
        <f>($C$3*$C$4*10)+($C$3*0.01)</f>
        <v>0.07875</v>
      </c>
      <c r="H6" s="41">
        <f>$C$3*0.01</f>
        <v>0.00375</v>
      </c>
      <c r="J6" s="15">
        <f>$F$6/$C$7</f>
        <v>0.12640449438202248</v>
      </c>
      <c r="K6" s="16">
        <f>$F$6/$C$8</f>
        <v>0.14240506329113922</v>
      </c>
      <c r="L6" s="15">
        <f>$G$6/$C$7</f>
        <v>0.8848314606741573</v>
      </c>
      <c r="M6" s="16">
        <f>$G$6/$C$8</f>
        <v>0.9968354430379747</v>
      </c>
      <c r="N6" s="15">
        <f>$H$6/$C$9</f>
        <v>0.015</v>
      </c>
      <c r="O6" s="16">
        <f>$H$6/$C$10</f>
        <v>23.437499999999996</v>
      </c>
    </row>
    <row r="7" spans="2:15" ht="93" customHeight="1" thickTop="1">
      <c r="B7" s="5" t="s">
        <v>40</v>
      </c>
      <c r="C7" s="6">
        <v>0.089</v>
      </c>
      <c r="E7" s="11" t="s">
        <v>19</v>
      </c>
      <c r="F7" s="12">
        <f>IF(($C$5&gt;1),(($C$3/$C$5)*$C$4)+($C$3*0.01),(($C$3)*$C$4)+($C$3*0.01))</f>
        <v>0.01125</v>
      </c>
      <c r="G7" s="12">
        <f>IF(($C$5&gt;1),(($C$3/$C$5)*$C$4*10)+($C$3*0.01),(($C$3)*$C$4*10)+($C$3*0.01))</f>
        <v>0.07875</v>
      </c>
      <c r="H7" s="41">
        <f>$C$3*0.01</f>
        <v>0.00375</v>
      </c>
      <c r="J7" s="17">
        <f>$F$7/$C$7</f>
        <v>0.12640449438202248</v>
      </c>
      <c r="K7" s="18">
        <f>$F$7/$C$8</f>
        <v>0.14240506329113922</v>
      </c>
      <c r="L7" s="17">
        <f>$G$7/$C$7</f>
        <v>0.8848314606741573</v>
      </c>
      <c r="M7" s="18">
        <f>$G$7/$C$8</f>
        <v>0.9968354430379747</v>
      </c>
      <c r="N7" s="17">
        <f>$H$7/$C$9</f>
        <v>0.015</v>
      </c>
      <c r="O7" s="18">
        <f>$H$7/$C$10</f>
        <v>23.437499999999996</v>
      </c>
    </row>
    <row r="8" spans="2:15" ht="165" customHeight="1" thickBot="1">
      <c r="B8" s="7" t="s">
        <v>41</v>
      </c>
      <c r="C8" s="8">
        <v>0.079</v>
      </c>
      <c r="E8" s="19" t="s">
        <v>21</v>
      </c>
      <c r="F8" s="20">
        <f>($C$3*$C$4)+($C$3*0.05)</f>
        <v>0.026250000000000002</v>
      </c>
      <c r="G8" s="20">
        <f>($C$3*$C$4*10)+($C$3*0.05)</f>
        <v>0.09375</v>
      </c>
      <c r="H8" s="42">
        <f>$C$3*0.05</f>
        <v>0.018750000000000003</v>
      </c>
      <c r="J8" s="23">
        <f>$F$8/$C$7</f>
        <v>0.29494382022471916</v>
      </c>
      <c r="K8" s="24">
        <f>$F$8/$C$8</f>
        <v>0.3322784810126583</v>
      </c>
      <c r="L8" s="23">
        <f>$G$8/$C$7</f>
        <v>1.053370786516854</v>
      </c>
      <c r="M8" s="24">
        <f>$G$8/$C$8</f>
        <v>1.1867088607594936</v>
      </c>
      <c r="N8" s="23">
        <f>$H$8/$C$9</f>
        <v>0.07500000000000001</v>
      </c>
      <c r="O8" s="24">
        <f>$H$8/$C$10</f>
        <v>117.18750000000001</v>
      </c>
    </row>
    <row r="9" spans="2:15" ht="95.25" customHeight="1" thickBot="1">
      <c r="B9" s="7" t="s">
        <v>42</v>
      </c>
      <c r="C9" s="8">
        <v>0.25</v>
      </c>
      <c r="E9"/>
      <c r="J9" s="26"/>
      <c r="K9" s="26"/>
      <c r="L9" s="26"/>
      <c r="M9" s="26"/>
      <c r="N9" s="26"/>
      <c r="O9" s="26"/>
    </row>
    <row r="10" spans="2:15" ht="99.75" customHeight="1" thickBot="1">
      <c r="B10" s="27" t="s">
        <v>43</v>
      </c>
      <c r="C10" s="28">
        <v>0.00016</v>
      </c>
      <c r="D10" s="29"/>
      <c r="E10"/>
      <c r="F10" s="77" t="s">
        <v>24</v>
      </c>
      <c r="G10" s="98"/>
      <c r="H10" s="99"/>
      <c r="J10" s="61" t="s">
        <v>25</v>
      </c>
      <c r="K10" s="100"/>
      <c r="L10" s="100"/>
      <c r="M10" s="101"/>
      <c r="N10" s="26"/>
      <c r="O10" s="26"/>
    </row>
    <row r="11" spans="2:15" ht="149.25" customHeight="1" thickBot="1" thickTop="1">
      <c r="B11" s="30"/>
      <c r="C11" s="30"/>
      <c r="D11" s="29"/>
      <c r="E11"/>
      <c r="F11" s="77" t="s">
        <v>7</v>
      </c>
      <c r="G11" s="93" t="s">
        <v>44</v>
      </c>
      <c r="H11" s="95" t="s">
        <v>45</v>
      </c>
      <c r="J11" s="91" t="s">
        <v>46</v>
      </c>
      <c r="K11" s="65"/>
      <c r="L11" s="91" t="s">
        <v>47</v>
      </c>
      <c r="M11" s="65"/>
      <c r="N11" s="26"/>
      <c r="O11" s="26"/>
    </row>
    <row r="12" spans="2:15" ht="58.5" customHeight="1" thickBot="1">
      <c r="B12" s="30" t="s">
        <v>48</v>
      </c>
      <c r="C12" s="30"/>
      <c r="D12" s="29"/>
      <c r="E12"/>
      <c r="F12" s="92"/>
      <c r="G12" s="94"/>
      <c r="H12" s="96"/>
      <c r="J12" s="43" t="s">
        <v>15</v>
      </c>
      <c r="K12" s="44" t="s">
        <v>16</v>
      </c>
      <c r="L12" s="45" t="s">
        <v>15</v>
      </c>
      <c r="M12" s="44" t="s">
        <v>16</v>
      </c>
      <c r="N12" s="26"/>
      <c r="O12" s="26"/>
    </row>
    <row r="13" spans="2:15" ht="41.25" customHeight="1">
      <c r="B13" s="29"/>
      <c r="C13" s="29"/>
      <c r="D13" s="29"/>
      <c r="E13"/>
      <c r="F13" s="46" t="s">
        <v>29</v>
      </c>
      <c r="G13" s="47">
        <f>$C$3*$C$4</f>
        <v>0.0075</v>
      </c>
      <c r="H13" s="48">
        <f>$C$3*$C$4*10</f>
        <v>0.075</v>
      </c>
      <c r="J13" s="49">
        <f>$G$13/$C$7</f>
        <v>0.08426966292134831</v>
      </c>
      <c r="K13" s="50">
        <f>$G$13/$C$8</f>
        <v>0.09493670886075949</v>
      </c>
      <c r="L13" s="51">
        <f>$H$13/$C$7</f>
        <v>0.8426966292134832</v>
      </c>
      <c r="M13" s="50">
        <f>$H$13/$C$8</f>
        <v>0.9493670886075949</v>
      </c>
      <c r="N13" s="26"/>
      <c r="O13" s="26"/>
    </row>
    <row r="14" spans="6:15" ht="57" customHeight="1" thickBot="1">
      <c r="F14" s="19" t="s">
        <v>30</v>
      </c>
      <c r="G14" s="20" t="e">
        <f>(($C$3/$C$5)*$C$4)</f>
        <v>#DIV/0!</v>
      </c>
      <c r="H14" s="52" t="e">
        <f>(($C$3/$C$5*10)*$C$4)</f>
        <v>#DIV/0!</v>
      </c>
      <c r="J14" s="23" t="e">
        <f>$G$14/$C$7</f>
        <v>#DIV/0!</v>
      </c>
      <c r="K14" s="24" t="e">
        <f>$G$14/$C$8</f>
        <v>#DIV/0!</v>
      </c>
      <c r="L14" s="36" t="e">
        <f>$H$14/$C$7</f>
        <v>#DIV/0!</v>
      </c>
      <c r="M14" s="24" t="e">
        <f>$H$14/$C$8</f>
        <v>#DIV/0!</v>
      </c>
      <c r="N14" s="3"/>
      <c r="O14" s="3"/>
    </row>
  </sheetData>
  <mergeCells count="20">
    <mergeCell ref="N4:O4"/>
    <mergeCell ref="K1:L1"/>
    <mergeCell ref="E3:H3"/>
    <mergeCell ref="B1:G1"/>
    <mergeCell ref="J3:O3"/>
    <mergeCell ref="G4:G5"/>
    <mergeCell ref="H4:H5"/>
    <mergeCell ref="B5:B6"/>
    <mergeCell ref="E4:E5"/>
    <mergeCell ref="F4:F5"/>
    <mergeCell ref="C5:C6"/>
    <mergeCell ref="F10:H10"/>
    <mergeCell ref="J11:K11"/>
    <mergeCell ref="J10:M10"/>
    <mergeCell ref="L4:M4"/>
    <mergeCell ref="J4:K4"/>
    <mergeCell ref="L11:M11"/>
    <mergeCell ref="F11:F12"/>
    <mergeCell ref="G11:G12"/>
    <mergeCell ref="H11:H12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="35" zoomScaleNormal="35" zoomScaleSheetLayoutView="38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1.2812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0</v>
      </c>
      <c r="C1" s="83"/>
      <c r="D1" s="83"/>
      <c r="E1" s="83"/>
      <c r="F1" s="83"/>
      <c r="G1" s="83"/>
      <c r="H1" s="83"/>
      <c r="K1" s="76" t="s">
        <v>49</v>
      </c>
      <c r="L1" s="76"/>
      <c r="M1" s="3"/>
      <c r="N1" s="3"/>
      <c r="O1" s="3"/>
    </row>
    <row r="2" spans="3:15" ht="27" customHeight="1" thickBot="1">
      <c r="C2" s="4" t="s">
        <v>2</v>
      </c>
      <c r="D2" s="2"/>
      <c r="E2" s="2"/>
      <c r="F2" s="2"/>
      <c r="G2" s="2"/>
      <c r="H2" s="2"/>
      <c r="K2" s="3"/>
      <c r="L2" s="3"/>
      <c r="M2" s="3"/>
      <c r="N2" s="3"/>
      <c r="O2" s="3"/>
    </row>
    <row r="3" spans="2:15" ht="100.5" customHeight="1" thickBot="1" thickTop="1">
      <c r="B3" s="5" t="s">
        <v>3</v>
      </c>
      <c r="C3" s="6">
        <v>0.2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50.5" customHeight="1">
      <c r="B4" s="7" t="s">
        <v>6</v>
      </c>
      <c r="C4" s="8">
        <v>0.02</v>
      </c>
      <c r="E4" s="74" t="s">
        <v>7</v>
      </c>
      <c r="F4" s="68" t="s">
        <v>8</v>
      </c>
      <c r="G4" s="70" t="s">
        <v>9</v>
      </c>
      <c r="H4" s="72" t="s">
        <v>10</v>
      </c>
      <c r="I4" s="3"/>
      <c r="J4" s="64" t="s">
        <v>11</v>
      </c>
      <c r="K4" s="65"/>
      <c r="L4" s="64" t="s">
        <v>12</v>
      </c>
      <c r="M4" s="65"/>
      <c r="N4" s="64" t="s">
        <v>13</v>
      </c>
      <c r="O4" s="65"/>
    </row>
    <row r="5" spans="2:15" ht="57" customHeight="1">
      <c r="B5" s="84" t="s">
        <v>14</v>
      </c>
      <c r="C5" s="86"/>
      <c r="E5" s="75"/>
      <c r="F5" s="69"/>
      <c r="G5" s="71"/>
      <c r="H5" s="73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105" customHeight="1" thickBot="1">
      <c r="B6" s="85"/>
      <c r="C6" s="87"/>
      <c r="E6" s="11" t="s">
        <v>17</v>
      </c>
      <c r="F6" s="12">
        <f>($C$3*$C$4)+($C$3*0.01)</f>
        <v>0.006</v>
      </c>
      <c r="G6" s="13">
        <f>($C$3*$C$4*10)+($C$3*0.01)</f>
        <v>0.042</v>
      </c>
      <c r="H6" s="14">
        <f>$C$3*0.01</f>
        <v>0.002</v>
      </c>
      <c r="J6" s="15">
        <f>$F$6/$C$7</f>
        <v>0.06741573033707865</v>
      </c>
      <c r="K6" s="16">
        <f>$F$6/$C$8</f>
        <v>0.0759493670886076</v>
      </c>
      <c r="L6" s="15">
        <f>$G$6/$C$7</f>
        <v>0.4719101123595506</v>
      </c>
      <c r="M6" s="16">
        <f>$G$6/$C$8</f>
        <v>0.5316455696202532</v>
      </c>
      <c r="N6" s="15">
        <f>$H$6/$C$9</f>
        <v>0.0064516129032258064</v>
      </c>
      <c r="O6" s="16">
        <f>$H$6/$C$10</f>
        <v>1.25</v>
      </c>
    </row>
    <row r="7" spans="2:15" ht="108.75" customHeight="1" thickTop="1">
      <c r="B7" s="5" t="s">
        <v>18</v>
      </c>
      <c r="C7" s="6">
        <v>0.089</v>
      </c>
      <c r="E7" s="11" t="s">
        <v>19</v>
      </c>
      <c r="F7" s="12">
        <f>IF(($C$5&gt;1),(($C$3/$C$5)*$C$4)+($C$3*0.01),(($C$3*$C$4)+($C$3*0.01)))</f>
        <v>0.006</v>
      </c>
      <c r="G7" s="12">
        <f>IF(($C$5&gt;1),(($C$3/$C$5)*$C$4*10)+($C$3*0.01),($C$3*$C$4*10)+($C$3*0.01))</f>
        <v>0.042</v>
      </c>
      <c r="H7" s="14">
        <f>$C$3*0.01</f>
        <v>0.002</v>
      </c>
      <c r="J7" s="17">
        <f>$F$7/$C$7</f>
        <v>0.06741573033707865</v>
      </c>
      <c r="K7" s="18">
        <f>$F$7/$C$8</f>
        <v>0.0759493670886076</v>
      </c>
      <c r="L7" s="17">
        <f>$G$7/$C$7</f>
        <v>0.4719101123595506</v>
      </c>
      <c r="M7" s="18">
        <f>$G$7/$C$8</f>
        <v>0.5316455696202532</v>
      </c>
      <c r="N7" s="17">
        <f>$H$7/$C$9</f>
        <v>0.0064516129032258064</v>
      </c>
      <c r="O7" s="18">
        <f>$H$7/$C$10</f>
        <v>1.25</v>
      </c>
    </row>
    <row r="8" spans="2:15" ht="152.25" customHeight="1" thickBot="1">
      <c r="B8" s="7" t="s">
        <v>20</v>
      </c>
      <c r="C8" s="8">
        <v>0.079</v>
      </c>
      <c r="E8" s="19" t="s">
        <v>21</v>
      </c>
      <c r="F8" s="20">
        <f>($C$3*$C$4)+($C$3*0.05)</f>
        <v>0.014000000000000002</v>
      </c>
      <c r="G8" s="21">
        <f>($C$3*$C$4*10)+($C$3*0.05)</f>
        <v>0.05</v>
      </c>
      <c r="H8" s="22">
        <f>$C$3*0.05</f>
        <v>0.010000000000000002</v>
      </c>
      <c r="J8" s="23">
        <f>$F$8/$C$7</f>
        <v>0.15730337078651688</v>
      </c>
      <c r="K8" s="24">
        <f>$F$8/$C$8</f>
        <v>0.17721518987341775</v>
      </c>
      <c r="L8" s="23">
        <f>$G$8/$C$7</f>
        <v>0.5617977528089888</v>
      </c>
      <c r="M8" s="24">
        <f>$G$8/$C$8</f>
        <v>0.6329113924050633</v>
      </c>
      <c r="N8" s="23">
        <f>$H$8/$C$9</f>
        <v>0.03225806451612904</v>
      </c>
      <c r="O8" s="24">
        <f>$H$8/$C$10</f>
        <v>6.250000000000001</v>
      </c>
    </row>
    <row r="9" spans="2:15" ht="95.25" customHeight="1" thickBot="1">
      <c r="B9" s="7" t="s">
        <v>22</v>
      </c>
      <c r="C9" s="8">
        <v>0.31</v>
      </c>
      <c r="J9" s="26"/>
      <c r="K9" s="26"/>
      <c r="L9" s="26"/>
      <c r="M9" s="26"/>
      <c r="N9" s="26"/>
      <c r="O9" s="26"/>
    </row>
    <row r="10" spans="2:15" ht="84.75" customHeight="1" thickBot="1">
      <c r="B10" s="27" t="s">
        <v>23</v>
      </c>
      <c r="C10" s="28">
        <v>0.0016</v>
      </c>
      <c r="D10" s="29"/>
      <c r="F10" s="77" t="s">
        <v>24</v>
      </c>
      <c r="G10" s="78"/>
      <c r="H10" s="79"/>
      <c r="J10" s="61" t="s">
        <v>25</v>
      </c>
      <c r="K10" s="62"/>
      <c r="L10" s="62"/>
      <c r="M10" s="63"/>
      <c r="N10" s="26"/>
      <c r="O10" s="26"/>
    </row>
    <row r="11" spans="2:15" ht="212.25" customHeight="1" thickBot="1" thickTop="1">
      <c r="B11" s="30"/>
      <c r="C11" s="30"/>
      <c r="D11" s="29"/>
      <c r="E11"/>
      <c r="F11" s="88" t="s">
        <v>7</v>
      </c>
      <c r="G11" s="68" t="s">
        <v>26</v>
      </c>
      <c r="H11" s="80" t="s">
        <v>27</v>
      </c>
      <c r="J11" s="64" t="s">
        <v>11</v>
      </c>
      <c r="K11" s="65"/>
      <c r="L11" s="64" t="s">
        <v>28</v>
      </c>
      <c r="M11" s="65"/>
      <c r="N11" s="26"/>
      <c r="O11" s="26"/>
    </row>
    <row r="12" spans="2:15" ht="58.5" customHeight="1">
      <c r="B12" s="30"/>
      <c r="C12" s="30"/>
      <c r="D12" s="29"/>
      <c r="E12"/>
      <c r="F12" s="60"/>
      <c r="G12" s="69"/>
      <c r="H12" s="81"/>
      <c r="J12" s="31" t="s">
        <v>15</v>
      </c>
      <c r="K12" s="32" t="s">
        <v>16</v>
      </c>
      <c r="L12" s="33" t="s">
        <v>15</v>
      </c>
      <c r="M12" s="32" t="s">
        <v>16</v>
      </c>
      <c r="N12" s="26"/>
      <c r="O12" s="26"/>
    </row>
    <row r="13" spans="2:15" ht="41.25" customHeight="1">
      <c r="B13" s="29"/>
      <c r="C13" s="29"/>
      <c r="D13" s="29"/>
      <c r="F13" s="11" t="s">
        <v>29</v>
      </c>
      <c r="G13" s="12">
        <f>($C$3*$C$4)</f>
        <v>0.004</v>
      </c>
      <c r="H13" s="34">
        <f>$C$3*$C$4*10</f>
        <v>0.04</v>
      </c>
      <c r="J13" s="17">
        <f>$G$13/$C$7</f>
        <v>0.04494382022471911</v>
      </c>
      <c r="K13" s="18">
        <f>$G$13/$C$8</f>
        <v>0.05063291139240506</v>
      </c>
      <c r="L13" s="35">
        <f>$H$13/$C$7</f>
        <v>0.44943820224719105</v>
      </c>
      <c r="M13" s="18">
        <f>$H$13/$C$8</f>
        <v>0.5063291139240507</v>
      </c>
      <c r="N13" s="26"/>
      <c r="O13" s="26"/>
    </row>
    <row r="14" spans="6:15" ht="57" customHeight="1" thickBot="1">
      <c r="F14" s="19" t="s">
        <v>30</v>
      </c>
      <c r="G14" s="12">
        <f>IF(($C$5&gt;1),(($C$3/$C$5)*$C$4),($C$3*$C$4))</f>
        <v>0.004</v>
      </c>
      <c r="H14" s="12">
        <f>IF(($C$5&gt;1),(($C$3/$C$5*10)*$C$4),($C$3*$C$4))</f>
        <v>0.004</v>
      </c>
      <c r="J14" s="23">
        <f>$G$14/$C$7</f>
        <v>0.04494382022471911</v>
      </c>
      <c r="K14" s="24">
        <f>$G$14/$C$8</f>
        <v>0.05063291139240506</v>
      </c>
      <c r="L14" s="36">
        <f>$H$14/$C$7</f>
        <v>0.04494382022471911</v>
      </c>
      <c r="M14" s="24">
        <f>$H$14/$C$8</f>
        <v>0.05063291139240506</v>
      </c>
      <c r="N14" s="3"/>
      <c r="O14" s="3"/>
    </row>
  </sheetData>
  <mergeCells count="20">
    <mergeCell ref="J10:M10"/>
    <mergeCell ref="J11:K11"/>
    <mergeCell ref="L11:M11"/>
    <mergeCell ref="J4:K4"/>
    <mergeCell ref="L4:M4"/>
    <mergeCell ref="E3:H3"/>
    <mergeCell ref="F4:F5"/>
    <mergeCell ref="G4:G5"/>
    <mergeCell ref="H4:H5"/>
    <mergeCell ref="E4:E5"/>
    <mergeCell ref="K1:L1"/>
    <mergeCell ref="F10:H10"/>
    <mergeCell ref="G11:G12"/>
    <mergeCell ref="H11:H12"/>
    <mergeCell ref="B1:H1"/>
    <mergeCell ref="B5:B6"/>
    <mergeCell ref="C5:C6"/>
    <mergeCell ref="F11:F12"/>
    <mergeCell ref="J3:O3"/>
    <mergeCell ref="N4:O4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14"/>
  <sheetViews>
    <sheetView tabSelected="1" view="pageBreakPreview" zoomScale="38" zoomScaleNormal="35" zoomScaleSheetLayoutView="38" workbookViewId="0" topLeftCell="F5">
      <selection activeCell="C4" sqref="C4"/>
    </sheetView>
  </sheetViews>
  <sheetFormatPr defaultColWidth="9.140625" defaultRowHeight="12.75"/>
  <cols>
    <col min="1" max="1" width="9.140625" style="1" customWidth="1"/>
    <col min="2" max="2" width="41.57421875" style="1" customWidth="1"/>
    <col min="3" max="3" width="25.8515625" style="1" customWidth="1"/>
    <col min="4" max="4" width="4.421875" style="1" customWidth="1"/>
    <col min="5" max="5" width="32.57421875" style="1" customWidth="1"/>
    <col min="6" max="6" width="32.421875" style="25" customWidth="1"/>
    <col min="7" max="7" width="31.140625" style="25" customWidth="1"/>
    <col min="8" max="8" width="32.421875" style="25" customWidth="1"/>
    <col min="9" max="9" width="3.28125" style="1" customWidth="1"/>
    <col min="10" max="11" width="24.421875" style="1" customWidth="1"/>
    <col min="12" max="12" width="28.7109375" style="1" customWidth="1"/>
    <col min="13" max="13" width="29.00390625" style="1" customWidth="1"/>
    <col min="14" max="14" width="25.140625" style="1" customWidth="1"/>
    <col min="15" max="15" width="24.7109375" style="1" customWidth="1"/>
    <col min="16" max="16384" width="9.140625" style="1" customWidth="1"/>
  </cols>
  <sheetData>
    <row r="1" spans="2:15" ht="121.5" customHeight="1">
      <c r="B1" s="82" t="s">
        <v>31</v>
      </c>
      <c r="C1" s="83"/>
      <c r="D1" s="83"/>
      <c r="E1" s="83"/>
      <c r="F1" s="83"/>
      <c r="G1" s="104"/>
      <c r="J1" s="3"/>
      <c r="K1" s="102" t="s">
        <v>49</v>
      </c>
      <c r="L1" s="103"/>
      <c r="M1" s="3"/>
      <c r="N1" s="3"/>
      <c r="O1" s="3"/>
    </row>
    <row r="2" spans="2:15" ht="30.75" customHeight="1" thickBot="1">
      <c r="B2" s="38"/>
      <c r="C2" s="39" t="s">
        <v>2</v>
      </c>
      <c r="D2" s="40"/>
      <c r="E2" s="40"/>
      <c r="F2" s="40"/>
      <c r="G2" s="37"/>
      <c r="J2" s="3"/>
      <c r="K2" s="3"/>
      <c r="L2" s="3"/>
      <c r="M2" s="3"/>
      <c r="N2" s="3"/>
      <c r="O2" s="3"/>
    </row>
    <row r="3" spans="2:15" ht="72.75" customHeight="1" thickBot="1" thickTop="1">
      <c r="B3" s="5" t="s">
        <v>3</v>
      </c>
      <c r="C3" s="6">
        <v>0.2</v>
      </c>
      <c r="E3" s="66" t="s">
        <v>4</v>
      </c>
      <c r="F3" s="67"/>
      <c r="G3" s="67"/>
      <c r="H3" s="65"/>
      <c r="J3" s="59" t="s">
        <v>5</v>
      </c>
      <c r="K3" s="89"/>
      <c r="L3" s="89"/>
      <c r="M3" s="89"/>
      <c r="N3" s="89"/>
      <c r="O3" s="90"/>
    </row>
    <row r="4" spans="2:15" ht="215.25" customHeight="1">
      <c r="B4" s="7" t="s">
        <v>6</v>
      </c>
      <c r="C4" s="8">
        <v>0.02</v>
      </c>
      <c r="E4" s="74" t="s">
        <v>32</v>
      </c>
      <c r="F4" s="68" t="s">
        <v>33</v>
      </c>
      <c r="G4" s="105" t="s">
        <v>34</v>
      </c>
      <c r="H4" s="80" t="s">
        <v>35</v>
      </c>
      <c r="I4" s="3"/>
      <c r="J4" s="64" t="s">
        <v>36</v>
      </c>
      <c r="K4" s="65"/>
      <c r="L4" s="64" t="s">
        <v>37</v>
      </c>
      <c r="M4" s="65"/>
      <c r="N4" s="64" t="s">
        <v>38</v>
      </c>
      <c r="O4" s="65"/>
    </row>
    <row r="5" spans="2:15" ht="57" customHeight="1">
      <c r="B5" s="84" t="s">
        <v>39</v>
      </c>
      <c r="C5" s="86"/>
      <c r="E5" s="109"/>
      <c r="F5" s="106"/>
      <c r="G5" s="106"/>
      <c r="H5" s="107"/>
      <c r="I5" s="3"/>
      <c r="J5" s="9" t="s">
        <v>15</v>
      </c>
      <c r="K5" s="10" t="s">
        <v>16</v>
      </c>
      <c r="L5" s="9" t="s">
        <v>15</v>
      </c>
      <c r="M5" s="10" t="s">
        <v>16</v>
      </c>
      <c r="N5" s="9" t="s">
        <v>15</v>
      </c>
      <c r="O5" s="10" t="s">
        <v>16</v>
      </c>
    </row>
    <row r="6" spans="2:15" ht="87" customHeight="1" thickBot="1">
      <c r="B6" s="108"/>
      <c r="C6" s="97"/>
      <c r="E6" s="11" t="s">
        <v>17</v>
      </c>
      <c r="F6" s="12">
        <f>($C$3*$C$4)+($C$3*0.01)</f>
        <v>0.006</v>
      </c>
      <c r="G6" s="12">
        <f>($C$3*$C$4*10)+($C$3*0.01)</f>
        <v>0.042</v>
      </c>
      <c r="H6" s="41">
        <f>$C$3*0.01</f>
        <v>0.002</v>
      </c>
      <c r="J6" s="15">
        <f>$F$6/$C$7</f>
        <v>0.06741573033707865</v>
      </c>
      <c r="K6" s="16">
        <f>$F$6/$C$8</f>
        <v>0.0759493670886076</v>
      </c>
      <c r="L6" s="15">
        <f>$G$6/$C$7</f>
        <v>0.4719101123595506</v>
      </c>
      <c r="M6" s="16">
        <f>$G$6/$C$8</f>
        <v>0.5316455696202532</v>
      </c>
      <c r="N6" s="15">
        <f>$H$6/$C$9</f>
        <v>0.008</v>
      </c>
      <c r="O6" s="16">
        <f>$H$6/$C$10</f>
        <v>2.0408163265306123</v>
      </c>
    </row>
    <row r="7" spans="2:15" ht="93" customHeight="1" thickTop="1">
      <c r="B7" s="5" t="s">
        <v>40</v>
      </c>
      <c r="C7" s="6">
        <v>0.089</v>
      </c>
      <c r="E7" s="11" t="s">
        <v>19</v>
      </c>
      <c r="F7" s="12">
        <f>IF(($C$5&gt;1),(($C$3/$C$5)*$C$4)+($C$3*0.01),(($C$3)*$C$4)+($C$3*0.01))</f>
        <v>0.006</v>
      </c>
      <c r="G7" s="12">
        <f>IF(($C$5&gt;1),(($C$3/$C$5)*$C$4*10)+($C$3*0.01),(($C$3)*$C$4*10)+($C$3*0.01))</f>
        <v>0.042</v>
      </c>
      <c r="H7" s="41">
        <f>$C$3*0.01</f>
        <v>0.002</v>
      </c>
      <c r="J7" s="17">
        <f>$F$7/$C$7</f>
        <v>0.06741573033707865</v>
      </c>
      <c r="K7" s="18">
        <f>$F$7/$C$8</f>
        <v>0.0759493670886076</v>
      </c>
      <c r="L7" s="17">
        <f>$G$7/$C$7</f>
        <v>0.4719101123595506</v>
      </c>
      <c r="M7" s="18">
        <f>$G$7/$C$8</f>
        <v>0.5316455696202532</v>
      </c>
      <c r="N7" s="17">
        <f>$H$7/$C$9</f>
        <v>0.008</v>
      </c>
      <c r="O7" s="18">
        <f>$H$7/$C$10</f>
        <v>2.0408163265306123</v>
      </c>
    </row>
    <row r="8" spans="2:15" ht="165" customHeight="1" thickBot="1">
      <c r="B8" s="7" t="s">
        <v>41</v>
      </c>
      <c r="C8" s="8">
        <v>0.079</v>
      </c>
      <c r="E8" s="19" t="s">
        <v>21</v>
      </c>
      <c r="F8" s="20">
        <f>($C$3*$C$4)+($C$3*0.05)</f>
        <v>0.014000000000000002</v>
      </c>
      <c r="G8" s="20">
        <f>($C$3*$C$4*10)+($C$3*0.05)</f>
        <v>0.05</v>
      </c>
      <c r="H8" s="42">
        <f>$C$3*0.05</f>
        <v>0.010000000000000002</v>
      </c>
      <c r="J8" s="23">
        <f>$F$8/$C$7</f>
        <v>0.15730337078651688</v>
      </c>
      <c r="K8" s="24">
        <f>$F$8/$C$8</f>
        <v>0.17721518987341775</v>
      </c>
      <c r="L8" s="23">
        <f>$G$8/$C$7</f>
        <v>0.5617977528089888</v>
      </c>
      <c r="M8" s="24">
        <f>$G$8/$C$8</f>
        <v>0.6329113924050633</v>
      </c>
      <c r="N8" s="23">
        <f>$H$8/$C$9</f>
        <v>0.04000000000000001</v>
      </c>
      <c r="O8" s="24">
        <f>$H$8/$C$10</f>
        <v>10.204081632653063</v>
      </c>
    </row>
    <row r="9" spans="2:15" ht="95.25" customHeight="1" thickBot="1">
      <c r="B9" s="7" t="s">
        <v>42</v>
      </c>
      <c r="C9" s="8">
        <v>0.25</v>
      </c>
      <c r="E9"/>
      <c r="J9" s="26"/>
      <c r="K9" s="26"/>
      <c r="L9" s="26"/>
      <c r="M9" s="26"/>
      <c r="N9" s="26"/>
      <c r="O9" s="26"/>
    </row>
    <row r="10" spans="2:15" ht="99.75" customHeight="1" thickBot="1">
      <c r="B10" s="27" t="s">
        <v>43</v>
      </c>
      <c r="C10" s="28">
        <v>0.00098</v>
      </c>
      <c r="D10" s="29"/>
      <c r="E10"/>
      <c r="F10" s="77" t="s">
        <v>24</v>
      </c>
      <c r="G10" s="98"/>
      <c r="H10" s="99"/>
      <c r="J10" s="61" t="s">
        <v>25</v>
      </c>
      <c r="K10" s="100"/>
      <c r="L10" s="100"/>
      <c r="M10" s="101"/>
      <c r="N10" s="26"/>
      <c r="O10" s="26"/>
    </row>
    <row r="11" spans="2:15" ht="149.25" customHeight="1" thickBot="1" thickTop="1">
      <c r="B11" s="30"/>
      <c r="C11" s="30"/>
      <c r="D11" s="29"/>
      <c r="E11"/>
      <c r="F11" s="77" t="s">
        <v>7</v>
      </c>
      <c r="G11" s="93" t="s">
        <v>44</v>
      </c>
      <c r="H11" s="95" t="s">
        <v>45</v>
      </c>
      <c r="J11" s="91" t="s">
        <v>46</v>
      </c>
      <c r="K11" s="65"/>
      <c r="L11" s="91" t="s">
        <v>47</v>
      </c>
      <c r="M11" s="65"/>
      <c r="N11" s="26"/>
      <c r="O11" s="26"/>
    </row>
    <row r="12" spans="2:15" ht="58.5" customHeight="1" thickBot="1">
      <c r="B12" s="30" t="s">
        <v>48</v>
      </c>
      <c r="C12" s="30"/>
      <c r="D12" s="29"/>
      <c r="E12"/>
      <c r="F12" s="92"/>
      <c r="G12" s="94"/>
      <c r="H12" s="96"/>
      <c r="J12" s="43" t="s">
        <v>15</v>
      </c>
      <c r="K12" s="44" t="s">
        <v>16</v>
      </c>
      <c r="L12" s="45" t="s">
        <v>15</v>
      </c>
      <c r="M12" s="44" t="s">
        <v>16</v>
      </c>
      <c r="N12" s="26"/>
      <c r="O12" s="26"/>
    </row>
    <row r="13" spans="2:15" ht="41.25" customHeight="1">
      <c r="B13" s="29"/>
      <c r="C13" s="29"/>
      <c r="D13" s="29"/>
      <c r="E13"/>
      <c r="F13" s="46" t="s">
        <v>29</v>
      </c>
      <c r="G13" s="47">
        <f>$C$3*$C$4</f>
        <v>0.004</v>
      </c>
      <c r="H13" s="48">
        <f>$C$3*$C$4*10</f>
        <v>0.04</v>
      </c>
      <c r="J13" s="49">
        <f>$G$13/$C$7</f>
        <v>0.04494382022471911</v>
      </c>
      <c r="K13" s="50">
        <f>$G$13/$C$8</f>
        <v>0.05063291139240506</v>
      </c>
      <c r="L13" s="51">
        <f>$H$13/$C$7</f>
        <v>0.44943820224719105</v>
      </c>
      <c r="M13" s="50">
        <f>$H$13/$C$8</f>
        <v>0.5063291139240507</v>
      </c>
      <c r="N13" s="26"/>
      <c r="O13" s="26"/>
    </row>
    <row r="14" spans="6:15" ht="57" customHeight="1" thickBot="1">
      <c r="F14" s="19" t="s">
        <v>30</v>
      </c>
      <c r="G14" s="20" t="e">
        <f>(($C$3/$C$5)*$C$4)</f>
        <v>#DIV/0!</v>
      </c>
      <c r="H14" s="52" t="e">
        <f>(($C$3/$C$5*10)*$C$4)</f>
        <v>#DIV/0!</v>
      </c>
      <c r="J14" s="23" t="e">
        <f>$G$14/$C$7</f>
        <v>#DIV/0!</v>
      </c>
      <c r="K14" s="24" t="e">
        <f>$G$14/$C$8</f>
        <v>#DIV/0!</v>
      </c>
      <c r="L14" s="36" t="e">
        <f>$H$14/$C$7</f>
        <v>#DIV/0!</v>
      </c>
      <c r="M14" s="24" t="e">
        <f>$H$14/$C$8</f>
        <v>#DIV/0!</v>
      </c>
      <c r="N14" s="3"/>
      <c r="O14" s="3"/>
    </row>
  </sheetData>
  <mergeCells count="20">
    <mergeCell ref="L4:M4"/>
    <mergeCell ref="J4:K4"/>
    <mergeCell ref="L11:M11"/>
    <mergeCell ref="F11:F12"/>
    <mergeCell ref="G11:G12"/>
    <mergeCell ref="H11:H12"/>
    <mergeCell ref="C5:C6"/>
    <mergeCell ref="F10:H10"/>
    <mergeCell ref="J11:K11"/>
    <mergeCell ref="J10:M10"/>
    <mergeCell ref="N4:O4"/>
    <mergeCell ref="K1:L1"/>
    <mergeCell ref="E3:H3"/>
    <mergeCell ref="B1:G1"/>
    <mergeCell ref="J3:O3"/>
    <mergeCell ref="G4:G5"/>
    <mergeCell ref="H4:H5"/>
    <mergeCell ref="B5:B6"/>
    <mergeCell ref="E4:E5"/>
    <mergeCell ref="F4:F5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7">
      <selection activeCell="C4" sqref="C4"/>
    </sheetView>
  </sheetViews>
  <sheetFormatPr defaultColWidth="9.140625" defaultRowHeight="12.75"/>
  <cols>
    <col min="1" max="1" width="11.57421875" style="0" customWidth="1"/>
    <col min="2" max="2" width="16.28125" style="53" customWidth="1"/>
    <col min="3" max="3" width="8.8515625" style="54" customWidth="1"/>
    <col min="4" max="5" width="13.00390625" style="55" customWidth="1"/>
    <col min="6" max="6" width="12.57421875" style="55" customWidth="1"/>
    <col min="7" max="14" width="12.57421875" style="56" customWidth="1"/>
    <col min="16" max="16" width="11.421875" style="0" customWidth="1"/>
    <col min="17" max="17" width="17.00390625" style="0" customWidth="1"/>
    <col min="19" max="19" width="10.140625" style="0" customWidth="1"/>
    <col min="20" max="20" width="11.00390625" style="0" customWidth="1"/>
  </cols>
  <sheetData>
    <row r="1" ht="12.75">
      <c r="A1" t="s">
        <v>50</v>
      </c>
    </row>
    <row r="3" ht="12.75">
      <c r="A3" t="s">
        <v>51</v>
      </c>
    </row>
    <row r="4" spans="1:19" ht="12.75">
      <c r="A4" t="s">
        <v>52</v>
      </c>
      <c r="P4" s="111" t="s">
        <v>53</v>
      </c>
      <c r="Q4" s="111"/>
      <c r="R4" s="111"/>
      <c r="S4" s="111"/>
    </row>
    <row r="5" spans="4:19" ht="12.75">
      <c r="D5" s="58" t="s">
        <v>54</v>
      </c>
      <c r="E5" s="58"/>
      <c r="F5" s="54">
        <v>0.0016</v>
      </c>
      <c r="P5" s="57"/>
      <c r="Q5" s="57"/>
      <c r="R5" s="57"/>
      <c r="S5" s="57"/>
    </row>
    <row r="6" spans="4:19" ht="12.75">
      <c r="D6" s="58" t="s">
        <v>55</v>
      </c>
      <c r="E6" s="58"/>
      <c r="F6" s="54">
        <v>0.089</v>
      </c>
      <c r="P6" s="57"/>
      <c r="Q6" s="57"/>
      <c r="R6" s="57"/>
      <c r="S6" s="57"/>
    </row>
    <row r="7" spans="4:19" ht="12.75">
      <c r="D7" s="58"/>
      <c r="E7" s="58"/>
      <c r="F7" s="58"/>
      <c r="P7" s="57"/>
      <c r="Q7" s="57"/>
      <c r="R7" s="57"/>
      <c r="S7" s="57"/>
    </row>
    <row r="8" spans="3:14" ht="12.75">
      <c r="C8" s="112" t="s">
        <v>56</v>
      </c>
      <c r="D8" s="113"/>
      <c r="E8" s="113"/>
      <c r="F8" s="113"/>
      <c r="G8" s="114" t="s">
        <v>57</v>
      </c>
      <c r="H8" s="114"/>
      <c r="I8" s="114"/>
      <c r="J8" s="114"/>
      <c r="K8" s="114" t="s">
        <v>58</v>
      </c>
      <c r="L8" s="114"/>
      <c r="M8" s="114"/>
      <c r="N8" s="114"/>
    </row>
    <row r="9" spans="1:20" ht="12.75">
      <c r="A9" s="53" t="s">
        <v>59</v>
      </c>
      <c r="B9" s="53" t="s">
        <v>60</v>
      </c>
      <c r="C9" s="54" t="s">
        <v>61</v>
      </c>
      <c r="D9" s="58" t="s">
        <v>62</v>
      </c>
      <c r="E9" s="58" t="s">
        <v>63</v>
      </c>
      <c r="F9" s="58" t="s">
        <v>64</v>
      </c>
      <c r="G9" s="54" t="s">
        <v>61</v>
      </c>
      <c r="H9" s="54" t="s">
        <v>62</v>
      </c>
      <c r="I9" s="58" t="s">
        <v>63</v>
      </c>
      <c r="J9" s="54" t="s">
        <v>64</v>
      </c>
      <c r="K9" s="54" t="s">
        <v>61</v>
      </c>
      <c r="L9" s="54" t="s">
        <v>62</v>
      </c>
      <c r="M9" s="58" t="s">
        <v>63</v>
      </c>
      <c r="N9" s="54" t="s">
        <v>64</v>
      </c>
      <c r="P9" s="53" t="s">
        <v>59</v>
      </c>
      <c r="Q9" s="53" t="s">
        <v>60</v>
      </c>
      <c r="R9" s="53" t="s">
        <v>61</v>
      </c>
      <c r="S9" s="54" t="s">
        <v>62</v>
      </c>
      <c r="T9" s="54" t="s">
        <v>64</v>
      </c>
    </row>
    <row r="10" spans="1:20" ht="12.75">
      <c r="A10" s="53">
        <v>0</v>
      </c>
      <c r="B10" s="53">
        <v>1.02</v>
      </c>
      <c r="C10" s="54">
        <v>0.4994</v>
      </c>
      <c r="D10" s="58">
        <f aca="true" t="shared" si="0" ref="D10:D30">C10/0.0016</f>
        <v>312.125</v>
      </c>
      <c r="E10" s="58">
        <f aca="true" t="shared" si="1" ref="E10:E30">C10/0.00098</f>
        <v>509.5918367346939</v>
      </c>
      <c r="F10" s="58">
        <f aca="true" t="shared" si="2" ref="F10:F30">C10/0.089</f>
        <v>5.611235955056181</v>
      </c>
      <c r="G10" s="54">
        <f aca="true" t="shared" si="3" ref="G10:G30">0.375*B10</f>
        <v>0.3825</v>
      </c>
      <c r="H10" s="54">
        <f aca="true" t="shared" si="4" ref="H10:H30">G10/0.0016</f>
        <v>239.0625</v>
      </c>
      <c r="I10" s="54">
        <f aca="true" t="shared" si="5" ref="I10:I30">G10/0.00098</f>
        <v>390.30612244897964</v>
      </c>
      <c r="J10" s="54">
        <f aca="true" t="shared" si="6" ref="J10:J30">G10/0.089</f>
        <v>4.297752808988764</v>
      </c>
      <c r="K10" s="54">
        <f aca="true" t="shared" si="7" ref="K10:K30">C10*0.2</f>
        <v>0.09988000000000001</v>
      </c>
      <c r="L10" s="54">
        <f aca="true" t="shared" si="8" ref="L10:L30">K10/0.0016</f>
        <v>62.425000000000004</v>
      </c>
      <c r="M10" s="54">
        <f aca="true" t="shared" si="9" ref="M10:M30">K10/0.0098</f>
        <v>10.19183673469388</v>
      </c>
      <c r="N10" s="54">
        <f aca="true" t="shared" si="10" ref="N10:N30">K10/0.089</f>
        <v>1.1222471910112362</v>
      </c>
      <c r="P10" s="53">
        <v>0</v>
      </c>
      <c r="Q10" s="53">
        <v>0.549</v>
      </c>
      <c r="R10" s="53">
        <v>0.19</v>
      </c>
      <c r="S10" s="54">
        <f aca="true" t="shared" si="11" ref="S10:S19">R10/0.0016</f>
        <v>118.75</v>
      </c>
      <c r="T10" s="54">
        <f aca="true" t="shared" si="12" ref="T10:T19">R10/0.089</f>
        <v>2.1348314606741576</v>
      </c>
    </row>
    <row r="11" spans="1:20" ht="12.75">
      <c r="A11" s="53">
        <v>10</v>
      </c>
      <c r="B11" s="53">
        <v>0.0923</v>
      </c>
      <c r="C11" s="54">
        <v>0.0452</v>
      </c>
      <c r="D11" s="58">
        <f t="shared" si="0"/>
        <v>28.249999999999996</v>
      </c>
      <c r="E11" s="58">
        <f t="shared" si="1"/>
        <v>46.12244897959184</v>
      </c>
      <c r="F11" s="58">
        <f t="shared" si="2"/>
        <v>0.5078651685393258</v>
      </c>
      <c r="G11" s="54">
        <f t="shared" si="3"/>
        <v>0.0346125</v>
      </c>
      <c r="H11" s="54">
        <f t="shared" si="4"/>
        <v>21.632812499999996</v>
      </c>
      <c r="I11" s="54">
        <f t="shared" si="5"/>
        <v>35.31887755102041</v>
      </c>
      <c r="J11" s="54">
        <f t="shared" si="6"/>
        <v>0.38890449438202246</v>
      </c>
      <c r="K11" s="54">
        <f t="shared" si="7"/>
        <v>0.00904</v>
      </c>
      <c r="L11" s="54">
        <f t="shared" si="8"/>
        <v>5.6499999999999995</v>
      </c>
      <c r="M11" s="54">
        <f t="shared" si="9"/>
        <v>0.9224489795918367</v>
      </c>
      <c r="N11" s="54">
        <f t="shared" si="10"/>
        <v>0.10157303370786516</v>
      </c>
      <c r="P11" s="53">
        <v>100</v>
      </c>
      <c r="Q11" s="53">
        <v>0.09</v>
      </c>
      <c r="R11" s="53">
        <v>0.0367</v>
      </c>
      <c r="S11" s="54">
        <f t="shared" si="11"/>
        <v>22.9375</v>
      </c>
      <c r="T11" s="54">
        <f t="shared" si="12"/>
        <v>0.4123595505617978</v>
      </c>
    </row>
    <row r="12" spans="1:20" ht="12.75">
      <c r="A12" s="53">
        <v>20</v>
      </c>
      <c r="B12" s="53">
        <v>0.0437</v>
      </c>
      <c r="C12" s="54">
        <v>0.0214</v>
      </c>
      <c r="D12" s="58">
        <f t="shared" si="0"/>
        <v>13.374999999999998</v>
      </c>
      <c r="E12" s="58">
        <f t="shared" si="1"/>
        <v>21.83673469387755</v>
      </c>
      <c r="F12" s="58">
        <f t="shared" si="2"/>
        <v>0.24044943820224718</v>
      </c>
      <c r="G12" s="54">
        <f t="shared" si="3"/>
        <v>0.0163875</v>
      </c>
      <c r="H12" s="54">
        <f t="shared" si="4"/>
        <v>10.242187499999998</v>
      </c>
      <c r="I12" s="54">
        <f t="shared" si="5"/>
        <v>16.721938775510203</v>
      </c>
      <c r="J12" s="54">
        <f t="shared" si="6"/>
        <v>0.18412921348314606</v>
      </c>
      <c r="K12" s="54">
        <f t="shared" si="7"/>
        <v>0.00428</v>
      </c>
      <c r="L12" s="54">
        <f t="shared" si="8"/>
        <v>2.675</v>
      </c>
      <c r="M12" s="54">
        <f t="shared" si="9"/>
        <v>0.43673469387755104</v>
      </c>
      <c r="N12" s="54">
        <f t="shared" si="10"/>
        <v>0.04808988764044944</v>
      </c>
      <c r="P12" s="53">
        <v>200</v>
      </c>
      <c r="Q12" s="53">
        <v>0.047</v>
      </c>
      <c r="R12" s="53">
        <v>0.176</v>
      </c>
      <c r="S12" s="54">
        <f t="shared" si="11"/>
        <v>109.99999999999999</v>
      </c>
      <c r="T12" s="54">
        <f t="shared" si="12"/>
        <v>1.9775280898876404</v>
      </c>
    </row>
    <row r="13" spans="1:20" ht="12.75">
      <c r="A13" s="53">
        <v>30</v>
      </c>
      <c r="B13" s="53">
        <v>0.0291</v>
      </c>
      <c r="C13" s="54">
        <v>0.0143</v>
      </c>
      <c r="D13" s="58">
        <f t="shared" si="0"/>
        <v>8.9375</v>
      </c>
      <c r="E13" s="58">
        <f t="shared" si="1"/>
        <v>14.591836734693878</v>
      </c>
      <c r="F13" s="58">
        <f t="shared" si="2"/>
        <v>0.16067415730337078</v>
      </c>
      <c r="G13" s="54">
        <f t="shared" si="3"/>
        <v>0.0109125</v>
      </c>
      <c r="H13" s="54">
        <f t="shared" si="4"/>
        <v>6.8203125</v>
      </c>
      <c r="I13" s="54">
        <f t="shared" si="5"/>
        <v>11.135204081632654</v>
      </c>
      <c r="J13" s="54">
        <f t="shared" si="6"/>
        <v>0.12261235955056181</v>
      </c>
      <c r="K13" s="54">
        <f t="shared" si="7"/>
        <v>0.00286</v>
      </c>
      <c r="L13" s="54">
        <f t="shared" si="8"/>
        <v>1.7875</v>
      </c>
      <c r="M13" s="54">
        <f t="shared" si="9"/>
        <v>0.29183673469387755</v>
      </c>
      <c r="N13" s="54">
        <f t="shared" si="10"/>
        <v>0.03213483146067416</v>
      </c>
      <c r="P13" s="53">
        <v>300</v>
      </c>
      <c r="Q13" s="53">
        <v>0.0312</v>
      </c>
      <c r="R13" s="53">
        <v>0.117</v>
      </c>
      <c r="S13" s="54">
        <f t="shared" si="11"/>
        <v>73.125</v>
      </c>
      <c r="T13" s="54">
        <f t="shared" si="12"/>
        <v>1.3146067415730338</v>
      </c>
    </row>
    <row r="14" spans="1:20" ht="12.75">
      <c r="A14" s="53">
        <v>40</v>
      </c>
      <c r="B14" s="53">
        <v>0.0218</v>
      </c>
      <c r="C14" s="54">
        <v>0.0107</v>
      </c>
      <c r="D14" s="58">
        <f t="shared" si="0"/>
        <v>6.687499999999999</v>
      </c>
      <c r="E14" s="58">
        <f t="shared" si="1"/>
        <v>10.918367346938775</v>
      </c>
      <c r="F14" s="58">
        <f t="shared" si="2"/>
        <v>0.12022471910112359</v>
      </c>
      <c r="G14" s="54">
        <f t="shared" si="3"/>
        <v>0.008175</v>
      </c>
      <c r="H14" s="54">
        <f t="shared" si="4"/>
        <v>5.109375</v>
      </c>
      <c r="I14" s="54">
        <f t="shared" si="5"/>
        <v>8.341836734693878</v>
      </c>
      <c r="J14" s="54">
        <f t="shared" si="6"/>
        <v>0.09185393258426967</v>
      </c>
      <c r="K14" s="54">
        <f t="shared" si="7"/>
        <v>0.00214</v>
      </c>
      <c r="L14" s="54">
        <f t="shared" si="8"/>
        <v>1.3375</v>
      </c>
      <c r="M14" s="54">
        <f t="shared" si="9"/>
        <v>0.21836734693877552</v>
      </c>
      <c r="N14" s="54">
        <f t="shared" si="10"/>
        <v>0.02404494382022472</v>
      </c>
      <c r="P14" s="53">
        <v>400</v>
      </c>
      <c r="Q14" s="53">
        <v>0.0234</v>
      </c>
      <c r="R14" s="53">
        <v>0.0088</v>
      </c>
      <c r="S14" s="54">
        <f t="shared" si="11"/>
        <v>5.5</v>
      </c>
      <c r="T14" s="54">
        <f t="shared" si="12"/>
        <v>0.09887640449438204</v>
      </c>
    </row>
    <row r="15" spans="1:20" ht="12.75">
      <c r="A15" s="53">
        <v>50</v>
      </c>
      <c r="B15" s="53">
        <v>0.0177</v>
      </c>
      <c r="C15" s="54">
        <v>0.0087</v>
      </c>
      <c r="D15" s="58">
        <f t="shared" si="0"/>
        <v>5.437499999999999</v>
      </c>
      <c r="E15" s="58">
        <f t="shared" si="1"/>
        <v>8.877551020408163</v>
      </c>
      <c r="F15" s="58">
        <f t="shared" si="2"/>
        <v>0.09775280898876404</v>
      </c>
      <c r="G15" s="54">
        <f t="shared" si="3"/>
        <v>0.0066375</v>
      </c>
      <c r="H15" s="54">
        <f t="shared" si="4"/>
        <v>4.1484375</v>
      </c>
      <c r="I15" s="54">
        <f t="shared" si="5"/>
        <v>6.7729591836734695</v>
      </c>
      <c r="J15" s="54">
        <f t="shared" si="6"/>
        <v>0.07457865168539327</v>
      </c>
      <c r="K15" s="54">
        <f t="shared" si="7"/>
        <v>0.00174</v>
      </c>
      <c r="L15" s="54">
        <f t="shared" si="8"/>
        <v>1.0875</v>
      </c>
      <c r="M15" s="54">
        <f t="shared" si="9"/>
        <v>0.17755102040816328</v>
      </c>
      <c r="N15" s="54">
        <f t="shared" si="10"/>
        <v>0.01955056179775281</v>
      </c>
      <c r="P15" s="53">
        <v>500</v>
      </c>
      <c r="Q15" s="53">
        <v>0.0192</v>
      </c>
      <c r="R15" s="53">
        <v>0.0072</v>
      </c>
      <c r="S15" s="54">
        <f t="shared" si="11"/>
        <v>4.5</v>
      </c>
      <c r="T15" s="54">
        <f t="shared" si="12"/>
        <v>0.08089887640449438</v>
      </c>
    </row>
    <row r="16" spans="1:20" ht="12.75">
      <c r="A16" s="53">
        <v>60</v>
      </c>
      <c r="B16" s="53">
        <v>0.0149</v>
      </c>
      <c r="C16" s="54">
        <v>0.0073</v>
      </c>
      <c r="D16" s="58">
        <f t="shared" si="0"/>
        <v>4.5625</v>
      </c>
      <c r="E16" s="58">
        <f t="shared" si="1"/>
        <v>7.448979591836735</v>
      </c>
      <c r="F16" s="58">
        <f t="shared" si="2"/>
        <v>0.08202247191011236</v>
      </c>
      <c r="G16" s="54">
        <f t="shared" si="3"/>
        <v>0.0055875000000000005</v>
      </c>
      <c r="H16" s="54">
        <f t="shared" si="4"/>
        <v>3.4921875</v>
      </c>
      <c r="I16" s="54">
        <f t="shared" si="5"/>
        <v>5.701530612244898</v>
      </c>
      <c r="J16" s="54">
        <f t="shared" si="6"/>
        <v>0.0627808988764045</v>
      </c>
      <c r="K16" s="54">
        <f t="shared" si="7"/>
        <v>0.0014600000000000001</v>
      </c>
      <c r="L16" s="54">
        <f t="shared" si="8"/>
        <v>0.9125000000000001</v>
      </c>
      <c r="M16" s="54">
        <f t="shared" si="9"/>
        <v>0.1489795918367347</v>
      </c>
      <c r="N16" s="54">
        <f t="shared" si="10"/>
        <v>0.016404494382022475</v>
      </c>
      <c r="P16" s="53">
        <v>600</v>
      </c>
      <c r="Q16" s="53">
        <v>0.0164</v>
      </c>
      <c r="R16" s="53">
        <v>0.0062</v>
      </c>
      <c r="S16" s="54">
        <f t="shared" si="11"/>
        <v>3.8749999999999996</v>
      </c>
      <c r="T16" s="54">
        <f t="shared" si="12"/>
        <v>0.0696629213483146</v>
      </c>
    </row>
    <row r="17" spans="1:20" ht="12.75">
      <c r="A17" s="53">
        <v>70</v>
      </c>
      <c r="B17" s="53">
        <v>0.013</v>
      </c>
      <c r="C17" s="54">
        <v>0.0064</v>
      </c>
      <c r="D17" s="58">
        <f t="shared" si="0"/>
        <v>4</v>
      </c>
      <c r="E17" s="58">
        <f t="shared" si="1"/>
        <v>6.530612244897959</v>
      </c>
      <c r="F17" s="58">
        <f t="shared" si="2"/>
        <v>0.07191011235955057</v>
      </c>
      <c r="G17" s="54">
        <f t="shared" si="3"/>
        <v>0.004875</v>
      </c>
      <c r="H17" s="54">
        <f t="shared" si="4"/>
        <v>3.046875</v>
      </c>
      <c r="I17" s="54">
        <f t="shared" si="5"/>
        <v>4.974489795918368</v>
      </c>
      <c r="J17" s="54">
        <f t="shared" si="6"/>
        <v>0.054775280898876406</v>
      </c>
      <c r="K17" s="54">
        <f t="shared" si="7"/>
        <v>0.00128</v>
      </c>
      <c r="L17" s="54">
        <f t="shared" si="8"/>
        <v>0.8</v>
      </c>
      <c r="M17" s="54">
        <f t="shared" si="9"/>
        <v>0.1306122448979592</v>
      </c>
      <c r="N17" s="54">
        <f t="shared" si="10"/>
        <v>0.014382022471910115</v>
      </c>
      <c r="P17" s="53">
        <v>700</v>
      </c>
      <c r="Q17" s="53">
        <v>0.0146</v>
      </c>
      <c r="R17" s="53">
        <v>0.0055</v>
      </c>
      <c r="S17" s="54">
        <f t="shared" si="11"/>
        <v>3.4374999999999996</v>
      </c>
      <c r="T17" s="54">
        <f t="shared" si="12"/>
        <v>0.06179775280898876</v>
      </c>
    </row>
    <row r="18" spans="1:20" ht="12.75">
      <c r="A18" s="53">
        <v>80</v>
      </c>
      <c r="B18" s="53">
        <v>0.0115</v>
      </c>
      <c r="C18" s="54">
        <v>0.0057</v>
      </c>
      <c r="D18" s="58">
        <f t="shared" si="0"/>
        <v>3.5625</v>
      </c>
      <c r="E18" s="58">
        <f t="shared" si="1"/>
        <v>5.816326530612245</v>
      </c>
      <c r="F18" s="58">
        <f t="shared" si="2"/>
        <v>0.06404494382022473</v>
      </c>
      <c r="G18" s="54">
        <f t="shared" si="3"/>
        <v>0.0043125</v>
      </c>
      <c r="H18" s="54">
        <f t="shared" si="4"/>
        <v>2.6953125</v>
      </c>
      <c r="I18" s="54">
        <f t="shared" si="5"/>
        <v>4.400510204081633</v>
      </c>
      <c r="J18" s="54">
        <f t="shared" si="6"/>
        <v>0.04845505617977529</v>
      </c>
      <c r="K18" s="54">
        <f t="shared" si="7"/>
        <v>0.0011400000000000002</v>
      </c>
      <c r="L18" s="54">
        <f t="shared" si="8"/>
        <v>0.7125</v>
      </c>
      <c r="M18" s="54">
        <f t="shared" si="9"/>
        <v>0.11632653061224492</v>
      </c>
      <c r="N18" s="54">
        <f t="shared" si="10"/>
        <v>0.012808988764044946</v>
      </c>
      <c r="P18" s="53">
        <v>800</v>
      </c>
      <c r="Q18" s="53">
        <v>0.0124</v>
      </c>
      <c r="R18" s="53">
        <v>0.005</v>
      </c>
      <c r="S18" s="54">
        <f t="shared" si="11"/>
        <v>3.125</v>
      </c>
      <c r="T18" s="54">
        <f t="shared" si="12"/>
        <v>0.05617977528089888</v>
      </c>
    </row>
    <row r="19" spans="1:20" ht="12.75">
      <c r="A19" s="53">
        <v>90</v>
      </c>
      <c r="B19" s="53">
        <v>0.0104</v>
      </c>
      <c r="C19" s="54">
        <v>0.0051</v>
      </c>
      <c r="D19" s="58">
        <f t="shared" si="0"/>
        <v>3.1875</v>
      </c>
      <c r="E19" s="58">
        <f t="shared" si="1"/>
        <v>5.204081632653062</v>
      </c>
      <c r="F19" s="58">
        <f t="shared" si="2"/>
        <v>0.05730337078651686</v>
      </c>
      <c r="G19" s="54">
        <f t="shared" si="3"/>
        <v>0.0039</v>
      </c>
      <c r="H19" s="54">
        <f t="shared" si="4"/>
        <v>2.4374999999999996</v>
      </c>
      <c r="I19" s="54">
        <f t="shared" si="5"/>
        <v>3.9795918367346936</v>
      </c>
      <c r="J19" s="54">
        <f t="shared" si="6"/>
        <v>0.043820224719101124</v>
      </c>
      <c r="K19" s="54">
        <f t="shared" si="7"/>
        <v>0.00102</v>
      </c>
      <c r="L19" s="54">
        <f t="shared" si="8"/>
        <v>0.6375000000000001</v>
      </c>
      <c r="M19" s="54">
        <f t="shared" si="9"/>
        <v>0.10408163265306124</v>
      </c>
      <c r="N19" s="54">
        <f t="shared" si="10"/>
        <v>0.011460674157303372</v>
      </c>
      <c r="P19" s="53">
        <v>900</v>
      </c>
      <c r="Q19" s="53">
        <v>0.133</v>
      </c>
      <c r="R19" s="53">
        <v>0.0046</v>
      </c>
      <c r="S19" s="54">
        <f t="shared" si="11"/>
        <v>2.875</v>
      </c>
      <c r="T19" s="54">
        <f t="shared" si="12"/>
        <v>0.05168539325842697</v>
      </c>
    </row>
    <row r="20" spans="1:18" ht="12.75">
      <c r="A20" s="53">
        <v>100</v>
      </c>
      <c r="B20" s="53">
        <v>0.0095</v>
      </c>
      <c r="C20" s="54">
        <v>0.0046</v>
      </c>
      <c r="D20" s="58">
        <f t="shared" si="0"/>
        <v>2.875</v>
      </c>
      <c r="E20" s="58">
        <f t="shared" si="1"/>
        <v>4.6938775510204085</v>
      </c>
      <c r="F20" s="58">
        <f t="shared" si="2"/>
        <v>0.05168539325842697</v>
      </c>
      <c r="G20" s="54">
        <f t="shared" si="3"/>
        <v>0.0035624999999999997</v>
      </c>
      <c r="H20" s="54">
        <f t="shared" si="4"/>
        <v>2.2265624999999996</v>
      </c>
      <c r="I20" s="54">
        <f t="shared" si="5"/>
        <v>3.635204081632653</v>
      </c>
      <c r="J20" s="54">
        <f t="shared" si="6"/>
        <v>0.04002808988764045</v>
      </c>
      <c r="K20" s="54">
        <f t="shared" si="7"/>
        <v>0.00092</v>
      </c>
      <c r="L20" s="54">
        <f t="shared" si="8"/>
        <v>0.575</v>
      </c>
      <c r="M20" s="54">
        <f t="shared" si="9"/>
        <v>0.09387755102040816</v>
      </c>
      <c r="N20" s="54">
        <f t="shared" si="10"/>
        <v>0.010337078651685394</v>
      </c>
      <c r="P20" s="53">
        <v>1000</v>
      </c>
      <c r="Q20" s="110" t="s">
        <v>65</v>
      </c>
      <c r="R20" s="110"/>
    </row>
    <row r="21" spans="1:14" ht="12.75">
      <c r="A21" s="53">
        <v>150</v>
      </c>
      <c r="B21" s="53">
        <v>0.0066</v>
      </c>
      <c r="C21" s="54">
        <v>0.0032</v>
      </c>
      <c r="D21" s="58">
        <f t="shared" si="0"/>
        <v>2</v>
      </c>
      <c r="E21" s="58">
        <f t="shared" si="1"/>
        <v>3.2653061224489797</v>
      </c>
      <c r="F21" s="58">
        <f t="shared" si="2"/>
        <v>0.035955056179775284</v>
      </c>
      <c r="G21" s="54">
        <f t="shared" si="3"/>
        <v>0.0024749999999999998</v>
      </c>
      <c r="H21" s="54">
        <f t="shared" si="4"/>
        <v>1.5468749999999998</v>
      </c>
      <c r="I21" s="54">
        <f t="shared" si="5"/>
        <v>2.5255102040816326</v>
      </c>
      <c r="J21" s="54">
        <f t="shared" si="6"/>
        <v>0.02780898876404494</v>
      </c>
      <c r="K21" s="54">
        <f t="shared" si="7"/>
        <v>0.00064</v>
      </c>
      <c r="L21" s="54">
        <f t="shared" si="8"/>
        <v>0.4</v>
      </c>
      <c r="M21" s="54">
        <f t="shared" si="9"/>
        <v>0.0653061224489796</v>
      </c>
      <c r="N21" s="54">
        <f t="shared" si="10"/>
        <v>0.007191011235955057</v>
      </c>
    </row>
    <row r="22" spans="1:14" ht="12.75">
      <c r="A22" s="53">
        <v>200</v>
      </c>
      <c r="B22" s="53">
        <v>0.0051</v>
      </c>
      <c r="C22" s="54">
        <v>0.0025</v>
      </c>
      <c r="D22" s="58">
        <f t="shared" si="0"/>
        <v>1.5625</v>
      </c>
      <c r="E22" s="58">
        <f t="shared" si="1"/>
        <v>2.5510204081632653</v>
      </c>
      <c r="F22" s="58">
        <f t="shared" si="2"/>
        <v>0.02808988764044944</v>
      </c>
      <c r="G22" s="54">
        <f t="shared" si="3"/>
        <v>0.0019125000000000001</v>
      </c>
      <c r="H22" s="54">
        <f t="shared" si="4"/>
        <v>1.1953125</v>
      </c>
      <c r="I22" s="54">
        <f t="shared" si="5"/>
        <v>1.951530612244898</v>
      </c>
      <c r="J22" s="54">
        <f t="shared" si="6"/>
        <v>0.021488764044943823</v>
      </c>
      <c r="K22" s="54">
        <f t="shared" si="7"/>
        <v>0.0005</v>
      </c>
      <c r="L22" s="54">
        <f t="shared" si="8"/>
        <v>0.3125</v>
      </c>
      <c r="M22" s="54">
        <f t="shared" si="9"/>
        <v>0.05102040816326531</v>
      </c>
      <c r="N22" s="54">
        <f t="shared" si="10"/>
        <v>0.005617977528089888</v>
      </c>
    </row>
    <row r="23" spans="1:14" ht="12.75">
      <c r="A23" s="53">
        <v>250</v>
      </c>
      <c r="B23" s="53">
        <v>0.0042</v>
      </c>
      <c r="C23" s="54">
        <v>0.002</v>
      </c>
      <c r="D23" s="58">
        <f t="shared" si="0"/>
        <v>1.25</v>
      </c>
      <c r="E23" s="58">
        <f t="shared" si="1"/>
        <v>2.0408163265306123</v>
      </c>
      <c r="F23" s="58">
        <f t="shared" si="2"/>
        <v>0.022471910112359553</v>
      </c>
      <c r="G23" s="54">
        <f t="shared" si="3"/>
        <v>0.001575</v>
      </c>
      <c r="H23" s="54">
        <f t="shared" si="4"/>
        <v>0.984375</v>
      </c>
      <c r="I23" s="54">
        <f t="shared" si="5"/>
        <v>1.6071428571428572</v>
      </c>
      <c r="J23" s="54">
        <f t="shared" si="6"/>
        <v>0.017696629213483146</v>
      </c>
      <c r="K23" s="54">
        <f t="shared" si="7"/>
        <v>0.0004</v>
      </c>
      <c r="L23" s="54">
        <f t="shared" si="8"/>
        <v>0.25</v>
      </c>
      <c r="M23" s="54">
        <f t="shared" si="9"/>
        <v>0.04081632653061225</v>
      </c>
      <c r="N23" s="54">
        <f t="shared" si="10"/>
        <v>0.0044943820224719105</v>
      </c>
    </row>
    <row r="24" spans="1:14" ht="12.75">
      <c r="A24" s="53">
        <v>300</v>
      </c>
      <c r="B24" s="53">
        <v>0.0035</v>
      </c>
      <c r="C24" s="54">
        <v>0.0017</v>
      </c>
      <c r="D24" s="58">
        <f t="shared" si="0"/>
        <v>1.0625</v>
      </c>
      <c r="E24" s="58">
        <f t="shared" si="1"/>
        <v>1.7346938775510203</v>
      </c>
      <c r="F24" s="58">
        <f t="shared" si="2"/>
        <v>0.019101123595505618</v>
      </c>
      <c r="G24" s="54">
        <f t="shared" si="3"/>
        <v>0.0013125</v>
      </c>
      <c r="H24" s="54">
        <f t="shared" si="4"/>
        <v>0.8203125</v>
      </c>
      <c r="I24" s="54">
        <f t="shared" si="5"/>
        <v>1.3392857142857144</v>
      </c>
      <c r="J24" s="54">
        <f t="shared" si="6"/>
        <v>0.014747191011235956</v>
      </c>
      <c r="K24" s="54">
        <f t="shared" si="7"/>
        <v>0.00034</v>
      </c>
      <c r="L24" s="54">
        <f t="shared" si="8"/>
        <v>0.2125</v>
      </c>
      <c r="M24" s="54">
        <f t="shared" si="9"/>
        <v>0.034693877551020415</v>
      </c>
      <c r="N24" s="54">
        <f t="shared" si="10"/>
        <v>0.0038202247191011242</v>
      </c>
    </row>
    <row r="25" spans="1:14" ht="12.75">
      <c r="A25" s="53">
        <v>350</v>
      </c>
      <c r="B25" s="53">
        <v>0.003</v>
      </c>
      <c r="C25" s="54">
        <v>0.0015</v>
      </c>
      <c r="D25" s="58">
        <f t="shared" si="0"/>
        <v>0.9375</v>
      </c>
      <c r="E25" s="58">
        <f t="shared" si="1"/>
        <v>1.5306122448979593</v>
      </c>
      <c r="F25" s="58">
        <f t="shared" si="2"/>
        <v>0.016853932584269662</v>
      </c>
      <c r="G25" s="54">
        <f t="shared" si="3"/>
        <v>0.0011250000000000001</v>
      </c>
      <c r="H25" s="54">
        <f t="shared" si="4"/>
        <v>0.703125</v>
      </c>
      <c r="I25" s="54">
        <f t="shared" si="5"/>
        <v>1.1479591836734695</v>
      </c>
      <c r="J25" s="54">
        <f t="shared" si="6"/>
        <v>0.012640449438202249</v>
      </c>
      <c r="K25" s="54">
        <f t="shared" si="7"/>
        <v>0.00030000000000000003</v>
      </c>
      <c r="L25" s="54">
        <f t="shared" si="8"/>
        <v>0.1875</v>
      </c>
      <c r="M25" s="54">
        <f t="shared" si="9"/>
        <v>0.030612244897959186</v>
      </c>
      <c r="N25" s="54">
        <f t="shared" si="10"/>
        <v>0.003370786516853933</v>
      </c>
    </row>
    <row r="26" spans="1:14" ht="12.75">
      <c r="A26" s="53">
        <v>400</v>
      </c>
      <c r="B26" s="53">
        <v>0.0026</v>
      </c>
      <c r="C26" s="54">
        <v>0.0012</v>
      </c>
      <c r="D26" s="58">
        <f t="shared" si="0"/>
        <v>0.7499999999999999</v>
      </c>
      <c r="E26" s="58">
        <f t="shared" si="1"/>
        <v>1.2244897959183674</v>
      </c>
      <c r="F26" s="58">
        <f t="shared" si="2"/>
        <v>0.01348314606741573</v>
      </c>
      <c r="G26" s="54">
        <f t="shared" si="3"/>
        <v>0.000975</v>
      </c>
      <c r="H26" s="54">
        <f t="shared" si="4"/>
        <v>0.6093749999999999</v>
      </c>
      <c r="I26" s="54">
        <f t="shared" si="5"/>
        <v>0.9948979591836734</v>
      </c>
      <c r="J26" s="54">
        <f t="shared" si="6"/>
        <v>0.010955056179775281</v>
      </c>
      <c r="K26" s="54">
        <f t="shared" si="7"/>
        <v>0.00023999999999999998</v>
      </c>
      <c r="L26" s="54">
        <f t="shared" si="8"/>
        <v>0.14999999999999997</v>
      </c>
      <c r="M26" s="54">
        <f t="shared" si="9"/>
        <v>0.024489795918367346</v>
      </c>
      <c r="N26" s="54">
        <f t="shared" si="10"/>
        <v>0.002696629213483146</v>
      </c>
    </row>
    <row r="27" spans="1:14" ht="12.75">
      <c r="A27" s="53">
        <v>450</v>
      </c>
      <c r="B27" s="53">
        <v>0.0023</v>
      </c>
      <c r="C27" s="54">
        <v>0.001</v>
      </c>
      <c r="D27" s="58">
        <f t="shared" si="0"/>
        <v>0.625</v>
      </c>
      <c r="E27" s="58">
        <f t="shared" si="1"/>
        <v>1.0204081632653061</v>
      </c>
      <c r="F27" s="58">
        <f t="shared" si="2"/>
        <v>0.011235955056179777</v>
      </c>
      <c r="G27" s="54">
        <f t="shared" si="3"/>
        <v>0.0008625</v>
      </c>
      <c r="H27" s="54">
        <f t="shared" si="4"/>
        <v>0.5390625</v>
      </c>
      <c r="I27" s="54">
        <f t="shared" si="5"/>
        <v>0.8801020408163266</v>
      </c>
      <c r="J27" s="54">
        <f t="shared" si="6"/>
        <v>0.009691011235955057</v>
      </c>
      <c r="K27" s="54">
        <f t="shared" si="7"/>
        <v>0.0002</v>
      </c>
      <c r="L27" s="54">
        <f t="shared" si="8"/>
        <v>0.125</v>
      </c>
      <c r="M27" s="54">
        <f t="shared" si="9"/>
        <v>0.020408163265306124</v>
      </c>
      <c r="N27" s="54">
        <f t="shared" si="10"/>
        <v>0.0022471910112359553</v>
      </c>
    </row>
    <row r="28" spans="1:14" ht="12.75">
      <c r="A28" s="53">
        <v>500</v>
      </c>
      <c r="B28" s="53">
        <v>0.0021</v>
      </c>
      <c r="C28" s="54">
        <v>0.001</v>
      </c>
      <c r="D28" s="58">
        <f t="shared" si="0"/>
        <v>0.625</v>
      </c>
      <c r="E28" s="58">
        <f t="shared" si="1"/>
        <v>1.0204081632653061</v>
      </c>
      <c r="F28" s="58">
        <f t="shared" si="2"/>
        <v>0.011235955056179777</v>
      </c>
      <c r="G28" s="54">
        <f t="shared" si="3"/>
        <v>0.0007875</v>
      </c>
      <c r="H28" s="54">
        <f t="shared" si="4"/>
        <v>0.4921875</v>
      </c>
      <c r="I28" s="54">
        <f t="shared" si="5"/>
        <v>0.8035714285714286</v>
      </c>
      <c r="J28" s="54">
        <f t="shared" si="6"/>
        <v>0.008848314606741573</v>
      </c>
      <c r="K28" s="54">
        <f t="shared" si="7"/>
        <v>0.0002</v>
      </c>
      <c r="L28" s="54">
        <f t="shared" si="8"/>
        <v>0.125</v>
      </c>
      <c r="M28" s="54">
        <f t="shared" si="9"/>
        <v>0.020408163265306124</v>
      </c>
      <c r="N28" s="54">
        <f t="shared" si="10"/>
        <v>0.0022471910112359553</v>
      </c>
    </row>
    <row r="29" spans="1:14" ht="12.75">
      <c r="A29" s="53">
        <v>550</v>
      </c>
      <c r="B29" s="53">
        <v>0.0019</v>
      </c>
      <c r="C29" s="54">
        <v>0.0009</v>
      </c>
      <c r="D29" s="58">
        <f t="shared" si="0"/>
        <v>0.5625</v>
      </c>
      <c r="E29" s="58">
        <f t="shared" si="1"/>
        <v>0.9183673469387755</v>
      </c>
      <c r="F29" s="58">
        <f t="shared" si="2"/>
        <v>0.010112359550561797</v>
      </c>
      <c r="G29" s="54">
        <f t="shared" si="3"/>
        <v>0.0007125</v>
      </c>
      <c r="H29" s="54">
        <f t="shared" si="4"/>
        <v>0.4453125</v>
      </c>
      <c r="I29" s="54">
        <f t="shared" si="5"/>
        <v>0.7270408163265306</v>
      </c>
      <c r="J29" s="54">
        <f t="shared" si="6"/>
        <v>0.008005617977528091</v>
      </c>
      <c r="K29" s="54">
        <f t="shared" si="7"/>
        <v>0.00018</v>
      </c>
      <c r="L29" s="54">
        <f t="shared" si="8"/>
        <v>0.1125</v>
      </c>
      <c r="M29" s="54">
        <f t="shared" si="9"/>
        <v>0.018367346938775512</v>
      </c>
      <c r="N29" s="54">
        <f t="shared" si="10"/>
        <v>0.0020224719101123597</v>
      </c>
    </row>
    <row r="30" spans="1:14" ht="12.75">
      <c r="A30" s="53">
        <v>600</v>
      </c>
      <c r="B30" s="53">
        <v>0.0017</v>
      </c>
      <c r="C30" s="54">
        <v>0.0008</v>
      </c>
      <c r="D30" s="58">
        <f t="shared" si="0"/>
        <v>0.5</v>
      </c>
      <c r="E30" s="58">
        <f t="shared" si="1"/>
        <v>0.8163265306122449</v>
      </c>
      <c r="F30" s="58">
        <f t="shared" si="2"/>
        <v>0.008988764044943821</v>
      </c>
      <c r="G30" s="54">
        <f t="shared" si="3"/>
        <v>0.0006374999999999999</v>
      </c>
      <c r="H30" s="54">
        <f t="shared" si="4"/>
        <v>0.39843749999999994</v>
      </c>
      <c r="I30" s="54">
        <f t="shared" si="5"/>
        <v>0.6505102040816326</v>
      </c>
      <c r="J30" s="54">
        <f t="shared" si="6"/>
        <v>0.007162921348314606</v>
      </c>
      <c r="K30" s="54">
        <f t="shared" si="7"/>
        <v>0.00016</v>
      </c>
      <c r="L30" s="54">
        <f t="shared" si="8"/>
        <v>0.1</v>
      </c>
      <c r="M30" s="54">
        <f t="shared" si="9"/>
        <v>0.0163265306122449</v>
      </c>
      <c r="N30" s="54">
        <f t="shared" si="10"/>
        <v>0.0017977528089887643</v>
      </c>
    </row>
  </sheetData>
  <mergeCells count="5">
    <mergeCell ref="Q20:R20"/>
    <mergeCell ref="P4:S4"/>
    <mergeCell ref="C8:F8"/>
    <mergeCell ref="G8:J8"/>
    <mergeCell ref="K8:N8"/>
  </mergeCells>
  <printOptions/>
  <pageMargins left="0.75" right="0.75" top="1" bottom="1" header="0.5" footer="0.5"/>
  <pageSetup horizontalDpi="300" verticalDpi="300" orientation="landscape" scale="32" r:id="rId1"/>
  <headerFooter alignWithMargins="0">
    <oddHeader>&amp;C&amp;A</oddHeader>
    <oddFooter>&amp;L&amp;F&amp;CD-&amp;P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Brown</dc:creator>
  <cp:keywords/>
  <dc:description/>
  <cp:lastModifiedBy>pdoellin</cp:lastModifiedBy>
  <cp:lastPrinted>2006-01-30T21:15:33Z</cp:lastPrinted>
  <dcterms:created xsi:type="dcterms:W3CDTF">2005-12-23T17:28:51Z</dcterms:created>
  <dcterms:modified xsi:type="dcterms:W3CDTF">2006-01-30T21:16:00Z</dcterms:modified>
  <cp:category/>
  <cp:version/>
  <cp:contentType/>
  <cp:contentStatus/>
</cp:coreProperties>
</file>