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465" tabRatio="869" activeTab="0"/>
  </bookViews>
  <sheets>
    <sheet name="Cover" sheetId="1" r:id="rId1"/>
    <sheet name="Roll-Up" sheetId="2" r:id="rId2"/>
    <sheet name="Andover" sheetId="3" r:id="rId3"/>
    <sheet name="Atlanta" sheetId="4" r:id="rId4"/>
    <sheet name="Austin" sheetId="5" r:id="rId5"/>
    <sheet name="Cincinnati" sheetId="6" r:id="rId6"/>
    <sheet name="Fresno" sheetId="7" r:id="rId7"/>
    <sheet name="KC" sheetId="8" r:id="rId8"/>
    <sheet name="Memphis" sheetId="9" r:id="rId9"/>
    <sheet name="Ogden" sheetId="10" r:id="rId10"/>
    <sheet name="Philadelphia" sheetId="11" r:id="rId11"/>
    <sheet name="CIS Workload" sheetId="12" r:id="rId12"/>
  </sheets>
  <definedNames>
    <definedName name="_xlnm.Print_Titles" localSheetId="2">'Andover'!$3:$6</definedName>
    <definedName name="_xlnm.Print_Titles" localSheetId="3">'Atlanta'!$3:$6</definedName>
    <definedName name="_xlnm.Print_Titles" localSheetId="4">'Austin'!$3:$6</definedName>
    <definedName name="_xlnm.Print_Titles" localSheetId="5">'Cincinnati'!$3:$6</definedName>
    <definedName name="_xlnm.Print_Titles" localSheetId="6">'Fresno'!$3:$6</definedName>
    <definedName name="_xlnm.Print_Titles" localSheetId="7">'KC'!$3:$6</definedName>
    <definedName name="_xlnm.Print_Titles" localSheetId="8">'Memphis'!$3:$8</definedName>
    <definedName name="_xlnm.Print_Titles" localSheetId="9">'Ogden'!$3:$6</definedName>
    <definedName name="_xlnm.Print_Titles" localSheetId="10">'Philadelphia'!$3:$6</definedName>
    <definedName name="_xlnm.Print_Titles" localSheetId="1">'Roll-Up'!$3:$6</definedName>
  </definedNames>
  <calcPr fullCalcOnLoad="1"/>
</workbook>
</file>

<file path=xl/sharedStrings.xml><?xml version="1.0" encoding="utf-8"?>
<sst xmlns="http://schemas.openxmlformats.org/spreadsheetml/2006/main" count="4745" uniqueCount="388">
  <si>
    <t>Paragraph Number</t>
  </si>
  <si>
    <t>Task</t>
  </si>
  <si>
    <t>Unit of Measure</t>
  </si>
  <si>
    <t>October</t>
  </si>
  <si>
    <t>November</t>
  </si>
  <si>
    <t>December</t>
  </si>
  <si>
    <t>January</t>
  </si>
  <si>
    <t>March</t>
  </si>
  <si>
    <t>February</t>
  </si>
  <si>
    <t>April</t>
  </si>
  <si>
    <t>May</t>
  </si>
  <si>
    <t>June</t>
  </si>
  <si>
    <t>July</t>
  </si>
  <si>
    <t>August</t>
  </si>
  <si>
    <t>September</t>
  </si>
  <si>
    <t>Comments</t>
  </si>
  <si>
    <t xml:space="preserve">Annual Total </t>
  </si>
  <si>
    <t>TECHNICAL EXHIBIT 5-001</t>
  </si>
  <si>
    <t>Receipt Verification</t>
  </si>
  <si>
    <t>Transport to File Storage</t>
  </si>
  <si>
    <t>General File Requests</t>
  </si>
  <si>
    <t>5.5.1</t>
  </si>
  <si>
    <t>AIMS</t>
  </si>
  <si>
    <t>5.5.2</t>
  </si>
  <si>
    <t>5.6.1</t>
  </si>
  <si>
    <t>5.7.1</t>
  </si>
  <si>
    <t>5.7.2</t>
  </si>
  <si>
    <t>Sorting and Sequencing of Work for NARA</t>
  </si>
  <si>
    <t>Processing of Undeliverables</t>
  </si>
  <si>
    <t>5.7.3</t>
  </si>
  <si>
    <t>Errors</t>
  </si>
  <si>
    <t>Missing Blocks</t>
  </si>
  <si>
    <t>Document Delivery</t>
  </si>
  <si>
    <t>Annual Retirement Estimate</t>
  </si>
  <si>
    <t>WORKLOAD - AUSTIN</t>
  </si>
  <si>
    <t>WORKLOAD - CINCINNATI</t>
  </si>
  <si>
    <t>WORKLOAD - FRESNO</t>
  </si>
  <si>
    <t>WORKLOAD - KANSAS CITY</t>
  </si>
  <si>
    <t>WORKLOAD - OGDEN</t>
  </si>
  <si>
    <t>WORKLOAD - PHILADELPHIA</t>
  </si>
  <si>
    <t>5.1 Work Management and Control</t>
  </si>
  <si>
    <t>5.1.3</t>
  </si>
  <si>
    <t>Discovered Remittance</t>
  </si>
  <si>
    <t># of discovered checks</t>
  </si>
  <si>
    <t># of reports</t>
  </si>
  <si>
    <t>Receipt of Incoming Mail</t>
  </si>
  <si>
    <t># of documents received</t>
  </si>
  <si>
    <t># of documents received - IMF Cycle Control Processing (includes returns, vouchers, reinputs, &amp; reprocessables)</t>
  </si>
  <si>
    <t># of documents received - BMF Cycle Control Processing (includes returns, vouchers, reinputs, &amp; reprocessables)</t>
  </si>
  <si>
    <t># of documents received - EOMF Cycle Control Processing (includes returns, vouchers, reinputs, &amp; reprocessables)</t>
  </si>
  <si>
    <t># of Forms 8038 received - Tax-Exempt Bonds Cycle Control Processing (includes returns, vouchers, reinputs, &amp; reprocessables)</t>
  </si>
  <si>
    <t># of Forms 8871/8872 received - Political Organization Returns Cycle Control Processing (includes returns, vouchers, reinputs, &amp; reprocessables)</t>
  </si>
  <si>
    <t># of documents transported</t>
  </si>
  <si>
    <t># of documents shelved</t>
  </si>
  <si>
    <t>OFP 310-0000X</t>
  </si>
  <si>
    <t>OFP 550-00800</t>
  </si>
  <si>
    <t># of NARA refiles</t>
  </si>
  <si>
    <t># of undeliverable notices</t>
  </si>
  <si>
    <t>ELF F.8453 Refiles - OFP 540-4290X</t>
  </si>
  <si>
    <t>N/A</t>
  </si>
  <si>
    <t>OFP 530-4290X</t>
  </si>
  <si>
    <t># of missing blocks</t>
  </si>
  <si>
    <t>NARA Report</t>
  </si>
  <si>
    <t>FRC Quarterly Report</t>
  </si>
  <si>
    <t xml:space="preserve">Daily </t>
  </si>
  <si>
    <t>No workload</t>
  </si>
  <si>
    <t>Request Receipt/Document Retrieval</t>
  </si>
  <si>
    <t># of documents sent - originals</t>
  </si>
  <si>
    <t># of documents sent - copies</t>
  </si>
  <si>
    <t>OFP 520-3751X</t>
  </si>
  <si>
    <t xml:space="preserve"># of NARA requests </t>
  </si>
  <si>
    <t xml:space="preserve"># of NARA reimbursable taxpayer requests </t>
  </si>
  <si>
    <t>OFP 520-3757X</t>
  </si>
  <si>
    <t>OFP 520-3400X</t>
  </si>
  <si>
    <t>Transaction Record Filing (IDRS Association)</t>
  </si>
  <si>
    <t># of documents received - K-1 Cycle Control Processing (includes returns, vouchers, reinputs, &amp; reprocessables)</t>
  </si>
  <si>
    <t># of estimates</t>
  </si>
  <si>
    <t># of boxes prepared/shipped</t>
  </si>
  <si>
    <t>Quarterly</t>
  </si>
  <si>
    <t>Weekly</t>
  </si>
  <si>
    <t>OFP 310-1000X &amp; 4000X</t>
  </si>
  <si>
    <t>WORKLOAD - ANDOVER</t>
  </si>
  <si>
    <t>WORKLOAD - ATLANTA</t>
  </si>
  <si>
    <t>OFP 530-0901X</t>
  </si>
  <si>
    <t>Ogden only - OFP 510-1601X.</t>
  </si>
  <si>
    <t>Ogden, Cincinnati, and Phil. Only - EONS OFP 510-44380</t>
  </si>
  <si>
    <t>OFP 530-1320X (Ogden only)</t>
  </si>
  <si>
    <t># of CPs requiring association (Forms 9856)</t>
  </si>
  <si>
    <t xml:space="preserve">OFP 510-1320X (Ogden only) </t>
  </si>
  <si>
    <t>OFP 520-4290X</t>
  </si>
  <si>
    <t>OFP 530-0000X, 520-3750X, 530-0901X, 530-4290X</t>
  </si>
  <si>
    <t>OFP 530-0000X, 520-3750X, 530-0901X</t>
  </si>
  <si>
    <t>OFP 530-0000X, 520-3750X, 530-0901X, 530-4290X, 520-3672X</t>
  </si>
  <si>
    <t>OFP 530-0000X, 520-3750X, 530-0901X, 530-4290X, 530-1320X</t>
  </si>
  <si>
    <t>OFP 520-3400X &amp; 520-3757X</t>
  </si>
  <si>
    <t>OFP 510, 520, 310, 550-00800</t>
  </si>
  <si>
    <t>OFP 520-36720 &amp; 36730</t>
  </si>
  <si>
    <t>OFP 530-85730 (Andover only)</t>
  </si>
  <si>
    <t>OFP 550-25000</t>
  </si>
  <si>
    <t># of documents with missing / erroneous DLNs</t>
  </si>
  <si>
    <t># of shipments / SF-135s</t>
  </si>
  <si>
    <t>ELF Cycle Returns, Requests, &amp; Refiles</t>
  </si>
  <si>
    <t>All other workload other than ELF</t>
  </si>
  <si>
    <t>Note: The above workload data is based on FY 2003 data.  The following year-over-year % increases and decreases of the above workload numbers for FYs 2005 through 2009 are as follows:</t>
  </si>
  <si>
    <t>K-1 Cycle Returns</t>
  </si>
  <si>
    <t>All other workload other than K-1 Cycle Returns</t>
  </si>
  <si>
    <t>OFP 590-36720</t>
  </si>
  <si>
    <t>OFP 590-2130X</t>
  </si>
  <si>
    <t>OFP 530-36720; 590-36720; &amp; 590-36730</t>
  </si>
  <si>
    <t>OFP 550-25000 &amp; 590-21300</t>
  </si>
  <si>
    <t>Listing Verification</t>
  </si>
  <si>
    <t>Missing and Additional Blocks</t>
  </si>
  <si>
    <t>Filing</t>
  </si>
  <si>
    <t>Loose Documents</t>
  </si>
  <si>
    <t>5.6.2</t>
  </si>
  <si>
    <t>5.6.3</t>
  </si>
  <si>
    <t>Research of Electronic Media</t>
  </si>
  <si>
    <t>Transaction Record Filing (IDRS Associations)</t>
  </si>
  <si>
    <t>5.8.1</t>
  </si>
  <si>
    <t>5.8.2</t>
  </si>
  <si>
    <t>5.8.3</t>
  </si>
  <si>
    <t>5.8.4</t>
  </si>
  <si>
    <t>Records Transmittal &amp; Receipt</t>
  </si>
  <si>
    <t>Preparing Documents for Transportation to NARA</t>
  </si>
  <si>
    <t># of SF 135s prepared</t>
  </si>
  <si>
    <t>CSED Program</t>
  </si>
  <si>
    <t>Refiling and Filing of Associations and Attachments</t>
  </si>
  <si>
    <t>Unique Associations</t>
  </si>
  <si>
    <t xml:space="preserve"># of requests for microfilm/CD/ microfiche research </t>
  </si>
  <si>
    <t>Location</t>
  </si>
  <si>
    <t xml:space="preserve">Annual Volume </t>
  </si>
  <si>
    <t>Andover</t>
  </si>
  <si>
    <t>x</t>
  </si>
  <si>
    <t>Briefing data for CY 2002</t>
  </si>
  <si>
    <t>4% of pulls from Files</t>
  </si>
  <si>
    <t>Atlanta</t>
  </si>
  <si>
    <t>Austin</t>
  </si>
  <si>
    <t>Cincinnati</t>
  </si>
  <si>
    <t>Fresno</t>
  </si>
  <si>
    <t>KC</t>
  </si>
  <si>
    <t>Memphis</t>
  </si>
  <si>
    <t>Ogden</t>
  </si>
  <si>
    <t>Philadelphia</t>
  </si>
  <si>
    <t>All other workload other than K-1 &amp; BMF Cycle Returns</t>
  </si>
  <si>
    <t># of documents received - ELF Cycle Control Processing (Forms 8453)</t>
  </si>
  <si>
    <t>Political Organization Cycle Returns</t>
  </si>
  <si>
    <t>All other workload other than K-1, EOMF, TE Bond, &amp; Polit Org Cycle Returns</t>
  </si>
  <si>
    <t>EOMF &amp; TE Bonds Cycle Returns</t>
  </si>
  <si>
    <t>Weekly Production Report</t>
  </si>
  <si>
    <t>Receipt of List</t>
  </si>
  <si>
    <t xml:space="preserve"># of photocopy requests </t>
  </si>
  <si>
    <t>Remittance Search</t>
  </si>
  <si>
    <t># of refiles researched in IDRS due to problems (unreadable/duplicate DLNs, BNIF, etc.)</t>
  </si>
  <si>
    <t>OFP Code</t>
  </si>
  <si>
    <t xml:space="preserve"># of AIMS requests </t>
  </si>
  <si>
    <t>530-00000</t>
  </si>
  <si>
    <t>310-00000</t>
  </si>
  <si>
    <t>510-00000</t>
  </si>
  <si>
    <t>520-37500</t>
  </si>
  <si>
    <t>3 months prior to first shipment of CY</t>
  </si>
  <si>
    <t># of IDRS Form 5147 receipts-Run 1821</t>
  </si>
  <si>
    <t># of IDRS Form 5147 receipts-Run 2021</t>
  </si>
  <si>
    <t>Source: Record of Discovered Remittance Log (Forms 4287).</t>
  </si>
  <si>
    <t>Source: Record of Discovered Remittance Log (Forms 4287)</t>
  </si>
  <si>
    <t>WORKLOAD</t>
  </si>
  <si>
    <t>See separate tab for CIS workload</t>
  </si>
  <si>
    <t>Correspondence Imaging System Requests</t>
  </si>
  <si>
    <t># of CIS requests</t>
  </si>
  <si>
    <t xml:space="preserve">Source: Missing Block Report </t>
  </si>
  <si>
    <t>Source: Missing Block Report</t>
  </si>
  <si>
    <t>included in IMF count above</t>
  </si>
  <si>
    <t xml:space="preserve"># of loose documents </t>
  </si>
  <si>
    <t>Volume is counted in Para 5.5.4, # of refiles researched in IDRS</t>
  </si>
  <si>
    <t xml:space="preserve"># of remittance search requests  </t>
  </si>
  <si>
    <t>see comment</t>
  </si>
  <si>
    <t>OFP 540-44380 (Ogden &amp; Cinci only)</t>
  </si>
  <si>
    <t>OFP 530-36720 (Cinci &amp; Brookhaven only), OFP 520-36720 (Austin only)</t>
  </si>
  <si>
    <t>OFP 530-0901X (QRP pulls no longer done in Cinci)</t>
  </si>
  <si>
    <t>OFP 530-0901X (QRP pulls no longer done in Ogden)</t>
  </si>
  <si>
    <t>Preparation for Destruction</t>
  </si>
  <si>
    <t>Annual Count</t>
  </si>
  <si>
    <t># of requests not counted in lines below</t>
  </si>
  <si>
    <t># of ELF 8453 requests</t>
  </si>
  <si>
    <t># of QRP requests</t>
  </si>
  <si>
    <t># of EO bond requests</t>
  </si>
  <si>
    <t># of PRP requests</t>
  </si>
  <si>
    <t># of Tax Relief requests</t>
  </si>
  <si>
    <t># of SOI requests</t>
  </si>
  <si>
    <t>Source: Local site records.  (Converted box count to a doc count using estimate of 500 docs per box for all entries except the extension of time forms, where the estimate was 1000 docs per box.)</t>
  </si>
  <si>
    <t>No data available</t>
  </si>
  <si>
    <t xml:space="preserve">Source: SF 135 </t>
  </si>
  <si>
    <t>OFP 510-00009.  Note:  a block is 100 or fewer documents.</t>
  </si>
  <si>
    <t>OFP 510-4290X.  Note:  a block is 100 or fewer documents.</t>
  </si>
  <si>
    <t>OFP 510-1320X (Ogden only).  Note:  a block is 100 or fewer documents.</t>
  </si>
  <si>
    <t>Ogden only - OFP 510-1601X.  Note:  a block is 100 or fewer documents.</t>
  </si>
  <si>
    <t>Ogden, Cincinnati, and Phil. Only - EONS OFP 510-44380.  Note:  a block is 100 or fewer documents.</t>
  </si>
  <si>
    <t>OFP 510-00008.  Note:  a block is 100 or fewer documents.</t>
  </si>
  <si>
    <t xml:space="preserve">Ogden only - OFP 510-1601X.  </t>
  </si>
  <si>
    <t xml:space="preserve">Ogden, Cincinnati, and Phil. Only - EONS OFP 510-44380.  </t>
  </si>
  <si>
    <t xml:space="preserve">OFP 510-1320X (Ogden only).  </t>
  </si>
  <si>
    <t xml:space="preserve">Ogden only.  </t>
  </si>
  <si>
    <t>OFP 510-00002.  Note:  a block is 100 or fewer documents.</t>
  </si>
  <si>
    <t>OFP 510-00003.  Note:  a block is 100 or fewer documents.</t>
  </si>
  <si>
    <t>OFP 510-00006.  Note:  a block is 100 or fewer documents.</t>
  </si>
  <si>
    <t>OFP 540-0901X for QRDT/QRP; OFP 540-0000X for other expedite</t>
  </si>
  <si>
    <t># of expedite refiles (QRDT/QRP, Unpostable, Reject, ERS, &amp; Entity)</t>
  </si>
  <si>
    <t># of other refiles - misc.</t>
  </si>
  <si>
    <t xml:space="preserve"># of other refiles - ELF </t>
  </si>
  <si>
    <t xml:space="preserve"># of other refiles - K-1 </t>
  </si>
  <si>
    <t>OFP Code 540-0000X</t>
  </si>
  <si>
    <t>WORKLOAD - ALL LOCATIONS COMBINED</t>
  </si>
  <si>
    <t>OFP Code 530-0000X</t>
  </si>
  <si>
    <t>Ogden only.  OFP 510-00006.  Note:  a block is 100 or fewer documents.</t>
  </si>
  <si>
    <t>OFP 530-4290X or OFP 520-4290X</t>
  </si>
  <si>
    <t>OFP codes vary</t>
  </si>
  <si>
    <t>OFP 310-1000X &amp; (Andover only) 4000X</t>
  </si>
  <si>
    <t>Total</t>
  </si>
  <si>
    <t>OFP codes vary by site.  For Atlanta &amp; Phila., workload is included in IMF count above.  Note:  a block is 100 or fewer documents.</t>
  </si>
  <si>
    <t xml:space="preserve">OFP codes vary by site </t>
  </si>
  <si>
    <t>OFP codes vary by site</t>
  </si>
  <si>
    <t>Estimate: 1% of refiles</t>
  </si>
  <si>
    <t>IMF workload for Cinci is included in the BMF line below.</t>
  </si>
  <si>
    <t>OFP 510-00000; 00004; 00005.  Includes IMF documents.  Note:  a block is 100 or fewer documents.</t>
  </si>
  <si>
    <t xml:space="preserve"># of 5147s without source documents </t>
  </si>
  <si>
    <t># of 5147s associated with source documents</t>
  </si>
  <si>
    <t>WORKLOAD - CORRESPONDENCE IMAGING SYSTEM</t>
  </si>
  <si>
    <t># of refiles - IDRS associations</t>
  </si>
  <si>
    <t>Estimate of 250-350 per year.  Aberrations may occur.</t>
  </si>
  <si>
    <t>See *</t>
  </si>
  <si>
    <t>OFP 510, 520, 530, 550, 590</t>
  </si>
  <si>
    <t>OFP 510, 520, 530, 590</t>
  </si>
  <si>
    <t>OFP 510, 520, 590</t>
  </si>
  <si>
    <t>OFP 510, 520, 550</t>
  </si>
  <si>
    <t>OFP 510, 520, 550, 590</t>
  </si>
  <si>
    <t>OFP 510, 520</t>
  </si>
  <si>
    <t xml:space="preserve"># of microfilm requests for microfilm/CD/ microfiche research </t>
  </si>
  <si>
    <t>Paragraph to which Workload was Added</t>
  </si>
  <si>
    <t># of document requests pulled</t>
  </si>
  <si>
    <t># of CSED requests</t>
  </si>
  <si>
    <t>OFP 510-00001.  Note: workload for filing these documents is also included in Para 5.5.4 (refiling).</t>
  </si>
  <si>
    <t># of calls received</t>
  </si>
  <si>
    <t xml:space="preserve"># of CSED requests </t>
  </si>
  <si>
    <t>* Figures shown are based on 2003 data (1996 list year).  Projected workload was unavailable.  Until the 2002 list year, all Files sites handled both IMF and BMF processing.  The impact of the split between BMF (mainly at Cincinatti and Ogden) and IMF (all other locations) will thus not impact CSED workload until 2009.</t>
  </si>
  <si>
    <t>OFP 590-0000X</t>
  </si>
  <si>
    <t xml:space="preserve"># of extended searches </t>
  </si>
  <si>
    <t>5.2 Responding to Customer Inquiries</t>
  </si>
  <si>
    <t>Responding to Customer Inquiries</t>
  </si>
  <si>
    <t>5.3 Reporting Requirements</t>
  </si>
  <si>
    <t>5.3.1</t>
  </si>
  <si>
    <t>5.3.2</t>
  </si>
  <si>
    <t>5.3.3</t>
  </si>
  <si>
    <t>5.4 Receipt of Incoming Mail</t>
  </si>
  <si>
    <t>5.5 Initial File Receipt</t>
  </si>
  <si>
    <t>5.5.1.1</t>
  </si>
  <si>
    <t>5.5.1.2</t>
  </si>
  <si>
    <t>5.5.1.2 Subtotal</t>
  </si>
  <si>
    <t>5.5.1.3</t>
  </si>
  <si>
    <t>5.5.1.4</t>
  </si>
  <si>
    <t>5.6 Files Services</t>
  </si>
  <si>
    <t>5.6.3.1 / 5.6.3.2</t>
  </si>
  <si>
    <t>5.6.3.1/5.6.3.2 Subtotal</t>
  </si>
  <si>
    <t>5.6.3.3</t>
  </si>
  <si>
    <t>5.6.3.3 Subtotal</t>
  </si>
  <si>
    <t>5.6.4</t>
  </si>
  <si>
    <t>5.6.4 Subtotal</t>
  </si>
  <si>
    <t>5.6.5</t>
  </si>
  <si>
    <t>5.6.5 Subtotal</t>
  </si>
  <si>
    <t xml:space="preserve">5.7 Specific File Requests </t>
  </si>
  <si>
    <t>5.8 Other File Services</t>
  </si>
  <si>
    <t>5.8.3 Subtotal</t>
  </si>
  <si>
    <t>5.9 Retirement</t>
  </si>
  <si>
    <t>5.9.1</t>
  </si>
  <si>
    <t>5.9.2</t>
  </si>
  <si>
    <t>5.9.3</t>
  </si>
  <si>
    <t>5.9.4</t>
  </si>
  <si>
    <t>5.10 Preparation for Destruction</t>
  </si>
  <si>
    <t>5.11 CSED Program</t>
  </si>
  <si>
    <t>Subtotal of all 5.5.1.2 Listing Verification Lines</t>
  </si>
  <si>
    <t>Para 5.5.1.2 (OFP 510 Cycle) + Para 5.8.3 (IDRS Assoc) Receipts.  Note:  a block is 100 or fewer documents.</t>
  </si>
  <si>
    <t>Volume for Andover, Cinci, Ogden, and Phila. is included in Para 5.6.3.1 above under # of requests pulled not counted in lines below.  OFP codes for other sites vary.</t>
  </si>
  <si>
    <t>Subtotal of all 5.6.3.3 Document Delivery Lines</t>
  </si>
  <si>
    <t>IDRS Associations from Para 5.8.3</t>
  </si>
  <si>
    <t>Subtotal of all 5.6.4 Refiling Lines</t>
  </si>
  <si>
    <t>Workload for requests that are sorted and sent to NARA is captured under Para 5.4 and 5.6.3.3.</t>
  </si>
  <si>
    <t>Subtotal of 5.6.5 Request Lines</t>
  </si>
  <si>
    <t>OFP 510-00001.  Note: workload for filing these documents is included in Para 5.6.4 (refiling).</t>
  </si>
  <si>
    <t>Source:  EONS EOD Runs.  Note: workload for filing these documents is included in Para 5.6.4 (refiling).</t>
  </si>
  <si>
    <t>Subtotal for 5.8.3 lines.</t>
  </si>
  <si>
    <t>Para 5.5.1.2 (OFP 510 Cycle).  Note:  a block is 100 or fewer documents.</t>
  </si>
  <si>
    <t>Volume is counted in Para 5.6.4, # of refiles researched in IDRS</t>
  </si>
  <si>
    <t>Volume for Andover is included in Para 5.6.3.1 above under # of requests pulled not counted in lines below.</t>
  </si>
  <si>
    <t>Workload for requests that are sorted and sent to NARA is also captured under Para 5.4 and 5.6.3.3.</t>
  </si>
  <si>
    <t xml:space="preserve">OFP 550-0000X.  Note: workload for pulling these documents is also included in Para 5.6.3 (General File Requests). </t>
  </si>
  <si>
    <t>Source:  EONS EOD Runs.  Note: workload for filing these documents is also included in Para 5.6.4 (refiling).</t>
  </si>
  <si>
    <t>OFP 510-00001.  Note: workload for filing these documents is also included in Para 5.6.4 (refiling).</t>
  </si>
  <si>
    <t>Source: EONS EOD Runs.  Note: workload for filing these documents is also included in Para 5.6.4 (refiling).</t>
  </si>
  <si>
    <t xml:space="preserve">OFP 790-00002. Note: workload for pulling these documents is also included in Para 5.6.3 (General File Requests). </t>
  </si>
  <si>
    <t>For Austin, OFP 510-00009, &amp; OFP 520-00004 &amp; 00005.  Note: workload for filing these documents is also included in Para 5.6.4 (refiling).</t>
  </si>
  <si>
    <t>For Austin, OFP 520-00004 &amp; 00005.  Note: workload for filing these documents is also included in Para 5.6.4 (refiling).</t>
  </si>
  <si>
    <t>Volume for Cinci is included in Para 5.6.3.1 above under # of requests pulled not counted in lines below.</t>
  </si>
  <si>
    <t xml:space="preserve">OFP 790-00000.  Note: workload for pulling these documents is also included in Para 5.6.3 (General File Requests). </t>
  </si>
  <si>
    <t>OFP 510-00007 &amp; 510-00008.  Note: workload for filing these documents is also included in Para 5.6.4 (refiling).</t>
  </si>
  <si>
    <t>OFP 510-00007.  Note: workload for filing these documents is also included in Para 5.6.4 (refiling).</t>
  </si>
  <si>
    <t xml:space="preserve">OFP 550-00000.  Note: workload for pulling these documents is also included in Para 5.6.3 (General File Requests). </t>
  </si>
  <si>
    <t>OFP 510-00004, 00005, 00006, 00007.  Note: workload for filing these documents is also included in Para 5.6.4 (refiling).</t>
  </si>
  <si>
    <t>OFP 510-00006 &amp; 510-00007.  Note: workload for filing these documents is also included in Para 5.6.4 (refiling).</t>
  </si>
  <si>
    <t>OFP 510-00006 &amp; 00008 .  Note: workload for filing these documents is also included in Para 5.6.4 (refiling).</t>
  </si>
  <si>
    <t>OFP 510-00002.  Note: workload for filing these documents is also included in Para 5.6.4 (refiling).</t>
  </si>
  <si>
    <t>Volume for Ogden is included in Para 5.6.3.1 above under # of requests pulled not counted in lines below.</t>
  </si>
  <si>
    <t>OFP 510-00003 &amp; 510-00004.  Note: workload for filing these documents is also included in Para 5.6.4 (refiling).</t>
  </si>
  <si>
    <t>OFP 510-00004.  Note: workload for filing these documents is also included in Para 5.6.4 (refiling).</t>
  </si>
  <si>
    <t>Volume for Philly is included in Para 5.6.3.1 above under # of requests pulled not counted in lines below.</t>
  </si>
  <si>
    <t>Based on estimate from EONS EOD 1820 Run.  Note: workload for filing these documents is also included in Para 5.6.4 (refiling).</t>
  </si>
  <si>
    <t xml:space="preserve"># of CPs requiring association </t>
  </si>
  <si>
    <t>CP55/155.  Volume also added to Para 5.6.3.1/5.6.3.2 (# of requests not counted in lines below) and Para 5.6.4 (# of other refiles - misc.).</t>
  </si>
  <si>
    <t>Workload was added to Paragraph 5.6.3.1 under # of requests not counted in lines below</t>
  </si>
  <si>
    <t>5.6.3.1</t>
  </si>
  <si>
    <t>5.8.3 &amp; 5.6.4</t>
  </si>
  <si>
    <t>Total IDRS figures are from actual data.  The breakout between 5147s w/ and w/o source documents is based on averages of data from other sites.  Note: workload for filing these documents is also included in Para 5.6.4 (refiling).</t>
  </si>
  <si>
    <t>Estimate of 40 calls/day</t>
  </si>
  <si>
    <t>Estimate of 40 calls/day per site</t>
  </si>
  <si>
    <t>Unique association volume is also reported in Para 5.6.3.1/5.6.3.2 # of requests not counted in lines below or Para 5.6.4 # of other refiles - misc.</t>
  </si>
  <si>
    <t>Subtotal of all 5.6.3.1/5.6.3.2 Request Receipt/Document Retrieval Lines.  Note: special requests comprise &lt;1% of request workload.</t>
  </si>
  <si>
    <t>The following tables provide projected workload data for each Files Activity location for FY 2005.  At the end of each table, the projected percentage of workload increase or decrease for the years beyond FY 2005 is provided.  All data was derived from FY 2003 data.  These tables are subject to change.</t>
  </si>
  <si>
    <t>Note: picked up some Brookhaven functions.  FY 2005 percentages have been incorporated into the above workload chart.</t>
  </si>
  <si>
    <t>Note:  FY 2005 percentages have been incorporated into the above workload chart.</t>
  </si>
  <si>
    <t>Note:  picked up some Brookhaven workload (requests &amp; refiles).  FY 2005 percentages have been incorporated into the above workload chart.</t>
  </si>
  <si>
    <t>* Mail (Incoming) Par. 5.4, Row 16)</t>
  </si>
  <si>
    <t>Receive, sort, and handle Doc. Requests &amp; CP55/155 serviced by Memphis</t>
  </si>
  <si>
    <t>Par.5.6.3.1, Row 36</t>
  </si>
  <si>
    <t>Receive, sort, and handle Refund Lit. Requests serviced by Memphis</t>
  </si>
  <si>
    <t>Receive, sort, and handle Extended Search Requests</t>
  </si>
  <si>
    <t>Par.5.6.3.1, Row 44</t>
  </si>
  <si>
    <t>Include in Par. 5.4, Row 16 mail total</t>
  </si>
  <si>
    <t>Receive and sort refiles to the appropriate retention site</t>
  </si>
  <si>
    <t xml:space="preserve">Receive, sort, and handle requests for microfilm research </t>
  </si>
  <si>
    <t>Par.5.7.3, Row 62</t>
  </si>
  <si>
    <t>Receive, sort, and handle F.5147 EOD 18 transactions</t>
  </si>
  <si>
    <t>Par. 5.8.3, Row 66</t>
  </si>
  <si>
    <t>Receive, sort, and handle case processing source documents</t>
  </si>
  <si>
    <t>Par. 5.8.3, Row 67</t>
  </si>
  <si>
    <t>Receive, sort, and handle F.5147 EOD 20 transactions</t>
  </si>
  <si>
    <t>Receive, sort, and handle unique associations</t>
  </si>
  <si>
    <t>Par.5.8.4, Row 69</t>
  </si>
  <si>
    <t>* Document Delivery (Outgoing) Par. 5.6.3.3, Row 45</t>
  </si>
  <si>
    <t>Deliver Doc. Requests &amp; CP55/155 serviced by Memphis</t>
  </si>
  <si>
    <t>Deliver Refund Lit. Requests serviced by Memphis</t>
  </si>
  <si>
    <t>Deliver Extended Search Requests</t>
  </si>
  <si>
    <t>Distribute serviced document requests received from FRC &amp; other SCs</t>
  </si>
  <si>
    <t>Include in Par. 5.6.3.3, Row 45 total</t>
  </si>
  <si>
    <t>Distribute refiles to the appropriate retention site</t>
  </si>
  <si>
    <t xml:space="preserve">Deliver requests for microfilm research </t>
  </si>
  <si>
    <t>Note: The above workload data is based on estimates provided by the Memphis SPC and cover the years FY 2006 through 2009.</t>
  </si>
  <si>
    <t>Receive &amp; sort serviced document requests received from FRC &amp; other SPC</t>
  </si>
  <si>
    <t>WORKLOAD - MEMPHIS - FY 2006 through FY 2009</t>
  </si>
  <si>
    <t>FY 2006 - FY 2009</t>
  </si>
  <si>
    <t>FY 2005</t>
  </si>
  <si>
    <t>Para. Number</t>
  </si>
  <si>
    <t>Workload is captured under 5.5.1.2.  No separate workload is available.</t>
  </si>
  <si>
    <t>Transport is provided by AWSS.</t>
  </si>
  <si>
    <t>* Figures shown are based on 2003 data (1996 list year).  Projected workload was unavailable.  Until the 2002 list year, all Files sites handled both IMF and BMF processing.  The impact of the split between BMF (mainly at Cincinnati and Ogden) and IMF (all other locations) will thus not impact CSED workload until 2009.</t>
  </si>
  <si>
    <t>OFP 510-00006 &amp; 00008.  Note: workload for filing these documents is also included in Para 5.6.4 (refiling).</t>
  </si>
  <si>
    <t># of documents prepared for destruction</t>
  </si>
  <si>
    <t xml:space="preserve">Notification </t>
  </si>
  <si>
    <t>The project annual volume for the forms is as follows:</t>
  </si>
  <si>
    <t>Form 709</t>
  </si>
  <si>
    <t>Year</t>
  </si>
  <si>
    <t>Projected Annual Volume</t>
  </si>
  <si>
    <t>Forms 706 and 706NA</t>
  </si>
  <si>
    <t>Forms 2848</t>
  </si>
  <si>
    <t>Jul - Sep =</t>
  </si>
  <si>
    <t>Jan - Jun =</t>
  </si>
  <si>
    <t>Yearly Total =</t>
  </si>
  <si>
    <t>Oct - Dec =</t>
  </si>
  <si>
    <t>In addition to the above workload,  the new caves site located in the Kansas City area will store approximately 93,065 cubic feet of Forms 709, Forms 2848, and miscellaneous alpha files which are currently stored at the other Files Activity locations.  The Service Provider will be required to service requests (perform pulls and refiles) for these low touch files.  This consolidation of forms will free up space at each Files location, enabling a longer retention of high access forms that have more pull and refile activity.  Consolidation will take place prior to Contract award.</t>
  </si>
  <si>
    <t>SPC is closing at end of FY 2009; Files functions will be transferred to other Files locations.</t>
  </si>
  <si>
    <t>FY</t>
  </si>
  <si>
    <t>unknown</t>
  </si>
  <si>
    <t>2008-2010</t>
  </si>
  <si>
    <t>SPC is closing at end of FY 2007; Files functions will be transferred to other Files locations.</t>
  </si>
  <si>
    <t>CP98/98A/198/198A.  Volume also added to Para 5.6.3.1/5.6.3.2 (# of requests not counted in lines below) and Para 5.6.4 (# of other refiles - misc.).</t>
  </si>
  <si>
    <t># of unique associations</t>
  </si>
  <si>
    <t>Workload was added to Paragraph 5.8.3 under # of 5147s without source documents and 5.6.4 # of refiles - IDRS associations.</t>
  </si>
  <si>
    <t>Note:  Memphis SPC is closing at the end of FY 2005.  Files Activity work for FY 2006 and beyond will be transferred to Cincinnati.  The workload estimates for work which will be transferred to Cincinnati are listed below:</t>
  </si>
  <si>
    <t>Workload was added to Paragraph 5.8.3 under # of 5147s with source documents and 5.6.4 # of refiles - IDRS associations.</t>
  </si>
  <si>
    <t xml:space="preserve">IDRS Associations from Para 5.8.3 </t>
  </si>
  <si>
    <t>Note: The following plus-ups were added to Cincinnati's 2003 historical workload for work transferred from the former Brookhaven location to arrive at an adjusted 2005 baseline.</t>
  </si>
  <si>
    <t>(Weighted averages were applied to annual numbers to get monthly workload.)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</si>
</sst>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0"/>
    <numFmt numFmtId="169" formatCode="0.000"/>
    <numFmt numFmtId="170" formatCode="_(* #,##0.0_);_(* \(#,##0.0\);_(* &quot;-&quot;??_);_(@_)"/>
    <numFmt numFmtId="171" formatCode="_(* #,##0_);_(* \(#,##0\);_(* &quot;-&quot;??_);_(@_)"/>
    <numFmt numFmtId="172" formatCode="#,##0.0"/>
    <numFmt numFmtId="173" formatCode="[$€-2]\ #,##0.00_);[Red]\([$€-2]\ #,##0.00\)"/>
    <numFmt numFmtId="174" formatCode="#,##0.0000"/>
  </numFmts>
  <fonts count="12">
    <font>
      <sz val="10"/>
      <name val="Arial"/>
      <family val="0"/>
    </font>
    <font>
      <b/>
      <sz val="14"/>
      <name val="Arial"/>
      <family val="2"/>
    </font>
    <font>
      <sz val="9"/>
      <name val="Arial"/>
      <family val="2"/>
    </font>
    <font>
      <b/>
      <sz val="9"/>
      <name val="Arial"/>
      <family val="2"/>
    </font>
    <font>
      <b/>
      <i/>
      <sz val="9"/>
      <name val="Arial"/>
      <family val="2"/>
    </font>
    <font>
      <u val="single"/>
      <sz val="10"/>
      <color indexed="12"/>
      <name val="Arial"/>
      <family val="0"/>
    </font>
    <font>
      <u val="single"/>
      <sz val="10"/>
      <color indexed="36"/>
      <name val="Arial"/>
      <family val="0"/>
    </font>
    <font>
      <sz val="9"/>
      <color indexed="8"/>
      <name val="Arial"/>
      <family val="2"/>
    </font>
    <font>
      <b/>
      <sz val="10"/>
      <name val="Arial"/>
      <family val="2"/>
    </font>
    <font>
      <i/>
      <sz val="9"/>
      <name val="Arial"/>
      <family val="2"/>
    </font>
    <font>
      <sz val="12"/>
      <name val="Times New Roman"/>
      <family val="0"/>
    </font>
    <font>
      <sz val="11"/>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diagonalDown="1">
      <left style="thin"/>
      <right style="thin"/>
      <top style="thin"/>
      <bottom style="thin"/>
      <diagonal style="thin"/>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22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1" xfId="0" applyFont="1" applyFill="1" applyBorder="1" applyAlignment="1">
      <alignment/>
    </xf>
    <xf numFmtId="0" fontId="2" fillId="0" borderId="1" xfId="0" applyFont="1" applyFill="1" applyBorder="1" applyAlignment="1">
      <alignment wrapText="1"/>
    </xf>
    <xf numFmtId="0" fontId="2" fillId="0" borderId="1" xfId="0" applyFont="1" applyBorder="1" applyAlignment="1">
      <alignment horizontal="center"/>
    </xf>
    <xf numFmtId="0" fontId="7" fillId="0" borderId="1" xfId="0" applyFont="1" applyBorder="1" applyAlignment="1">
      <alignment wrapText="1"/>
    </xf>
    <xf numFmtId="0" fontId="2" fillId="0" borderId="1" xfId="0" applyFont="1" applyFill="1" applyBorder="1" applyAlignment="1">
      <alignment horizontal="center"/>
    </xf>
    <xf numFmtId="0" fontId="2" fillId="0" borderId="0" xfId="0" applyFont="1" applyFill="1" applyAlignment="1">
      <alignment/>
    </xf>
    <xf numFmtId="0" fontId="2" fillId="0" borderId="1" xfId="0" applyFont="1" applyBorder="1" applyAlignment="1">
      <alignment horizontal="right"/>
    </xf>
    <xf numFmtId="0" fontId="2" fillId="0" borderId="2" xfId="0" applyFont="1" applyBorder="1" applyAlignment="1">
      <alignment wrapText="1"/>
    </xf>
    <xf numFmtId="2" fontId="2" fillId="0" borderId="1" xfId="0" applyNumberFormat="1" applyFont="1" applyFill="1" applyBorder="1" applyAlignment="1">
      <alignment horizontal="left"/>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3" fillId="2" borderId="3" xfId="0" applyFont="1" applyFill="1" applyBorder="1" applyAlignment="1">
      <alignment horizontal="center" textRotation="90"/>
    </xf>
    <xf numFmtId="0" fontId="3" fillId="2" borderId="2" xfId="0" applyFont="1" applyFill="1" applyBorder="1" applyAlignment="1">
      <alignment horizontal="center"/>
    </xf>
    <xf numFmtId="0" fontId="4" fillId="2" borderId="4" xfId="0" applyFont="1" applyFill="1" applyBorder="1" applyAlignment="1">
      <alignment horizontal="left"/>
    </xf>
    <xf numFmtId="0" fontId="2" fillId="0" borderId="2" xfId="0" applyFont="1" applyFill="1" applyBorder="1" applyAlignment="1">
      <alignment wrapText="1"/>
    </xf>
    <xf numFmtId="0" fontId="2" fillId="0" borderId="1" xfId="0" applyFont="1" applyBorder="1" applyAlignment="1">
      <alignment horizontal="left" indent="1"/>
    </xf>
    <xf numFmtId="0" fontId="2" fillId="0" borderId="1" xfId="0" applyFont="1" applyBorder="1" applyAlignment="1">
      <alignment horizontal="left" wrapText="1" indent="1"/>
    </xf>
    <xf numFmtId="0" fontId="2" fillId="0" borderId="1" xfId="0" applyFont="1" applyFill="1" applyBorder="1" applyAlignment="1">
      <alignment horizontal="left" indent="1"/>
    </xf>
    <xf numFmtId="0" fontId="2" fillId="0" borderId="1" xfId="0" applyFont="1" applyBorder="1" applyAlignment="1">
      <alignment horizontal="left" wrapText="1"/>
    </xf>
    <xf numFmtId="0" fontId="2" fillId="0" borderId="1" xfId="0" applyFont="1" applyBorder="1" applyAlignment="1">
      <alignment horizontal="left"/>
    </xf>
    <xf numFmtId="3" fontId="2" fillId="0" borderId="1" xfId="0" applyNumberFormat="1" applyFont="1" applyBorder="1" applyAlignment="1">
      <alignment wrapText="1"/>
    </xf>
    <xf numFmtId="3" fontId="2" fillId="0" borderId="1" xfId="0" applyNumberFormat="1" applyFont="1" applyFill="1" applyBorder="1" applyAlignment="1">
      <alignment wrapText="1"/>
    </xf>
    <xf numFmtId="0" fontId="2" fillId="0" borderId="1" xfId="0" applyFont="1" applyFill="1" applyBorder="1" applyAlignment="1">
      <alignment horizontal="left"/>
    </xf>
    <xf numFmtId="3" fontId="2" fillId="0" borderId="2" xfId="0" applyNumberFormat="1" applyFont="1" applyBorder="1" applyAlignment="1">
      <alignment/>
    </xf>
    <xf numFmtId="3" fontId="2" fillId="0" borderId="1" xfId="0" applyNumberFormat="1" applyFont="1" applyBorder="1" applyAlignment="1">
      <alignment/>
    </xf>
    <xf numFmtId="171" fontId="2" fillId="0" borderId="1" xfId="15" applyNumberFormat="1" applyFont="1" applyBorder="1" applyAlignment="1">
      <alignment horizontal="right"/>
    </xf>
    <xf numFmtId="3" fontId="2" fillId="0" borderId="1" xfId="0" applyNumberFormat="1" applyFont="1" applyFill="1" applyBorder="1" applyAlignment="1">
      <alignment/>
    </xf>
    <xf numFmtId="3" fontId="2" fillId="0" borderId="2" xfId="0" applyNumberFormat="1" applyFont="1" applyFill="1" applyBorder="1" applyAlignment="1">
      <alignment/>
    </xf>
    <xf numFmtId="3"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3" fontId="2" fillId="0" borderId="5" xfId="0" applyNumberFormat="1" applyFont="1" applyFill="1" applyBorder="1" applyAlignment="1">
      <alignment/>
    </xf>
    <xf numFmtId="1" fontId="2" fillId="0" borderId="1" xfId="0" applyNumberFormat="1" applyFont="1" applyBorder="1" applyAlignment="1">
      <alignment horizontal="center"/>
    </xf>
    <xf numFmtId="0" fontId="2" fillId="0" borderId="1" xfId="0" applyFont="1" applyFill="1" applyBorder="1" applyAlignment="1">
      <alignment horizontal="left" wrapText="1"/>
    </xf>
    <xf numFmtId="3" fontId="2" fillId="0" borderId="6" xfId="0" applyNumberFormat="1" applyFont="1" applyFill="1" applyBorder="1" applyAlignment="1">
      <alignment/>
    </xf>
    <xf numFmtId="0" fontId="2" fillId="0" borderId="7" xfId="0" applyFont="1" applyBorder="1" applyAlignment="1">
      <alignment wrapText="1"/>
    </xf>
    <xf numFmtId="0" fontId="2" fillId="0" borderId="7" xfId="0" applyFont="1" applyBorder="1" applyAlignment="1">
      <alignment/>
    </xf>
    <xf numFmtId="0" fontId="2" fillId="0" borderId="7" xfId="0" applyFont="1" applyBorder="1" applyAlignment="1">
      <alignment horizontal="right"/>
    </xf>
    <xf numFmtId="3" fontId="2" fillId="0" borderId="1" xfId="0" applyNumberFormat="1" applyFont="1" applyBorder="1" applyAlignment="1">
      <alignment horizontal="right"/>
    </xf>
    <xf numFmtId="3" fontId="2" fillId="0" borderId="1" xfId="0" applyNumberFormat="1" applyFont="1" applyFill="1" applyBorder="1" applyAlignment="1">
      <alignment horizontal="center"/>
    </xf>
    <xf numFmtId="3" fontId="2" fillId="0" borderId="1" xfId="0" applyNumberFormat="1" applyFont="1" applyFill="1" applyBorder="1" applyAlignment="1">
      <alignment horizontal="right"/>
    </xf>
    <xf numFmtId="3" fontId="2" fillId="0" borderId="1" xfId="0" applyNumberFormat="1" applyFont="1" applyBorder="1" applyAlignment="1">
      <alignment horizontal="center"/>
    </xf>
    <xf numFmtId="3" fontId="1" fillId="0" borderId="0" xfId="0" applyNumberFormat="1" applyFont="1" applyAlignment="1">
      <alignment horizontal="center"/>
    </xf>
    <xf numFmtId="3" fontId="0" fillId="0" borderId="0" xfId="0" applyNumberFormat="1" applyAlignment="1">
      <alignment/>
    </xf>
    <xf numFmtId="3" fontId="3" fillId="2" borderId="3" xfId="0" applyNumberFormat="1" applyFont="1" applyFill="1" applyBorder="1" applyAlignment="1">
      <alignment horizontal="center" wrapText="1"/>
    </xf>
    <xf numFmtId="3" fontId="2" fillId="0" borderId="7" xfId="0" applyNumberFormat="1" applyFont="1" applyBorder="1" applyAlignment="1">
      <alignment horizontal="right"/>
    </xf>
    <xf numFmtId="3" fontId="2" fillId="0" borderId="1" xfId="15" applyNumberFormat="1" applyFont="1" applyBorder="1" applyAlignment="1">
      <alignment horizontal="right"/>
    </xf>
    <xf numFmtId="3" fontId="2" fillId="0" borderId="1" xfId="0" applyNumberFormat="1" applyFont="1" applyBorder="1" applyAlignment="1">
      <alignment/>
    </xf>
    <xf numFmtId="3" fontId="3" fillId="2" borderId="3" xfId="0" applyNumberFormat="1" applyFont="1" applyFill="1" applyBorder="1" applyAlignment="1">
      <alignment horizontal="center" textRotation="90"/>
    </xf>
    <xf numFmtId="3" fontId="2" fillId="0" borderId="7" xfId="0" applyNumberFormat="1" applyFont="1" applyBorder="1" applyAlignment="1">
      <alignment/>
    </xf>
    <xf numFmtId="3" fontId="2" fillId="0" borderId="1" xfId="15" applyNumberFormat="1" applyFont="1" applyBorder="1" applyAlignment="1">
      <alignment horizontal="center"/>
    </xf>
    <xf numFmtId="3" fontId="2" fillId="0" borderId="1" xfId="0" applyNumberFormat="1" applyFont="1" applyFill="1" applyBorder="1" applyAlignment="1">
      <alignment/>
    </xf>
    <xf numFmtId="3" fontId="2" fillId="0" borderId="1" xfId="15" applyNumberFormat="1" applyFont="1" applyFill="1" applyBorder="1" applyAlignment="1">
      <alignment horizontal="right"/>
    </xf>
    <xf numFmtId="0" fontId="3" fillId="0" borderId="0" xfId="0" applyFont="1" applyFill="1" applyAlignment="1">
      <alignment horizontal="center"/>
    </xf>
    <xf numFmtId="3" fontId="2" fillId="0" borderId="0" xfId="0" applyNumberFormat="1" applyFont="1" applyFill="1" applyAlignment="1">
      <alignment/>
    </xf>
    <xf numFmtId="3" fontId="2" fillId="0" borderId="0" xfId="0" applyNumberFormat="1" applyFont="1" applyAlignment="1">
      <alignment/>
    </xf>
    <xf numFmtId="0" fontId="0" fillId="0" borderId="8" xfId="0" applyBorder="1" applyAlignment="1">
      <alignment horizontal="center" wrapText="1"/>
    </xf>
    <xf numFmtId="10" fontId="0" fillId="0" borderId="0" xfId="0" applyNumberFormat="1" applyAlignment="1">
      <alignment/>
    </xf>
    <xf numFmtId="0" fontId="8" fillId="0" borderId="0" xfId="0" applyFont="1" applyAlignment="1">
      <alignment/>
    </xf>
    <xf numFmtId="0" fontId="0" fillId="0" borderId="0" xfId="0" applyAlignment="1">
      <alignment horizontal="center"/>
    </xf>
    <xf numFmtId="10" fontId="0" fillId="0" borderId="0" xfId="0" applyNumberFormat="1" applyAlignment="1">
      <alignment horizontal="center"/>
    </xf>
    <xf numFmtId="0" fontId="3" fillId="2" borderId="9" xfId="0" applyFont="1" applyFill="1" applyBorder="1" applyAlignment="1">
      <alignment horizontal="center"/>
    </xf>
    <xf numFmtId="3" fontId="2" fillId="0" borderId="2" xfId="0" applyNumberFormat="1" applyFont="1" applyFill="1" applyBorder="1" applyAlignment="1">
      <alignment wrapText="1"/>
    </xf>
    <xf numFmtId="3" fontId="2" fillId="0" borderId="2" xfId="0" applyNumberFormat="1" applyFont="1" applyFill="1" applyBorder="1" applyAlignment="1">
      <alignment horizontal="center"/>
    </xf>
    <xf numFmtId="0" fontId="2" fillId="0" borderId="1" xfId="0" applyFont="1" applyFill="1" applyBorder="1" applyAlignment="1">
      <alignment horizontal="right"/>
    </xf>
    <xf numFmtId="0" fontId="2" fillId="0" borderId="1" xfId="0" applyFont="1" applyBorder="1" applyAlignment="1">
      <alignment horizontal="center" wrapText="1"/>
    </xf>
    <xf numFmtId="171" fontId="2" fillId="0" borderId="1" xfId="15" applyNumberFormat="1" applyFont="1" applyFill="1" applyBorder="1" applyAlignment="1">
      <alignment/>
    </xf>
    <xf numFmtId="171" fontId="2" fillId="0" borderId="1" xfId="15" applyNumberFormat="1" applyFont="1" applyBorder="1" applyAlignment="1">
      <alignment horizontal="center" wrapText="1"/>
    </xf>
    <xf numFmtId="171" fontId="2" fillId="0" borderId="1" xfId="15" applyNumberFormat="1" applyFont="1" applyFill="1" applyBorder="1" applyAlignment="1">
      <alignment horizontal="center" wrapText="1"/>
    </xf>
    <xf numFmtId="171" fontId="2" fillId="0" borderId="1" xfId="0" applyNumberFormat="1" applyFont="1" applyFill="1" applyBorder="1" applyAlignment="1">
      <alignment/>
    </xf>
    <xf numFmtId="171" fontId="2" fillId="0" borderId="1" xfId="15" applyNumberFormat="1" applyFont="1" applyBorder="1" applyAlignment="1">
      <alignment horizontal="center"/>
    </xf>
    <xf numFmtId="171" fontId="2" fillId="0" borderId="1" xfId="15" applyNumberFormat="1" applyFont="1" applyFill="1" applyBorder="1" applyAlignment="1">
      <alignment horizontal="center"/>
    </xf>
    <xf numFmtId="43" fontId="3" fillId="0" borderId="0" xfId="0" applyNumberFormat="1" applyFont="1" applyAlignment="1">
      <alignment horizontal="center"/>
    </xf>
    <xf numFmtId="0" fontId="2" fillId="0" borderId="1" xfId="0" applyFont="1" applyFill="1" applyBorder="1" applyAlignment="1">
      <alignment horizontal="center" wrapText="1"/>
    </xf>
    <xf numFmtId="0" fontId="3" fillId="0" borderId="0" xfId="0" applyFont="1" applyBorder="1" applyAlignment="1">
      <alignment horizontal="center"/>
    </xf>
    <xf numFmtId="10" fontId="0" fillId="0" borderId="0" xfId="0" applyNumberFormat="1" applyFont="1" applyAlignment="1">
      <alignment/>
    </xf>
    <xf numFmtId="10" fontId="0" fillId="0" borderId="0" xfId="0" applyNumberFormat="1" applyFont="1" applyAlignment="1">
      <alignment/>
    </xf>
    <xf numFmtId="10" fontId="0" fillId="0" borderId="10" xfId="0" applyNumberFormat="1" applyFont="1" applyBorder="1" applyAlignment="1">
      <alignment/>
    </xf>
    <xf numFmtId="171" fontId="2" fillId="0" borderId="1" xfId="15" applyNumberFormat="1" applyFont="1" applyFill="1" applyBorder="1" applyAlignment="1">
      <alignment horizontal="right"/>
    </xf>
    <xf numFmtId="172" fontId="2" fillId="0" borderId="1" xfId="0" applyNumberFormat="1" applyFont="1" applyFill="1" applyBorder="1" applyAlignment="1">
      <alignment horizontal="left"/>
    </xf>
    <xf numFmtId="3" fontId="3" fillId="0" borderId="0" xfId="0" applyNumberFormat="1" applyFont="1" applyFill="1" applyAlignment="1">
      <alignment horizontal="center"/>
    </xf>
    <xf numFmtId="0" fontId="0" fillId="0" borderId="0" xfId="0" applyAlignment="1">
      <alignment wrapText="1"/>
    </xf>
    <xf numFmtId="0" fontId="0" fillId="0" borderId="0" xfId="0" applyFill="1" applyAlignment="1">
      <alignment/>
    </xf>
    <xf numFmtId="1" fontId="2" fillId="0" borderId="1" xfId="0" applyNumberFormat="1" applyFont="1" applyFill="1" applyBorder="1" applyAlignment="1">
      <alignment/>
    </xf>
    <xf numFmtId="1" fontId="2" fillId="0" borderId="1" xfId="0" applyNumberFormat="1" applyFont="1" applyFill="1" applyBorder="1" applyAlignment="1">
      <alignment horizontal="left" wrapText="1"/>
    </xf>
    <xf numFmtId="1" fontId="2" fillId="0" borderId="1" xfId="0" applyNumberFormat="1" applyFont="1" applyFill="1" applyBorder="1" applyAlignment="1">
      <alignment wrapText="1"/>
    </xf>
    <xf numFmtId="1" fontId="2" fillId="0" borderId="1" xfId="0" applyNumberFormat="1" applyFont="1" applyFill="1" applyBorder="1" applyAlignment="1">
      <alignment horizontal="center"/>
    </xf>
    <xf numFmtId="1" fontId="2" fillId="0" borderId="1" xfId="0" applyNumberFormat="1" applyFont="1" applyFill="1" applyBorder="1" applyAlignment="1">
      <alignment horizontal="right"/>
    </xf>
    <xf numFmtId="1" fontId="2" fillId="0" borderId="2" xfId="0" applyNumberFormat="1" applyFont="1" applyFill="1" applyBorder="1" applyAlignment="1">
      <alignment wrapText="1"/>
    </xf>
    <xf numFmtId="1" fontId="2" fillId="0" borderId="0" xfId="0" applyNumberFormat="1" applyFont="1" applyFill="1" applyAlignment="1">
      <alignment/>
    </xf>
    <xf numFmtId="3" fontId="2" fillId="0" borderId="11" xfId="0" applyNumberFormat="1" applyFont="1" applyFill="1" applyBorder="1" applyAlignment="1">
      <alignment wrapText="1"/>
    </xf>
    <xf numFmtId="3" fontId="2" fillId="0" borderId="12" xfId="0" applyNumberFormat="1" applyFont="1" applyFill="1" applyBorder="1" applyAlignment="1">
      <alignment/>
    </xf>
    <xf numFmtId="3" fontId="2" fillId="0" borderId="6" xfId="15" applyNumberFormat="1" applyFont="1" applyBorder="1" applyAlignment="1">
      <alignment horizontal="right"/>
    </xf>
    <xf numFmtId="3" fontId="2" fillId="0" borderId="2" xfId="0" applyNumberFormat="1" applyFont="1" applyFill="1" applyBorder="1" applyAlignment="1">
      <alignment horizontal="right"/>
    </xf>
    <xf numFmtId="0" fontId="2" fillId="0" borderId="0" xfId="0" applyFont="1" applyAlignment="1">
      <alignment wrapText="1"/>
    </xf>
    <xf numFmtId="0" fontId="3" fillId="0" borderId="0" xfId="0" applyFont="1" applyAlignment="1">
      <alignment horizontal="center" wrapText="1"/>
    </xf>
    <xf numFmtId="0" fontId="2" fillId="0" borderId="0" xfId="0" applyFont="1" applyFill="1" applyAlignment="1">
      <alignment wrapText="1"/>
    </xf>
    <xf numFmtId="3" fontId="2" fillId="0" borderId="0" xfId="0" applyNumberFormat="1" applyFont="1" applyFill="1" applyAlignment="1">
      <alignment wrapText="1"/>
    </xf>
    <xf numFmtId="0" fontId="0" fillId="0" borderId="0" xfId="0" applyFill="1" applyAlignment="1">
      <alignment wrapText="1"/>
    </xf>
    <xf numFmtId="3" fontId="3" fillId="0" borderId="0" xfId="0" applyNumberFormat="1" applyFont="1" applyFill="1" applyAlignment="1">
      <alignment wrapText="1"/>
    </xf>
    <xf numFmtId="3" fontId="2" fillId="0" borderId="1" xfId="0" applyNumberFormat="1" applyFont="1" applyFill="1" applyBorder="1" applyAlignment="1">
      <alignment horizontal="left" indent="1"/>
    </xf>
    <xf numFmtId="0" fontId="3" fillId="0" borderId="0" xfId="0" applyFont="1" applyFill="1" applyAlignment="1">
      <alignment/>
    </xf>
    <xf numFmtId="1" fontId="2" fillId="0" borderId="1" xfId="0" applyNumberFormat="1" applyFont="1" applyBorder="1" applyAlignment="1">
      <alignment horizontal="center" wrapText="1"/>
    </xf>
    <xf numFmtId="3" fontId="0" fillId="0" borderId="0" xfId="0" applyNumberFormat="1" applyFill="1" applyAlignment="1">
      <alignment/>
    </xf>
    <xf numFmtId="0" fontId="9" fillId="2" borderId="1" xfId="0" applyFont="1" applyFill="1" applyBorder="1" applyAlignment="1">
      <alignment horizontal="left" indent="1"/>
    </xf>
    <xf numFmtId="0" fontId="2" fillId="2" borderId="1" xfId="0" applyFont="1" applyFill="1" applyBorder="1" applyAlignment="1">
      <alignment wrapText="1"/>
    </xf>
    <xf numFmtId="3" fontId="2" fillId="2" borderId="1" xfId="0" applyNumberFormat="1" applyFont="1" applyFill="1" applyBorder="1" applyAlignment="1">
      <alignment wrapText="1"/>
    </xf>
    <xf numFmtId="3" fontId="9" fillId="2" borderId="1" xfId="0" applyNumberFormat="1" applyFont="1" applyFill="1" applyBorder="1" applyAlignment="1">
      <alignment/>
    </xf>
    <xf numFmtId="3" fontId="9" fillId="2" borderId="1" xfId="0" applyNumberFormat="1" applyFont="1" applyFill="1" applyBorder="1" applyAlignment="1">
      <alignment horizontal="right"/>
    </xf>
    <xf numFmtId="3" fontId="9" fillId="2" borderId="1" xfId="15" applyNumberFormat="1" applyFont="1" applyFill="1" applyBorder="1" applyAlignment="1">
      <alignment horizontal="right"/>
    </xf>
    <xf numFmtId="0" fontId="2" fillId="0" borderId="2" xfId="0" applyFont="1" applyFill="1" applyBorder="1" applyAlignment="1">
      <alignment horizontal="center"/>
    </xf>
    <xf numFmtId="3" fontId="2" fillId="0" borderId="1" xfId="21" applyNumberFormat="1" applyFont="1" applyFill="1" applyBorder="1">
      <alignment/>
      <protection/>
    </xf>
    <xf numFmtId="0" fontId="3" fillId="0" borderId="0" xfId="0" applyFont="1" applyFill="1" applyAlignment="1">
      <alignment wrapText="1"/>
    </xf>
    <xf numFmtId="3" fontId="3" fillId="0" borderId="0" xfId="0" applyNumberFormat="1" applyFont="1" applyFill="1" applyAlignment="1">
      <alignment/>
    </xf>
    <xf numFmtId="3" fontId="2" fillId="0" borderId="1" xfId="15" applyNumberFormat="1" applyFont="1" applyFill="1" applyBorder="1" applyAlignment="1">
      <alignment/>
    </xf>
    <xf numFmtId="171" fontId="2" fillId="0" borderId="0" xfId="0" applyNumberFormat="1" applyFont="1" applyAlignment="1">
      <alignment/>
    </xf>
    <xf numFmtId="3" fontId="2" fillId="0" borderId="1" xfId="15" applyNumberFormat="1" applyFont="1" applyFill="1" applyBorder="1" applyAlignment="1">
      <alignment horizontal="center"/>
    </xf>
    <xf numFmtId="0" fontId="3" fillId="0" borderId="1" xfId="0" applyFont="1" applyBorder="1" applyAlignment="1">
      <alignment/>
    </xf>
    <xf numFmtId="171" fontId="2" fillId="0" borderId="1" xfId="0" applyNumberFormat="1" applyFont="1" applyBorder="1" applyAlignment="1">
      <alignment/>
    </xf>
    <xf numFmtId="3" fontId="2" fillId="0" borderId="13" xfId="0" applyNumberFormat="1" applyFont="1" applyFill="1" applyBorder="1" applyAlignment="1">
      <alignment/>
    </xf>
    <xf numFmtId="0" fontId="7" fillId="0" borderId="1" xfId="0" applyFont="1" applyFill="1" applyBorder="1" applyAlignment="1">
      <alignment wrapText="1"/>
    </xf>
    <xf numFmtId="3" fontId="2" fillId="0" borderId="2" xfId="0" applyNumberFormat="1" applyFont="1" applyFill="1" applyBorder="1" applyAlignment="1">
      <alignment horizontal="center" wrapText="1"/>
    </xf>
    <xf numFmtId="3" fontId="3" fillId="0" borderId="0" xfId="0" applyNumberFormat="1" applyFont="1" applyFill="1" applyAlignment="1">
      <alignment horizontal="left" wrapText="1"/>
    </xf>
    <xf numFmtId="0" fontId="2" fillId="0" borderId="1" xfId="0" applyFont="1" applyFill="1" applyBorder="1" applyAlignment="1">
      <alignment horizontal="right" wrapText="1"/>
    </xf>
    <xf numFmtId="0" fontId="2" fillId="0" borderId="0" xfId="0" applyFont="1" applyFill="1" applyBorder="1" applyAlignment="1">
      <alignment wrapText="1"/>
    </xf>
    <xf numFmtId="3" fontId="2" fillId="0" borderId="0" xfId="0" applyNumberFormat="1" applyFont="1" applyFill="1" applyBorder="1" applyAlignment="1">
      <alignment wrapText="1"/>
    </xf>
    <xf numFmtId="0" fontId="2" fillId="2" borderId="1" xfId="0" applyFont="1" applyFill="1" applyBorder="1" applyAlignment="1">
      <alignment horizontal="right" wrapText="1"/>
    </xf>
    <xf numFmtId="3" fontId="2" fillId="2" borderId="1" xfId="0" applyNumberFormat="1" applyFont="1" applyFill="1" applyBorder="1" applyAlignment="1">
      <alignment horizontal="right" wrapText="1"/>
    </xf>
    <xf numFmtId="0" fontId="9" fillId="2" borderId="1" xfId="0" applyFont="1" applyFill="1" applyBorder="1" applyAlignment="1">
      <alignment/>
    </xf>
    <xf numFmtId="3" fontId="9" fillId="2" borderId="2" xfId="0" applyNumberFormat="1" applyFont="1" applyFill="1" applyBorder="1" applyAlignment="1">
      <alignment/>
    </xf>
    <xf numFmtId="3" fontId="9" fillId="2" borderId="1" xfId="0" applyNumberFormat="1" applyFont="1" applyFill="1" applyBorder="1" applyAlignment="1">
      <alignment/>
    </xf>
    <xf numFmtId="3" fontId="9" fillId="2" borderId="2" xfId="0" applyNumberFormat="1" applyFont="1" applyFill="1" applyBorder="1" applyAlignment="1">
      <alignment horizontal="right"/>
    </xf>
    <xf numFmtId="0" fontId="9" fillId="0" borderId="0" xfId="0" applyFont="1" applyFill="1" applyBorder="1" applyAlignment="1">
      <alignment horizontal="left" indent="1"/>
    </xf>
    <xf numFmtId="3" fontId="9" fillId="0" borderId="0" xfId="0" applyNumberFormat="1" applyFont="1" applyFill="1" applyBorder="1" applyAlignment="1">
      <alignment horizontal="right"/>
    </xf>
    <xf numFmtId="3" fontId="9" fillId="0" borderId="0" xfId="15" applyNumberFormat="1" applyFont="1" applyFill="1" applyBorder="1" applyAlignment="1">
      <alignment horizontal="right"/>
    </xf>
    <xf numFmtId="3" fontId="9" fillId="0" borderId="0" xfId="0" applyNumberFormat="1" applyFont="1" applyFill="1" applyBorder="1" applyAlignment="1">
      <alignment horizontal="center"/>
    </xf>
    <xf numFmtId="171" fontId="2" fillId="0" borderId="0" xfId="15" applyNumberFormat="1" applyFont="1" applyFill="1" applyBorder="1" applyAlignment="1">
      <alignment horizontal="right"/>
    </xf>
    <xf numFmtId="171" fontId="9" fillId="2" borderId="1" xfId="15" applyNumberFormat="1" applyFont="1" applyFill="1" applyBorder="1" applyAlignment="1">
      <alignment horizontal="right"/>
    </xf>
    <xf numFmtId="3" fontId="9" fillId="2" borderId="1" xfId="15" applyNumberFormat="1" applyFont="1" applyFill="1" applyBorder="1" applyAlignment="1">
      <alignment/>
    </xf>
    <xf numFmtId="1" fontId="2" fillId="0" borderId="1" xfId="0" applyNumberFormat="1" applyFont="1" applyFill="1" applyBorder="1" applyAlignment="1">
      <alignment horizontal="center" wrapText="1"/>
    </xf>
    <xf numFmtId="0" fontId="3" fillId="0" borderId="0" xfId="0" applyFont="1" applyFill="1" applyAlignment="1">
      <alignment horizontal="center" wrapText="1"/>
    </xf>
    <xf numFmtId="0" fontId="0" fillId="0" borderId="0" xfId="0" applyFont="1" applyFill="1" applyAlignment="1">
      <alignment/>
    </xf>
    <xf numFmtId="0" fontId="8" fillId="0" borderId="0" xfId="0" applyFont="1" applyFill="1" applyAlignment="1">
      <alignment/>
    </xf>
    <xf numFmtId="0" fontId="2" fillId="0" borderId="0" xfId="0" applyFont="1" applyFill="1" applyAlignment="1">
      <alignment horizontal="center" wrapText="1"/>
    </xf>
    <xf numFmtId="3" fontId="0" fillId="0" borderId="0" xfId="0" applyNumberFormat="1" applyFont="1" applyFill="1" applyAlignment="1">
      <alignment horizontal="left" wrapText="1"/>
    </xf>
    <xf numFmtId="0" fontId="0" fillId="0" borderId="1" xfId="0" applyBorder="1" applyAlignment="1">
      <alignment horizontal="center"/>
    </xf>
    <xf numFmtId="0" fontId="0" fillId="0" borderId="1" xfId="0" applyFill="1" applyBorder="1" applyAlignment="1">
      <alignment horizontal="left"/>
    </xf>
    <xf numFmtId="0" fontId="0" fillId="0" borderId="1" xfId="0" applyFill="1" applyBorder="1" applyAlignment="1">
      <alignment wrapText="1"/>
    </xf>
    <xf numFmtId="3" fontId="0" fillId="0" borderId="1" xfId="0" applyNumberFormat="1" applyFill="1" applyBorder="1" applyAlignment="1">
      <alignment horizontal="center"/>
    </xf>
    <xf numFmtId="0" fontId="0" fillId="0" borderId="1" xfId="0" applyFont="1" applyFill="1" applyBorder="1" applyAlignment="1">
      <alignment/>
    </xf>
    <xf numFmtId="3" fontId="0" fillId="0" borderId="1" xfId="0" applyNumberFormat="1" applyFont="1" applyFill="1" applyBorder="1" applyAlignment="1">
      <alignment wrapText="1"/>
    </xf>
    <xf numFmtId="0" fontId="0" fillId="0" borderId="1" xfId="0" applyFill="1" applyBorder="1" applyAlignment="1">
      <alignment horizontal="center"/>
    </xf>
    <xf numFmtId="0" fontId="0" fillId="0" borderId="1" xfId="0" applyBorder="1" applyAlignment="1">
      <alignment/>
    </xf>
    <xf numFmtId="0" fontId="0" fillId="0" borderId="1" xfId="0" applyBorder="1" applyAlignment="1">
      <alignment wrapText="1"/>
    </xf>
    <xf numFmtId="2" fontId="0" fillId="0" borderId="1" xfId="0" applyNumberFormat="1" applyFill="1" applyBorder="1" applyAlignment="1">
      <alignment horizontal="left"/>
    </xf>
    <xf numFmtId="3" fontId="0" fillId="0" borderId="0" xfId="0" applyNumberFormat="1" applyFont="1" applyFill="1" applyAlignment="1">
      <alignment horizontal="left"/>
    </xf>
    <xf numFmtId="167" fontId="2" fillId="0" borderId="1" xfId="0" applyNumberFormat="1" applyFont="1" applyFill="1" applyBorder="1" applyAlignment="1">
      <alignment horizontal="left"/>
    </xf>
    <xf numFmtId="171" fontId="2" fillId="0" borderId="2" xfId="15" applyNumberFormat="1" applyFont="1" applyFill="1" applyBorder="1" applyAlignment="1">
      <alignment/>
    </xf>
    <xf numFmtId="3" fontId="0" fillId="0" borderId="1" xfId="0" applyNumberFormat="1" applyFill="1" applyBorder="1" applyAlignment="1">
      <alignment horizontal="right"/>
    </xf>
    <xf numFmtId="3" fontId="0" fillId="0" borderId="1" xfId="0" applyNumberFormat="1" applyBorder="1" applyAlignment="1">
      <alignment horizontal="right"/>
    </xf>
    <xf numFmtId="0" fontId="2" fillId="0" borderId="1" xfId="0" applyFont="1" applyFill="1" applyBorder="1" applyAlignment="1">
      <alignment horizontal="left" wrapText="1" indent="1"/>
    </xf>
    <xf numFmtId="0" fontId="2" fillId="2" borderId="1" xfId="0" applyFont="1" applyFill="1" applyBorder="1" applyAlignment="1">
      <alignment horizontal="center"/>
    </xf>
    <xf numFmtId="3" fontId="2" fillId="2" borderId="1" xfId="0" applyNumberFormat="1"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4" fontId="2" fillId="0" borderId="1" xfId="0" applyNumberFormat="1" applyFont="1" applyFill="1" applyBorder="1" applyAlignment="1">
      <alignment horizontal="left"/>
    </xf>
    <xf numFmtId="3" fontId="4" fillId="2" borderId="11" xfId="0" applyNumberFormat="1" applyFont="1" applyFill="1" applyBorder="1" applyAlignment="1">
      <alignment horizontal="left"/>
    </xf>
    <xf numFmtId="3" fontId="4" fillId="2" borderId="5" xfId="0" applyNumberFormat="1" applyFont="1" applyFill="1" applyBorder="1" applyAlignment="1">
      <alignment horizontal="left"/>
    </xf>
    <xf numFmtId="3" fontId="4" fillId="2" borderId="2" xfId="0" applyNumberFormat="1" applyFont="1" applyFill="1" applyBorder="1" applyAlignment="1">
      <alignment horizontal="left"/>
    </xf>
    <xf numFmtId="0" fontId="3" fillId="2" borderId="1" xfId="0" applyFont="1" applyFill="1" applyBorder="1" applyAlignment="1">
      <alignment horizontal="center"/>
    </xf>
    <xf numFmtId="0" fontId="3" fillId="2" borderId="13" xfId="0" applyFont="1" applyFill="1" applyBorder="1" applyAlignment="1">
      <alignment horizontal="center" wrapText="1"/>
    </xf>
    <xf numFmtId="0" fontId="3" fillId="2" borderId="13" xfId="0" applyFont="1" applyFill="1" applyBorder="1" applyAlignment="1">
      <alignment horizontal="center"/>
    </xf>
    <xf numFmtId="0" fontId="3" fillId="2" borderId="13" xfId="0" applyFont="1" applyFill="1" applyBorder="1" applyAlignment="1">
      <alignment horizontal="center" textRotation="90"/>
    </xf>
    <xf numFmtId="0" fontId="3" fillId="2" borderId="1" xfId="0" applyFont="1" applyFill="1" applyBorder="1" applyAlignment="1">
      <alignment horizontal="center" textRotation="90"/>
    </xf>
    <xf numFmtId="3" fontId="3" fillId="2" borderId="11" xfId="0" applyNumberFormat="1" applyFont="1" applyFill="1" applyBorder="1" applyAlignment="1">
      <alignment horizontal="center" wrapText="1"/>
    </xf>
    <xf numFmtId="0" fontId="3" fillId="2" borderId="1" xfId="0" applyFont="1" applyFill="1" applyBorder="1" applyAlignment="1">
      <alignment horizontal="center" wrapText="1"/>
    </xf>
    <xf numFmtId="3" fontId="3" fillId="2" borderId="1" xfId="0" applyNumberFormat="1" applyFont="1" applyFill="1" applyBorder="1" applyAlignment="1">
      <alignment horizontal="center" wrapText="1"/>
    </xf>
    <xf numFmtId="3" fontId="3" fillId="2" borderId="1" xfId="0" applyNumberFormat="1" applyFont="1" applyFill="1" applyBorder="1" applyAlignment="1">
      <alignment horizontal="center" textRotation="90"/>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0" fillId="0" borderId="0" xfId="0" applyFont="1" applyFill="1" applyAlignment="1">
      <alignment horizontal="right"/>
    </xf>
    <xf numFmtId="3" fontId="0" fillId="0" borderId="14" xfId="0" applyNumberFormat="1" applyFont="1" applyFill="1" applyBorder="1" applyAlignment="1">
      <alignment/>
    </xf>
    <xf numFmtId="0" fontId="0" fillId="0" borderId="0" xfId="0" applyFont="1" applyAlignment="1">
      <alignment/>
    </xf>
    <xf numFmtId="3" fontId="0" fillId="0" borderId="0" xfId="0" applyNumberFormat="1" applyFont="1" applyAlignment="1">
      <alignment/>
    </xf>
    <xf numFmtId="0" fontId="0" fillId="0" borderId="14" xfId="0" applyFont="1" applyBorder="1" applyAlignment="1">
      <alignment horizontal="center"/>
    </xf>
    <xf numFmtId="0" fontId="0" fillId="0" borderId="14" xfId="0" applyFont="1" applyBorder="1" applyAlignment="1">
      <alignment horizontal="center" wrapText="1"/>
    </xf>
    <xf numFmtId="0" fontId="0" fillId="0" borderId="0" xfId="0" applyFont="1" applyBorder="1" applyAlignment="1">
      <alignment horizontal="center"/>
    </xf>
    <xf numFmtId="171" fontId="0" fillId="0" borderId="0" xfId="15" applyNumberFormat="1" applyFont="1" applyAlignment="1">
      <alignment/>
    </xf>
    <xf numFmtId="0" fontId="0" fillId="0" borderId="0" xfId="0" applyFont="1" applyFill="1" applyAlignment="1">
      <alignment horizontal="right" wrapText="1"/>
    </xf>
    <xf numFmtId="0" fontId="0" fillId="0" borderId="8" xfId="0" applyBorder="1" applyAlignment="1">
      <alignment horizontal="center"/>
    </xf>
    <xf numFmtId="0" fontId="0" fillId="0" borderId="0" xfId="0" applyAlignment="1">
      <alignment horizontal="right"/>
    </xf>
    <xf numFmtId="0" fontId="2" fillId="0" borderId="1" xfId="0" applyFont="1" applyFill="1" applyBorder="1" applyAlignment="1">
      <alignment/>
    </xf>
    <xf numFmtId="0" fontId="0" fillId="0" borderId="1" xfId="0" applyFill="1" applyBorder="1" applyAlignment="1">
      <alignment/>
    </xf>
    <xf numFmtId="171" fontId="0" fillId="0" borderId="1" xfId="15" applyNumberFormat="1" applyFill="1" applyBorder="1" applyAlignment="1">
      <alignment/>
    </xf>
    <xf numFmtId="171" fontId="2" fillId="0" borderId="0" xfId="0" applyNumberFormat="1" applyFont="1" applyFill="1" applyBorder="1" applyAlignment="1">
      <alignment/>
    </xf>
    <xf numFmtId="171" fontId="2" fillId="0" borderId="0" xfId="0" applyNumberFormat="1" applyFont="1" applyFill="1" applyBorder="1" applyAlignment="1">
      <alignment horizontal="right"/>
    </xf>
    <xf numFmtId="0" fontId="0" fillId="0" borderId="0" xfId="0" applyFill="1" applyBorder="1" applyAlignment="1">
      <alignment/>
    </xf>
    <xf numFmtId="3" fontId="2" fillId="0" borderId="0" xfId="15" applyNumberFormat="1" applyFont="1" applyFill="1" applyBorder="1" applyAlignment="1">
      <alignment horizontal="right"/>
    </xf>
    <xf numFmtId="0" fontId="0" fillId="0" borderId="8" xfId="0" applyFill="1" applyBorder="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1" fillId="0" borderId="0" xfId="0" applyFont="1" applyAlignment="1">
      <alignment horizontal="center"/>
    </xf>
    <xf numFmtId="0" fontId="11" fillId="0" borderId="0" xfId="0" applyFont="1" applyAlignment="1">
      <alignment horizontal="left" wrapText="1"/>
    </xf>
    <xf numFmtId="3" fontId="4" fillId="2" borderId="11" xfId="0" applyNumberFormat="1" applyFont="1" applyFill="1" applyBorder="1" applyAlignment="1">
      <alignment horizontal="left"/>
    </xf>
    <xf numFmtId="3" fontId="4" fillId="2" borderId="5" xfId="0" applyNumberFormat="1" applyFont="1" applyFill="1" applyBorder="1" applyAlignment="1">
      <alignment horizontal="left"/>
    </xf>
    <xf numFmtId="3" fontId="4" fillId="2" borderId="2" xfId="0" applyNumberFormat="1" applyFont="1" applyFill="1" applyBorder="1" applyAlignment="1">
      <alignment horizontal="left"/>
    </xf>
    <xf numFmtId="3" fontId="1" fillId="0" borderId="0" xfId="0" applyNumberFormat="1" applyFont="1" applyAlignment="1">
      <alignment horizontal="center"/>
    </xf>
    <xf numFmtId="0" fontId="3" fillId="2" borderId="11" xfId="0" applyNumberFormat="1" applyFont="1" applyFill="1" applyBorder="1" applyAlignment="1">
      <alignment horizontal="center"/>
    </xf>
    <xf numFmtId="0" fontId="3" fillId="2" borderId="5" xfId="0" applyNumberFormat="1" applyFont="1" applyFill="1" applyBorder="1" applyAlignment="1">
      <alignment horizontal="center"/>
    </xf>
    <xf numFmtId="0" fontId="3" fillId="2" borderId="2" xfId="0" applyNumberFormat="1" applyFont="1" applyFill="1" applyBorder="1" applyAlignment="1">
      <alignment horizontal="center"/>
    </xf>
    <xf numFmtId="3" fontId="4" fillId="2" borderId="3" xfId="0" applyNumberFormat="1" applyFont="1" applyFill="1" applyBorder="1" applyAlignment="1">
      <alignment horizontal="left"/>
    </xf>
    <xf numFmtId="0" fontId="0" fillId="0" borderId="0" xfId="0" applyFill="1" applyAlignment="1">
      <alignment horizontal="left" wrapText="1"/>
    </xf>
    <xf numFmtId="0" fontId="4" fillId="2" borderId="11" xfId="0" applyFont="1" applyFill="1" applyBorder="1" applyAlignment="1">
      <alignment horizontal="left"/>
    </xf>
    <xf numFmtId="0" fontId="4" fillId="2" borderId="5" xfId="0" applyFont="1" applyFill="1" applyBorder="1" applyAlignment="1">
      <alignment horizontal="left"/>
    </xf>
    <xf numFmtId="0" fontId="4" fillId="2" borderId="2" xfId="0" applyFont="1" applyFill="1" applyBorder="1" applyAlignment="1">
      <alignment horizontal="left"/>
    </xf>
    <xf numFmtId="0" fontId="0" fillId="0" borderId="15" xfId="0" applyFill="1" applyBorder="1" applyAlignment="1">
      <alignment horizontal="left" wrapText="1"/>
    </xf>
    <xf numFmtId="0" fontId="0" fillId="0" borderId="0" xfId="0" applyFont="1" applyAlignment="1">
      <alignment horizontal="left" wrapText="1"/>
    </xf>
    <xf numFmtId="0" fontId="0" fillId="0" borderId="0" xfId="0" applyFont="1" applyAlignment="1">
      <alignment horizontal="center"/>
    </xf>
    <xf numFmtId="3" fontId="1" fillId="0" borderId="0" xfId="0" applyNumberFormat="1" applyFont="1" applyAlignment="1">
      <alignment horizontal="left" wrapText="1"/>
    </xf>
    <xf numFmtId="0" fontId="0" fillId="0" borderId="8" xfId="0" applyBorder="1" applyAlignment="1">
      <alignment horizontal="center" wrapText="1"/>
    </xf>
    <xf numFmtId="10" fontId="0" fillId="0" borderId="0" xfId="0" applyNumberFormat="1" applyFont="1" applyAlignment="1">
      <alignment/>
    </xf>
    <xf numFmtId="0" fontId="0" fillId="0" borderId="0" xfId="0" applyFont="1" applyAlignment="1">
      <alignment/>
    </xf>
    <xf numFmtId="0" fontId="0" fillId="0" borderId="0" xfId="0" applyAlignment="1">
      <alignment horizontal="right"/>
    </xf>
    <xf numFmtId="3" fontId="4" fillId="2" borderId="1" xfId="0" applyNumberFormat="1"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
  <sheetViews>
    <sheetView tabSelected="1" workbookViewId="0" topLeftCell="A1">
      <selection activeCell="H11" sqref="H11"/>
    </sheetView>
  </sheetViews>
  <sheetFormatPr defaultColWidth="9.140625" defaultRowHeight="12.75"/>
  <sheetData>
    <row r="1" spans="1:21" ht="18">
      <c r="A1" s="206" t="s">
        <v>17</v>
      </c>
      <c r="B1" s="206"/>
      <c r="C1" s="206"/>
      <c r="D1" s="206"/>
      <c r="E1" s="206"/>
      <c r="F1" s="206"/>
      <c r="G1" s="206"/>
      <c r="H1" s="206"/>
      <c r="I1" s="206"/>
      <c r="J1" s="206"/>
      <c r="K1" s="206"/>
      <c r="L1" s="206"/>
      <c r="M1" s="206"/>
      <c r="N1" s="206"/>
      <c r="O1" s="206"/>
      <c r="P1" s="206"/>
      <c r="Q1" s="206"/>
      <c r="R1" s="206"/>
      <c r="S1" s="206"/>
      <c r="T1" s="206"/>
      <c r="U1" s="206"/>
    </row>
    <row r="2" spans="1:21" ht="18">
      <c r="A2" s="206" t="s">
        <v>164</v>
      </c>
      <c r="B2" s="206"/>
      <c r="C2" s="206"/>
      <c r="D2" s="206"/>
      <c r="E2" s="206"/>
      <c r="F2" s="206"/>
      <c r="G2" s="206"/>
      <c r="H2" s="206"/>
      <c r="I2" s="206"/>
      <c r="J2" s="206"/>
      <c r="K2" s="206"/>
      <c r="L2" s="206"/>
      <c r="M2" s="206"/>
      <c r="N2" s="206"/>
      <c r="O2" s="206"/>
      <c r="P2" s="206"/>
      <c r="Q2" s="206"/>
      <c r="R2" s="206"/>
      <c r="S2" s="206"/>
      <c r="T2" s="206"/>
      <c r="U2" s="206"/>
    </row>
    <row r="5" spans="1:21" ht="47.25" customHeight="1">
      <c r="A5" s="207" t="s">
        <v>323</v>
      </c>
      <c r="B5" s="207"/>
      <c r="C5" s="207"/>
      <c r="D5" s="207"/>
      <c r="E5" s="207"/>
      <c r="F5" s="207"/>
      <c r="G5" s="207"/>
      <c r="H5" s="207"/>
      <c r="I5" s="207"/>
      <c r="J5" s="207"/>
      <c r="K5" s="207"/>
      <c r="L5" s="207"/>
      <c r="M5" s="207"/>
      <c r="N5" s="207"/>
      <c r="O5" s="207"/>
      <c r="P5" s="207"/>
      <c r="Q5" s="207"/>
      <c r="R5" s="207"/>
      <c r="S5" s="207"/>
      <c r="T5" s="207"/>
      <c r="U5" s="207"/>
    </row>
  </sheetData>
  <mergeCells count="3">
    <mergeCell ref="A1:U1"/>
    <mergeCell ref="A2:U2"/>
    <mergeCell ref="A5:U5"/>
  </mergeCells>
  <printOptions horizontalCentered="1"/>
  <pageMargins left="0.15" right="0.15" top="0.85" bottom="0.75" header="0.25" footer="0.25"/>
  <pageSetup horizontalDpi="300" verticalDpi="3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worksheet>
</file>

<file path=xl/worksheets/sheet10.xml><?xml version="1.0" encoding="utf-8"?>
<worksheet xmlns="http://schemas.openxmlformats.org/spreadsheetml/2006/main" xmlns:r="http://schemas.openxmlformats.org/officeDocument/2006/relationships">
  <dimension ref="A1:T88"/>
  <sheetViews>
    <sheetView zoomScale="75" zoomScaleNormal="75" workbookViewId="0" topLeftCell="A4">
      <selection activeCell="D16" sqref="D16"/>
    </sheetView>
  </sheetViews>
  <sheetFormatPr defaultColWidth="9.140625" defaultRowHeight="12.75"/>
  <cols>
    <col min="1" max="1" width="12.28125" style="0" customWidth="1"/>
    <col min="2" max="2" width="20.00390625" style="0" customWidth="1"/>
    <col min="3" max="3" width="16.140625" style="0" customWidth="1"/>
    <col min="4" max="4" width="9.8515625" style="0" customWidth="1"/>
    <col min="6" max="6" width="9.7109375" style="48" customWidth="1"/>
    <col min="8" max="8" width="10.00390625" style="0" customWidth="1"/>
    <col min="9" max="9" width="9.8515625" style="0" customWidth="1"/>
    <col min="10" max="10" width="9.28125" style="0" customWidth="1"/>
    <col min="11" max="11" width="9.8515625" style="0" customWidth="1"/>
    <col min="12" max="12" width="10.00390625" style="0" customWidth="1"/>
    <col min="15" max="15" width="9.8515625" style="0" customWidth="1"/>
    <col min="16" max="16" width="11.00390625" style="48" customWidth="1"/>
    <col min="17" max="17" width="19.421875" style="0" customWidth="1"/>
    <col min="20" max="20" width="11.57421875" style="0" bestFit="1"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47"/>
      <c r="G2" s="1"/>
      <c r="H2" s="1"/>
      <c r="I2" s="1"/>
      <c r="J2" s="1"/>
      <c r="K2" s="1"/>
      <c r="L2" s="1"/>
      <c r="M2" s="1"/>
      <c r="N2" s="1"/>
      <c r="O2" s="1"/>
      <c r="P2" s="47"/>
    </row>
    <row r="3" spans="1:17" ht="18">
      <c r="A3" s="211" t="s">
        <v>38</v>
      </c>
      <c r="B3" s="211"/>
      <c r="C3" s="211"/>
      <c r="D3" s="211"/>
      <c r="E3" s="211"/>
      <c r="F3" s="211"/>
      <c r="G3" s="211"/>
      <c r="H3" s="211"/>
      <c r="I3" s="211"/>
      <c r="J3" s="211"/>
      <c r="K3" s="211"/>
      <c r="L3" s="211"/>
      <c r="M3" s="211"/>
      <c r="N3" s="211"/>
      <c r="O3" s="211"/>
      <c r="P3" s="211"/>
      <c r="Q3" s="211"/>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82" t="s">
        <v>5</v>
      </c>
      <c r="G6" s="178" t="s">
        <v>6</v>
      </c>
      <c r="H6" s="178" t="s">
        <v>8</v>
      </c>
      <c r="I6" s="178" t="s">
        <v>7</v>
      </c>
      <c r="J6" s="178" t="s">
        <v>9</v>
      </c>
      <c r="K6" s="178" t="s">
        <v>10</v>
      </c>
      <c r="L6" s="178" t="s">
        <v>11</v>
      </c>
      <c r="M6" s="178" t="s">
        <v>12</v>
      </c>
      <c r="N6" s="178" t="s">
        <v>13</v>
      </c>
      <c r="O6" s="178" t="s">
        <v>14</v>
      </c>
      <c r="P6" s="181" t="s">
        <v>16</v>
      </c>
      <c r="Q6" s="174" t="s">
        <v>15</v>
      </c>
    </row>
    <row r="7" spans="1:17" s="3" customFormat="1" ht="12">
      <c r="A7" s="19" t="s">
        <v>40</v>
      </c>
      <c r="B7" s="15"/>
      <c r="C7" s="16"/>
      <c r="D7" s="17"/>
      <c r="E7" s="17"/>
      <c r="F7" s="53"/>
      <c r="G7" s="17"/>
      <c r="H7" s="17"/>
      <c r="I7" s="17"/>
      <c r="J7" s="17"/>
      <c r="K7" s="17"/>
      <c r="L7" s="17"/>
      <c r="M7" s="17"/>
      <c r="N7" s="17"/>
      <c r="O7" s="17"/>
      <c r="P7" s="49"/>
      <c r="Q7" s="18"/>
    </row>
    <row r="8" spans="1:17" s="3" customFormat="1" ht="48">
      <c r="A8" s="24" t="s">
        <v>41</v>
      </c>
      <c r="B8" s="27" t="s">
        <v>42</v>
      </c>
      <c r="C8" s="27" t="s">
        <v>43</v>
      </c>
      <c r="D8" s="45">
        <f>4*1.0447</f>
        <v>4.1788</v>
      </c>
      <c r="E8" s="45">
        <f>1*1.0447</f>
        <v>1.0447</v>
      </c>
      <c r="F8" s="45">
        <v>0</v>
      </c>
      <c r="G8" s="45">
        <f>2*1.0447</f>
        <v>2.0894</v>
      </c>
      <c r="H8" s="45">
        <f>3*1.0447</f>
        <v>3.1341</v>
      </c>
      <c r="I8" s="45">
        <f>5*1.0447</f>
        <v>5.2235</v>
      </c>
      <c r="J8" s="45">
        <f>2*1.0447</f>
        <v>2.0894</v>
      </c>
      <c r="K8" s="45">
        <f>9*1.0447</f>
        <v>9.4023</v>
      </c>
      <c r="L8" s="45">
        <f>11*1.0447</f>
        <v>11.4917</v>
      </c>
      <c r="M8" s="45">
        <f>12*1.0447</f>
        <v>12.5364</v>
      </c>
      <c r="N8" s="45">
        <f>15*1.0447</f>
        <v>15.670499999999999</v>
      </c>
      <c r="O8" s="45">
        <f>5*1.0447</f>
        <v>5.2235</v>
      </c>
      <c r="P8" s="43">
        <f>SUM(D8:O8)</f>
        <v>72.0843</v>
      </c>
      <c r="Q8" s="38" t="s">
        <v>163</v>
      </c>
    </row>
    <row r="9" spans="1:17" s="3" customFormat="1" ht="12">
      <c r="A9" s="19" t="s">
        <v>245</v>
      </c>
      <c r="B9" s="15"/>
      <c r="C9" s="16"/>
      <c r="D9" s="17"/>
      <c r="E9" s="17"/>
      <c r="F9" s="53"/>
      <c r="G9" s="17"/>
      <c r="H9" s="17"/>
      <c r="I9" s="17"/>
      <c r="J9" s="17"/>
      <c r="K9" s="17"/>
      <c r="L9" s="17"/>
      <c r="M9" s="17"/>
      <c r="N9" s="17"/>
      <c r="O9" s="17"/>
      <c r="P9" s="49"/>
      <c r="Q9" s="18"/>
    </row>
    <row r="10" spans="1:17" s="3"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row>
    <row r="11" spans="1:17" s="3" customFormat="1" ht="12">
      <c r="A11" s="19" t="s">
        <v>247</v>
      </c>
      <c r="B11" s="15"/>
      <c r="C11" s="16"/>
      <c r="D11" s="17"/>
      <c r="E11" s="17"/>
      <c r="F11" s="53"/>
      <c r="G11" s="17"/>
      <c r="H11" s="17"/>
      <c r="I11" s="17"/>
      <c r="J11" s="17"/>
      <c r="K11" s="17"/>
      <c r="L11" s="17"/>
      <c r="M11" s="17"/>
      <c r="N11" s="17"/>
      <c r="O11" s="17"/>
      <c r="P11" s="49"/>
      <c r="Q11" s="18"/>
    </row>
    <row r="12" spans="1:17" s="3" customFormat="1" ht="24">
      <c r="A12" s="24" t="s">
        <v>248</v>
      </c>
      <c r="B12" s="24" t="s">
        <v>148</v>
      </c>
      <c r="C12" s="24" t="s">
        <v>44</v>
      </c>
      <c r="D12" s="69">
        <v>5</v>
      </c>
      <c r="E12" s="69">
        <v>4</v>
      </c>
      <c r="F12" s="45">
        <v>5</v>
      </c>
      <c r="G12" s="69">
        <v>5</v>
      </c>
      <c r="H12" s="69">
        <v>4</v>
      </c>
      <c r="I12" s="69">
        <v>5</v>
      </c>
      <c r="J12" s="69">
        <v>4</v>
      </c>
      <c r="K12" s="69">
        <v>5</v>
      </c>
      <c r="L12" s="69">
        <v>4</v>
      </c>
      <c r="M12" s="69">
        <v>5</v>
      </c>
      <c r="N12" s="69">
        <v>4</v>
      </c>
      <c r="O12" s="69">
        <v>5</v>
      </c>
      <c r="P12" s="45">
        <f>SUM(D12:O12)</f>
        <v>55</v>
      </c>
      <c r="Q12" s="28" t="s">
        <v>79</v>
      </c>
    </row>
    <row r="13" spans="1:17"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43">
        <f>SUM(D13:O13)</f>
        <v>251</v>
      </c>
      <c r="Q13" s="28" t="s">
        <v>64</v>
      </c>
    </row>
    <row r="14" spans="1:17" s="3" customFormat="1" ht="12">
      <c r="A14" s="24" t="s">
        <v>250</v>
      </c>
      <c r="B14" s="38" t="s">
        <v>63</v>
      </c>
      <c r="C14" s="24" t="s">
        <v>44</v>
      </c>
      <c r="D14" s="69">
        <v>0</v>
      </c>
      <c r="E14" s="69">
        <v>0</v>
      </c>
      <c r="F14" s="45">
        <v>1</v>
      </c>
      <c r="G14" s="69">
        <v>0</v>
      </c>
      <c r="H14" s="69">
        <v>0</v>
      </c>
      <c r="I14" s="69">
        <v>1</v>
      </c>
      <c r="J14" s="69">
        <v>0</v>
      </c>
      <c r="K14" s="69">
        <v>0</v>
      </c>
      <c r="L14" s="69">
        <v>1</v>
      </c>
      <c r="M14" s="69">
        <v>0</v>
      </c>
      <c r="N14" s="69">
        <v>0</v>
      </c>
      <c r="O14" s="69">
        <v>1</v>
      </c>
      <c r="P14" s="43">
        <f>SUM(D14:O14)</f>
        <v>4</v>
      </c>
      <c r="Q14" s="28" t="s">
        <v>78</v>
      </c>
    </row>
    <row r="15" spans="1:17" s="3" customFormat="1" ht="12">
      <c r="A15" s="19" t="s">
        <v>251</v>
      </c>
      <c r="B15" s="15"/>
      <c r="C15" s="16"/>
      <c r="D15" s="17"/>
      <c r="E15" s="17"/>
      <c r="F15" s="53"/>
      <c r="G15" s="17"/>
      <c r="H15" s="17"/>
      <c r="I15" s="17"/>
      <c r="J15" s="17"/>
      <c r="K15" s="17"/>
      <c r="L15" s="17"/>
      <c r="M15" s="17"/>
      <c r="N15" s="17"/>
      <c r="O15" s="17"/>
      <c r="P15" s="49"/>
      <c r="Q15" s="66"/>
    </row>
    <row r="16" spans="1:17" s="58" customFormat="1" ht="24">
      <c r="A16" s="28">
        <v>5.4</v>
      </c>
      <c r="B16" s="38" t="s">
        <v>45</v>
      </c>
      <c r="C16" s="27" t="s">
        <v>46</v>
      </c>
      <c r="D16" s="45">
        <v>2268673.8399</v>
      </c>
      <c r="E16" s="45">
        <v>1544788.524</v>
      </c>
      <c r="F16" s="45">
        <v>1865717.8032999998</v>
      </c>
      <c r="G16" s="45">
        <v>1661990.2466</v>
      </c>
      <c r="H16" s="45">
        <v>1314741.3689</v>
      </c>
      <c r="I16" s="45">
        <v>2194905.2977</v>
      </c>
      <c r="J16" s="45">
        <v>1951034.7084999997</v>
      </c>
      <c r="K16" s="45">
        <v>2567666.7940999996</v>
      </c>
      <c r="L16" s="45">
        <v>1668363.9612999998</v>
      </c>
      <c r="M16" s="45">
        <v>2216265.2339</v>
      </c>
      <c r="N16" s="45">
        <v>1943795.9822000002</v>
      </c>
      <c r="O16" s="45">
        <v>1375460.3775999998</v>
      </c>
      <c r="P16" s="45">
        <v>22573404.138</v>
      </c>
      <c r="Q16" s="7" t="s">
        <v>234</v>
      </c>
    </row>
    <row r="17" spans="1:17" s="3" customFormat="1" ht="12">
      <c r="A17" s="208" t="s">
        <v>252</v>
      </c>
      <c r="B17" s="209"/>
      <c r="C17" s="209"/>
      <c r="D17" s="209"/>
      <c r="E17" s="209"/>
      <c r="F17" s="209"/>
      <c r="G17" s="209"/>
      <c r="H17" s="209"/>
      <c r="I17" s="209"/>
      <c r="J17" s="209"/>
      <c r="K17" s="209"/>
      <c r="L17" s="209"/>
      <c r="M17" s="209"/>
      <c r="N17" s="209"/>
      <c r="O17" s="209"/>
      <c r="P17" s="209"/>
      <c r="Q17" s="210"/>
    </row>
    <row r="18" spans="1:17" s="2" customFormat="1" ht="12">
      <c r="A18" s="4" t="s">
        <v>21</v>
      </c>
      <c r="B18" s="5" t="s">
        <v>18</v>
      </c>
      <c r="C18" s="40"/>
      <c r="D18" s="41"/>
      <c r="E18" s="41"/>
      <c r="F18" s="54"/>
      <c r="G18" s="41"/>
      <c r="H18" s="41"/>
      <c r="I18" s="41"/>
      <c r="J18" s="41"/>
      <c r="K18" s="41"/>
      <c r="L18" s="41"/>
      <c r="M18" s="41"/>
      <c r="N18" s="41"/>
      <c r="O18" s="41"/>
      <c r="P18" s="50"/>
      <c r="Q18" s="40"/>
    </row>
    <row r="19" spans="1:17" s="2" customFormat="1" ht="12">
      <c r="A19" s="21" t="s">
        <v>253</v>
      </c>
      <c r="B19" s="5" t="s">
        <v>149</v>
      </c>
      <c r="C19" s="40"/>
      <c r="D19" s="41"/>
      <c r="E19" s="41"/>
      <c r="F19" s="54"/>
      <c r="G19" s="41"/>
      <c r="H19" s="41"/>
      <c r="I19" s="41"/>
      <c r="J19" s="41"/>
      <c r="K19" s="41"/>
      <c r="L19" s="41"/>
      <c r="M19" s="41"/>
      <c r="N19" s="41"/>
      <c r="O19" s="41"/>
      <c r="P19" s="50"/>
      <c r="Q19" s="40"/>
    </row>
    <row r="20" spans="1:17" s="11" customFormat="1" ht="94.5" customHeight="1">
      <c r="A20" s="23" t="s">
        <v>254</v>
      </c>
      <c r="B20" s="7" t="s">
        <v>110</v>
      </c>
      <c r="C20" s="27" t="s">
        <v>47</v>
      </c>
      <c r="D20" s="33">
        <f>820176*1.0447</f>
        <v>856837.8672</v>
      </c>
      <c r="E20" s="32">
        <f>313474*1.0447</f>
        <v>327486.2878</v>
      </c>
      <c r="F20" s="32">
        <f>361340*1.0447</f>
        <v>377491.898</v>
      </c>
      <c r="G20" s="32">
        <f>328651*1.0447</f>
        <v>343341.6997</v>
      </c>
      <c r="H20" s="32">
        <f>244538*1.0447</f>
        <v>255468.8486</v>
      </c>
      <c r="I20" s="32">
        <f>282231*1.0447</f>
        <v>294846.7257</v>
      </c>
      <c r="J20" s="32">
        <f>633301*1.0447</f>
        <v>661609.5547</v>
      </c>
      <c r="K20" s="32">
        <f>331480*1.0447</f>
        <v>346297.15599999996</v>
      </c>
      <c r="L20" s="32">
        <f>292203*1.0447</f>
        <v>305264.4741</v>
      </c>
      <c r="M20" s="32">
        <f>430589*1.0447</f>
        <v>449836.3283</v>
      </c>
      <c r="N20" s="32">
        <f>292130*1.0447</f>
        <v>305188.211</v>
      </c>
      <c r="O20" s="32">
        <f>339429*1.0447</f>
        <v>354601.4763</v>
      </c>
      <c r="P20" s="57">
        <f aca="true" t="shared" si="0" ref="P20:P30">SUM(D20:O20)</f>
        <v>4878270.5274</v>
      </c>
      <c r="Q20" s="7"/>
    </row>
    <row r="21" spans="1:17" s="2" customFormat="1" ht="84">
      <c r="A21" s="23" t="s">
        <v>254</v>
      </c>
      <c r="B21" s="5" t="s">
        <v>110</v>
      </c>
      <c r="C21" s="26" t="s">
        <v>48</v>
      </c>
      <c r="D21" s="32">
        <f>SUM(2615298-402190)*1.0447</f>
        <v>2312033.9276</v>
      </c>
      <c r="E21" s="32">
        <f>SUM(2686626-393336)*1.0447</f>
        <v>2395800.063</v>
      </c>
      <c r="F21" s="32">
        <f>SUM(1450932-199880)*1.0447</f>
        <v>1306974.0244</v>
      </c>
      <c r="G21" s="32">
        <f>SUM(1278740-781817)*1.0447</f>
        <v>519135.4581</v>
      </c>
      <c r="H21" s="32">
        <f>SUM(4073915-986117)*1.0447</f>
        <v>3225822.5705999997</v>
      </c>
      <c r="I21" s="32">
        <f>SUM(3651390-230608)*1.0447</f>
        <v>3573690.9554</v>
      </c>
      <c r="J21" s="32">
        <f>SUM(3311255-351200)*1.0447</f>
        <v>3092369.4584999997</v>
      </c>
      <c r="K21" s="32">
        <f>SUM(3526781-402437)*1.0447</f>
        <v>3264002.1768</v>
      </c>
      <c r="L21" s="32">
        <f>SUM(2892101-182620)*1.0447</f>
        <v>2830594.8007</v>
      </c>
      <c r="M21" s="32">
        <f>SUM(1944766-414853)*1.0447</f>
        <v>1598300.1110999999</v>
      </c>
      <c r="N21" s="32">
        <f>SUM(2477835-413046)*1.0447</f>
        <v>2157085.0683</v>
      </c>
      <c r="O21" s="32">
        <f>SUM(1979649-1091799)*1.0447</f>
        <v>927536.895</v>
      </c>
      <c r="P21" s="51">
        <f t="shared" si="0"/>
        <v>27203345.5095</v>
      </c>
      <c r="Q21" s="5" t="s">
        <v>201</v>
      </c>
    </row>
    <row r="22" spans="1:17" s="2" customFormat="1" ht="60">
      <c r="A22" s="23" t="s">
        <v>254</v>
      </c>
      <c r="B22" s="5" t="s">
        <v>110</v>
      </c>
      <c r="C22" s="27" t="s">
        <v>144</v>
      </c>
      <c r="D22" s="8" t="s">
        <v>59</v>
      </c>
      <c r="E22" s="8" t="s">
        <v>59</v>
      </c>
      <c r="F22" s="46" t="s">
        <v>59</v>
      </c>
      <c r="G22" s="8" t="s">
        <v>59</v>
      </c>
      <c r="H22" s="8" t="s">
        <v>59</v>
      </c>
      <c r="I22" s="8" t="s">
        <v>59</v>
      </c>
      <c r="J22" s="8" t="s">
        <v>59</v>
      </c>
      <c r="K22" s="8" t="s">
        <v>59</v>
      </c>
      <c r="L22" s="8" t="s">
        <v>59</v>
      </c>
      <c r="M22" s="8" t="s">
        <v>59</v>
      </c>
      <c r="N22" s="8" t="s">
        <v>59</v>
      </c>
      <c r="O22" s="8" t="s">
        <v>59</v>
      </c>
      <c r="P22" s="46" t="s">
        <v>59</v>
      </c>
      <c r="Q22" s="7" t="s">
        <v>192</v>
      </c>
    </row>
    <row r="23" spans="1:17" s="2" customFormat="1" ht="84">
      <c r="A23" s="23" t="s">
        <v>254</v>
      </c>
      <c r="B23" s="5" t="s">
        <v>110</v>
      </c>
      <c r="C23" s="26" t="s">
        <v>49</v>
      </c>
      <c r="D23" s="52">
        <f>101437*1.0469</f>
        <v>106194.39529999999</v>
      </c>
      <c r="E23" s="52">
        <f>56179*1.0469</f>
        <v>58813.795099999996</v>
      </c>
      <c r="F23" s="52">
        <f>52966*1.0469</f>
        <v>55450.1054</v>
      </c>
      <c r="G23" s="52">
        <f>79824*1.0469</f>
        <v>83567.7456</v>
      </c>
      <c r="H23" s="52">
        <f>42292*1.0469</f>
        <v>44275.4948</v>
      </c>
      <c r="I23" s="52">
        <f>93347*1.0469</f>
        <v>97724.9743</v>
      </c>
      <c r="J23" s="52">
        <f>120520*1.0469</f>
        <v>126172.38799999999</v>
      </c>
      <c r="K23" s="52">
        <f>180157*1.0469</f>
        <v>188606.3633</v>
      </c>
      <c r="L23" s="52">
        <f>85105*1.0469</f>
        <v>89096.4245</v>
      </c>
      <c r="M23" s="52">
        <f>125246*1.0469</f>
        <v>131120.0374</v>
      </c>
      <c r="N23" s="52">
        <f>50137*1.0469</f>
        <v>52488.425299999995</v>
      </c>
      <c r="O23" s="52">
        <f>38468*1.0469</f>
        <v>40272.1492</v>
      </c>
      <c r="P23" s="51">
        <f t="shared" si="0"/>
        <v>1073782.2982</v>
      </c>
      <c r="Q23" s="5" t="s">
        <v>203</v>
      </c>
    </row>
    <row r="24" spans="1:17" s="2" customFormat="1" ht="96">
      <c r="A24" s="23" t="s">
        <v>254</v>
      </c>
      <c r="B24" s="5" t="s">
        <v>110</v>
      </c>
      <c r="C24" s="26" t="s">
        <v>50</v>
      </c>
      <c r="D24" s="52">
        <f>12137*1.0469</f>
        <v>12706.2253</v>
      </c>
      <c r="E24" s="52">
        <f>10114*1.0469</f>
        <v>10588.346599999999</v>
      </c>
      <c r="F24" s="52">
        <f>7645*1.0469</f>
        <v>8003.550499999999</v>
      </c>
      <c r="G24" s="52">
        <f>3422*1.0469</f>
        <v>3582.4918</v>
      </c>
      <c r="H24" s="52">
        <f>3849*1.0469</f>
        <v>4029.5181</v>
      </c>
      <c r="I24" s="52">
        <f>15793*1.0469</f>
        <v>16533.6917</v>
      </c>
      <c r="J24" s="52">
        <f>4164*1.0469</f>
        <v>4359.2916</v>
      </c>
      <c r="K24" s="52">
        <f>4211*1.0469</f>
        <v>4408.4959</v>
      </c>
      <c r="L24" s="52">
        <f>2641*1.0469</f>
        <v>2764.8628999999996</v>
      </c>
      <c r="M24" s="52">
        <f>6759*1.0469</f>
        <v>7075.9971</v>
      </c>
      <c r="N24" s="52">
        <f>1553*1.0469</f>
        <v>1625.8356999999999</v>
      </c>
      <c r="O24" s="52">
        <f>3473*1.0469</f>
        <v>3635.8837</v>
      </c>
      <c r="P24" s="51">
        <f t="shared" si="0"/>
        <v>79314.19089999999</v>
      </c>
      <c r="Q24" s="5" t="s">
        <v>193</v>
      </c>
    </row>
    <row r="25" spans="1:17" s="2" customFormat="1" ht="120">
      <c r="A25" s="23" t="s">
        <v>254</v>
      </c>
      <c r="B25" s="5" t="s">
        <v>110</v>
      </c>
      <c r="C25" s="26" t="s">
        <v>51</v>
      </c>
      <c r="D25" s="52">
        <f>1246*0.8902</f>
        <v>1109.1892</v>
      </c>
      <c r="E25" s="52">
        <f>2631*0.8902</f>
        <v>2342.1162</v>
      </c>
      <c r="F25" s="52">
        <f>297*0.8902</f>
        <v>264.3894</v>
      </c>
      <c r="G25" s="52">
        <f>1086*0.8902</f>
        <v>966.7572</v>
      </c>
      <c r="H25" s="52">
        <f>0*0.8902</f>
        <v>0</v>
      </c>
      <c r="I25" s="52">
        <f>1337*0.8902</f>
        <v>1190.1974</v>
      </c>
      <c r="J25" s="52">
        <f>439*0.8902</f>
        <v>390.7978</v>
      </c>
      <c r="K25" s="52">
        <f>291*0.8902</f>
        <v>259.0482</v>
      </c>
      <c r="L25" s="52">
        <f>581*0.8902</f>
        <v>517.2062</v>
      </c>
      <c r="M25" s="52">
        <f>120*0.8902</f>
        <v>106.824</v>
      </c>
      <c r="N25" s="52">
        <f>517*0.8902</f>
        <v>460.2334</v>
      </c>
      <c r="O25" s="46">
        <f>166*0.8902</f>
        <v>147.7732</v>
      </c>
      <c r="P25" s="51">
        <f t="shared" si="0"/>
        <v>7754.5322</v>
      </c>
      <c r="Q25" s="5" t="s">
        <v>194</v>
      </c>
    </row>
    <row r="26" spans="1:17" s="2" customFormat="1" ht="84">
      <c r="A26" s="23" t="s">
        <v>254</v>
      </c>
      <c r="B26" s="5" t="s">
        <v>110</v>
      </c>
      <c r="C26" s="27" t="s">
        <v>75</v>
      </c>
      <c r="D26" s="52">
        <f>1905245*1.0529</f>
        <v>2006032.4604999998</v>
      </c>
      <c r="E26" s="52">
        <f>860771*1.0529</f>
        <v>906305.7858999999</v>
      </c>
      <c r="F26" s="52">
        <f>243793*1.0529</f>
        <v>256689.64969999998</v>
      </c>
      <c r="G26" s="52">
        <f>25634*1.0529</f>
        <v>26990.0386</v>
      </c>
      <c r="H26" s="52">
        <f>72595*1.0529</f>
        <v>76435.2755</v>
      </c>
      <c r="I26" s="52">
        <f>312117*1.0529</f>
        <v>328627.98929999996</v>
      </c>
      <c r="J26" s="52">
        <f>781287*1.0529</f>
        <v>822617.0823</v>
      </c>
      <c r="K26" s="52">
        <f>444616*1.0529</f>
        <v>468136.18639999995</v>
      </c>
      <c r="L26" s="52">
        <f>213869*1.0529</f>
        <v>225182.6701</v>
      </c>
      <c r="M26" s="52">
        <f>2279040*1.0529</f>
        <v>2399601.216</v>
      </c>
      <c r="N26" s="52">
        <f>2341473*1.0529</f>
        <v>2465336.9217</v>
      </c>
      <c r="O26" s="52">
        <f>2366820*1.0529</f>
        <v>2492024.778</v>
      </c>
      <c r="P26" s="43">
        <f t="shared" si="0"/>
        <v>12473980.054000001</v>
      </c>
      <c r="Q26" s="26" t="s">
        <v>195</v>
      </c>
    </row>
    <row r="27" spans="1:17" s="2" customFormat="1" ht="36">
      <c r="A27" s="109" t="s">
        <v>255</v>
      </c>
      <c r="B27" s="110"/>
      <c r="C27" s="111"/>
      <c r="D27" s="113">
        <f>SUM(D20:D26)</f>
        <v>5294914.0651</v>
      </c>
      <c r="E27" s="113">
        <f aca="true" t="shared" si="1" ref="E27:O27">SUM(E20:E26)</f>
        <v>3701336.3946</v>
      </c>
      <c r="F27" s="113">
        <f t="shared" si="1"/>
        <v>2004873.6173999999</v>
      </c>
      <c r="G27" s="113">
        <f t="shared" si="1"/>
        <v>977584.1909999999</v>
      </c>
      <c r="H27" s="113">
        <f t="shared" si="1"/>
        <v>3606031.7076</v>
      </c>
      <c r="I27" s="113">
        <f t="shared" si="1"/>
        <v>4312614.533799999</v>
      </c>
      <c r="J27" s="113">
        <f t="shared" si="1"/>
        <v>4707518.5729</v>
      </c>
      <c r="K27" s="113">
        <f t="shared" si="1"/>
        <v>4271709.4266</v>
      </c>
      <c r="L27" s="113">
        <f t="shared" si="1"/>
        <v>3453420.4385</v>
      </c>
      <c r="M27" s="113">
        <f t="shared" si="1"/>
        <v>4586040.5139</v>
      </c>
      <c r="N27" s="113">
        <f t="shared" si="1"/>
        <v>4982184.6954</v>
      </c>
      <c r="O27" s="113">
        <f t="shared" si="1"/>
        <v>3818218.9554</v>
      </c>
      <c r="P27" s="113">
        <f>SUM(D27:O27)</f>
        <v>45716447.11219999</v>
      </c>
      <c r="Q27" s="111" t="s">
        <v>277</v>
      </c>
    </row>
    <row r="28" spans="1:17" s="2" customFormat="1" ht="48">
      <c r="A28" s="21" t="s">
        <v>256</v>
      </c>
      <c r="B28" s="5" t="s">
        <v>30</v>
      </c>
      <c r="C28" s="5" t="s">
        <v>99</v>
      </c>
      <c r="D28" s="8" t="s">
        <v>59</v>
      </c>
      <c r="E28" s="8" t="s">
        <v>59</v>
      </c>
      <c r="F28" s="46" t="s">
        <v>59</v>
      </c>
      <c r="G28" s="8" t="s">
        <v>59</v>
      </c>
      <c r="H28" s="8" t="s">
        <v>59</v>
      </c>
      <c r="I28" s="8" t="s">
        <v>59</v>
      </c>
      <c r="J28" s="8" t="s">
        <v>59</v>
      </c>
      <c r="K28" s="8" t="s">
        <v>59</v>
      </c>
      <c r="L28" s="8" t="s">
        <v>59</v>
      </c>
      <c r="M28" s="8" t="s">
        <v>59</v>
      </c>
      <c r="N28" s="8" t="s">
        <v>59</v>
      </c>
      <c r="O28" s="8" t="s">
        <v>59</v>
      </c>
      <c r="P28" s="46" t="s">
        <v>59</v>
      </c>
      <c r="Q28" s="7" t="s">
        <v>358</v>
      </c>
    </row>
    <row r="29" spans="1:17" s="2" customFormat="1" ht="36" customHeight="1">
      <c r="A29" s="21" t="s">
        <v>257</v>
      </c>
      <c r="B29" s="5" t="s">
        <v>111</v>
      </c>
      <c r="C29" s="34" t="s">
        <v>61</v>
      </c>
      <c r="D29" s="32">
        <f>256*1.0447</f>
        <v>267.4432</v>
      </c>
      <c r="E29" s="32">
        <f>177*1.0447</f>
        <v>184.9119</v>
      </c>
      <c r="F29" s="32">
        <f>97*1.0447</f>
        <v>101.3359</v>
      </c>
      <c r="G29" s="32">
        <f>222*1.0447</f>
        <v>231.9234</v>
      </c>
      <c r="H29" s="32">
        <f>75*1.0447</f>
        <v>78.35249999999999</v>
      </c>
      <c r="I29" s="32">
        <f>111*1.0447</f>
        <v>115.9617</v>
      </c>
      <c r="J29" s="32">
        <f>27*1.0447</f>
        <v>28.206899999999997</v>
      </c>
      <c r="K29" s="32">
        <f>21*1.0447</f>
        <v>21.9387</v>
      </c>
      <c r="L29" s="32">
        <f>101*1.0447</f>
        <v>105.51469999999999</v>
      </c>
      <c r="M29" s="32">
        <f>10*1.0447</f>
        <v>10.447</v>
      </c>
      <c r="N29" s="32">
        <f>2*1.0447</f>
        <v>2.0894</v>
      </c>
      <c r="O29" s="32">
        <f>3*1.0447</f>
        <v>3.1341</v>
      </c>
      <c r="P29" s="45">
        <f t="shared" si="0"/>
        <v>1151.2594</v>
      </c>
      <c r="Q29" s="7" t="s">
        <v>168</v>
      </c>
    </row>
    <row r="30" spans="1:17" s="2" customFormat="1" ht="60" customHeight="1">
      <c r="A30" s="4" t="s">
        <v>23</v>
      </c>
      <c r="B30" s="5" t="s">
        <v>19</v>
      </c>
      <c r="C30" s="26" t="s">
        <v>52</v>
      </c>
      <c r="D30" s="43">
        <f>D27</f>
        <v>5294914.0651</v>
      </c>
      <c r="E30" s="43">
        <f aca="true" t="shared" si="2" ref="E30:O30">E27</f>
        <v>3701336.3946</v>
      </c>
      <c r="F30" s="43">
        <f t="shared" si="2"/>
        <v>2004873.6173999999</v>
      </c>
      <c r="G30" s="43">
        <f t="shared" si="2"/>
        <v>977584.1909999999</v>
      </c>
      <c r="H30" s="43">
        <f t="shared" si="2"/>
        <v>3606031.7076</v>
      </c>
      <c r="I30" s="43">
        <f t="shared" si="2"/>
        <v>4312614.533799999</v>
      </c>
      <c r="J30" s="43">
        <f t="shared" si="2"/>
        <v>4707518.5729</v>
      </c>
      <c r="K30" s="43">
        <f t="shared" si="2"/>
        <v>4271709.4266</v>
      </c>
      <c r="L30" s="43">
        <f t="shared" si="2"/>
        <v>3453420.4385</v>
      </c>
      <c r="M30" s="43">
        <f t="shared" si="2"/>
        <v>4586040.5139</v>
      </c>
      <c r="N30" s="43">
        <f t="shared" si="2"/>
        <v>4982184.6954</v>
      </c>
      <c r="O30" s="43">
        <f t="shared" si="2"/>
        <v>3818218.9554</v>
      </c>
      <c r="P30" s="45">
        <f t="shared" si="0"/>
        <v>45716447.11219999</v>
      </c>
      <c r="Q30" s="7"/>
    </row>
    <row r="31" spans="1:17" s="3" customFormat="1" ht="12">
      <c r="A31" s="208" t="s">
        <v>258</v>
      </c>
      <c r="B31" s="209"/>
      <c r="C31" s="209"/>
      <c r="D31" s="209"/>
      <c r="E31" s="209"/>
      <c r="F31" s="209"/>
      <c r="G31" s="209"/>
      <c r="H31" s="209"/>
      <c r="I31" s="209"/>
      <c r="J31" s="209"/>
      <c r="K31" s="209"/>
      <c r="L31" s="209"/>
      <c r="M31" s="209"/>
      <c r="N31" s="209"/>
      <c r="O31" s="209"/>
      <c r="P31" s="209"/>
      <c r="Q31" s="210"/>
    </row>
    <row r="32" spans="1:17" s="59" customFormat="1" ht="75" customHeight="1">
      <c r="A32" s="32" t="s">
        <v>24</v>
      </c>
      <c r="B32" s="27" t="s">
        <v>112</v>
      </c>
      <c r="C32" s="27" t="s">
        <v>53</v>
      </c>
      <c r="D32" s="32">
        <f>SUM(D20:D26)</f>
        <v>5294914.0651</v>
      </c>
      <c r="E32" s="32">
        <f aca="true" t="shared" si="3" ref="E32:N32">SUM(E20:E26)</f>
        <v>3701336.3946</v>
      </c>
      <c r="F32" s="32">
        <f t="shared" si="3"/>
        <v>2004873.6173999999</v>
      </c>
      <c r="G32" s="32">
        <f t="shared" si="3"/>
        <v>977584.1909999999</v>
      </c>
      <c r="H32" s="32">
        <f t="shared" si="3"/>
        <v>3606031.7076</v>
      </c>
      <c r="I32" s="32">
        <f t="shared" si="3"/>
        <v>4312614.533799999</v>
      </c>
      <c r="J32" s="32">
        <f t="shared" si="3"/>
        <v>4707518.5729</v>
      </c>
      <c r="K32" s="32">
        <f t="shared" si="3"/>
        <v>4271709.4266</v>
      </c>
      <c r="L32" s="32">
        <f t="shared" si="3"/>
        <v>3453420.4385</v>
      </c>
      <c r="M32" s="32">
        <f t="shared" si="3"/>
        <v>4586040.5139</v>
      </c>
      <c r="N32" s="32">
        <f t="shared" si="3"/>
        <v>4982184.6954</v>
      </c>
      <c r="O32" s="32">
        <f>SUM(O20:O26)</f>
        <v>3818218.9554</v>
      </c>
      <c r="P32" s="45">
        <f>SUM(D32:O32)</f>
        <v>45716447.11219999</v>
      </c>
      <c r="Q32" s="27" t="s">
        <v>288</v>
      </c>
    </row>
    <row r="33" spans="1:17" s="59" customFormat="1" ht="37.5" customHeight="1">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row>
    <row r="34" spans="1:17" s="2" customFormat="1" ht="13.5" customHeight="1">
      <c r="A34" s="4" t="s">
        <v>115</v>
      </c>
      <c r="B34" s="5" t="s">
        <v>20</v>
      </c>
      <c r="C34" s="40"/>
      <c r="D34" s="41"/>
      <c r="E34" s="41"/>
      <c r="F34" s="54"/>
      <c r="G34" s="41"/>
      <c r="H34" s="41"/>
      <c r="I34" s="41"/>
      <c r="J34" s="41"/>
      <c r="K34" s="41"/>
      <c r="L34" s="41"/>
      <c r="M34" s="41"/>
      <c r="N34" s="41"/>
      <c r="O34" s="41"/>
      <c r="P34" s="50"/>
      <c r="Q34" s="40"/>
    </row>
    <row r="35" spans="1:17" s="2" customFormat="1" ht="36">
      <c r="A35" s="22" t="s">
        <v>259</v>
      </c>
      <c r="B35" s="5" t="s">
        <v>66</v>
      </c>
      <c r="C35" s="27" t="s">
        <v>150</v>
      </c>
      <c r="D35" s="98">
        <f>4784*1.0447</f>
        <v>4997.8448</v>
      </c>
      <c r="E35" s="45">
        <f>191*1.0447</f>
        <v>199.5377</v>
      </c>
      <c r="F35" s="45">
        <f>173*1.0447</f>
        <v>180.7331</v>
      </c>
      <c r="G35" s="45">
        <f>195*1.0447</f>
        <v>203.7165</v>
      </c>
      <c r="H35" s="45">
        <f>77*1.0447</f>
        <v>80.4419</v>
      </c>
      <c r="I35" s="45">
        <f>103*1.0447</f>
        <v>107.6041</v>
      </c>
      <c r="J35" s="45">
        <f>3*1.0447</f>
        <v>3.1341</v>
      </c>
      <c r="K35" s="45">
        <f>0*1.0447</f>
        <v>0</v>
      </c>
      <c r="L35" s="45">
        <f>5*1.0447</f>
        <v>5.2235</v>
      </c>
      <c r="M35" s="45">
        <f>0*1.0447</f>
        <v>0</v>
      </c>
      <c r="N35" s="45">
        <f>0*1.0447</f>
        <v>0</v>
      </c>
      <c r="O35" s="45">
        <f>4340*1.0447</f>
        <v>4533.998</v>
      </c>
      <c r="P35" s="45">
        <f>SUM(D35:O35)</f>
        <v>10312.233699999999</v>
      </c>
      <c r="Q35" s="67" t="s">
        <v>73</v>
      </c>
    </row>
    <row r="36" spans="1:17" s="2" customFormat="1" ht="75.75" customHeight="1">
      <c r="A36" s="22" t="s">
        <v>259</v>
      </c>
      <c r="B36" s="5" t="s">
        <v>66</v>
      </c>
      <c r="C36" s="27" t="s">
        <v>181</v>
      </c>
      <c r="D36" s="39">
        <f>160493*1.0447</f>
        <v>167667.0371</v>
      </c>
      <c r="E36" s="39">
        <f>140800*1.0447</f>
        <v>147093.75999999998</v>
      </c>
      <c r="F36" s="39">
        <f>121405*1.0447</f>
        <v>126831.8035</v>
      </c>
      <c r="G36" s="39">
        <f>97065*1.0447</f>
        <v>101403.8055</v>
      </c>
      <c r="H36" s="39">
        <f>128300*1.0447</f>
        <v>134035.01</v>
      </c>
      <c r="I36" s="39">
        <f>189376*1.0447</f>
        <v>197841.1072</v>
      </c>
      <c r="J36" s="39">
        <f>180164*1.0447</f>
        <v>188217.3308</v>
      </c>
      <c r="K36" s="39">
        <f>218276*1.0447</f>
        <v>228032.9372</v>
      </c>
      <c r="L36" s="39">
        <f>178166*1.0447</f>
        <v>186130.0202</v>
      </c>
      <c r="M36" s="39">
        <f>181203*1.0447</f>
        <v>189302.77409999998</v>
      </c>
      <c r="N36" s="39">
        <f>151334*1.0447</f>
        <v>158098.6298</v>
      </c>
      <c r="O36" s="39">
        <f>120498*1.0447</f>
        <v>125884.2606</v>
      </c>
      <c r="P36" s="51">
        <f>SUM(D36:O36)</f>
        <v>1950538.4759999998</v>
      </c>
      <c r="Q36" s="35" t="s">
        <v>211</v>
      </c>
    </row>
    <row r="37" spans="1:17" s="11" customFormat="1" ht="36">
      <c r="A37" s="22" t="s">
        <v>259</v>
      </c>
      <c r="B37" s="7" t="s">
        <v>66</v>
      </c>
      <c r="C37" s="5" t="s">
        <v>182</v>
      </c>
      <c r="D37" s="91" t="s">
        <v>59</v>
      </c>
      <c r="E37" s="91" t="s">
        <v>59</v>
      </c>
      <c r="F37" s="44" t="s">
        <v>59</v>
      </c>
      <c r="G37" s="91" t="s">
        <v>59</v>
      </c>
      <c r="H37" s="91" t="s">
        <v>59</v>
      </c>
      <c r="I37" s="91" t="s">
        <v>59</v>
      </c>
      <c r="J37" s="91" t="s">
        <v>59</v>
      </c>
      <c r="K37" s="91" t="s">
        <v>59</v>
      </c>
      <c r="L37" s="91" t="s">
        <v>59</v>
      </c>
      <c r="M37" s="91" t="s">
        <v>59</v>
      </c>
      <c r="N37" s="91" t="s">
        <v>59</v>
      </c>
      <c r="O37" s="91" t="s">
        <v>59</v>
      </c>
      <c r="P37" s="44" t="s">
        <v>59</v>
      </c>
      <c r="Q37" s="7" t="s">
        <v>60</v>
      </c>
    </row>
    <row r="38" spans="1:17" s="2" customFormat="1" ht="36">
      <c r="A38" s="22" t="s">
        <v>259</v>
      </c>
      <c r="B38" s="5" t="s">
        <v>66</v>
      </c>
      <c r="C38" s="5" t="s">
        <v>183</v>
      </c>
      <c r="D38" s="37" t="s">
        <v>59</v>
      </c>
      <c r="E38" s="37" t="s">
        <v>59</v>
      </c>
      <c r="F38" s="46" t="s">
        <v>59</v>
      </c>
      <c r="G38" s="37" t="s">
        <v>59</v>
      </c>
      <c r="H38" s="37" t="s">
        <v>59</v>
      </c>
      <c r="I38" s="37" t="s">
        <v>59</v>
      </c>
      <c r="J38" s="37" t="s">
        <v>59</v>
      </c>
      <c r="K38" s="37" t="s">
        <v>59</v>
      </c>
      <c r="L38" s="37" t="s">
        <v>59</v>
      </c>
      <c r="M38" s="37" t="s">
        <v>59</v>
      </c>
      <c r="N38" s="37" t="s">
        <v>59</v>
      </c>
      <c r="O38" s="37" t="s">
        <v>59</v>
      </c>
      <c r="P38" s="46" t="s">
        <v>59</v>
      </c>
      <c r="Q38" s="5" t="s">
        <v>178</v>
      </c>
    </row>
    <row r="39" spans="1:17" s="2" customFormat="1" ht="36">
      <c r="A39" s="22" t="s">
        <v>259</v>
      </c>
      <c r="B39" s="5" t="s">
        <v>66</v>
      </c>
      <c r="C39" s="26" t="s">
        <v>184</v>
      </c>
      <c r="D39" s="52">
        <f>7760*1.0469</f>
        <v>8123.9439999999995</v>
      </c>
      <c r="E39" s="52">
        <f>8012*1.0469</f>
        <v>8387.7628</v>
      </c>
      <c r="F39" s="52">
        <f>5978*1.0469</f>
        <v>6258.3682</v>
      </c>
      <c r="G39" s="52">
        <f>2400*1.0469</f>
        <v>2512.56</v>
      </c>
      <c r="H39" s="52">
        <f>1271*1.0469</f>
        <v>1330.6099</v>
      </c>
      <c r="I39" s="52">
        <f>1039*1.0469</f>
        <v>1087.7291</v>
      </c>
      <c r="J39" s="52">
        <f>1303*1.0469</f>
        <v>1364.1107</v>
      </c>
      <c r="K39" s="52">
        <f>3795*1.0469</f>
        <v>3972.9855</v>
      </c>
      <c r="L39" s="52">
        <f>1376*1.0469</f>
        <v>1440.5344</v>
      </c>
      <c r="M39" s="52">
        <f>985*1.0469</f>
        <v>1031.1965</v>
      </c>
      <c r="N39" s="52">
        <f>490*1.0469</f>
        <v>512.981</v>
      </c>
      <c r="O39" s="52">
        <f>354*1.0469</f>
        <v>370.6026</v>
      </c>
      <c r="P39" s="43">
        <f>SUM(D39:O39)</f>
        <v>36393.384699999995</v>
      </c>
      <c r="Q39" s="5" t="s">
        <v>86</v>
      </c>
    </row>
    <row r="40" spans="1:17" s="2" customFormat="1" ht="48">
      <c r="A40" s="22" t="s">
        <v>259</v>
      </c>
      <c r="B40" s="5" t="s">
        <v>66</v>
      </c>
      <c r="C40" s="26" t="s">
        <v>185</v>
      </c>
      <c r="D40" s="37" t="s">
        <v>59</v>
      </c>
      <c r="E40" s="37" t="s">
        <v>59</v>
      </c>
      <c r="F40" s="46" t="s">
        <v>59</v>
      </c>
      <c r="G40" s="37" t="s">
        <v>59</v>
      </c>
      <c r="H40" s="37" t="s">
        <v>59</v>
      </c>
      <c r="I40" s="37" t="s">
        <v>59</v>
      </c>
      <c r="J40" s="37" t="s">
        <v>59</v>
      </c>
      <c r="K40" s="37" t="s">
        <v>59</v>
      </c>
      <c r="L40" s="37" t="s">
        <v>59</v>
      </c>
      <c r="M40" s="37" t="s">
        <v>59</v>
      </c>
      <c r="N40" s="37" t="s">
        <v>59</v>
      </c>
      <c r="O40" s="37" t="s">
        <v>59</v>
      </c>
      <c r="P40" s="46" t="s">
        <v>59</v>
      </c>
      <c r="Q40" s="5" t="s">
        <v>176</v>
      </c>
    </row>
    <row r="41" spans="1:17" s="2" customFormat="1" ht="36">
      <c r="A41" s="22" t="s">
        <v>259</v>
      </c>
      <c r="B41" s="5" t="s">
        <v>66</v>
      </c>
      <c r="C41" s="26" t="s">
        <v>186</v>
      </c>
      <c r="D41" s="37" t="s">
        <v>59</v>
      </c>
      <c r="E41" s="37" t="s">
        <v>59</v>
      </c>
      <c r="F41" s="37" t="s">
        <v>59</v>
      </c>
      <c r="G41" s="37" t="s">
        <v>59</v>
      </c>
      <c r="H41" s="37" t="s">
        <v>59</v>
      </c>
      <c r="I41" s="37" t="s">
        <v>59</v>
      </c>
      <c r="J41" s="37" t="s">
        <v>59</v>
      </c>
      <c r="K41" s="37" t="s">
        <v>59</v>
      </c>
      <c r="L41" s="37" t="s">
        <v>59</v>
      </c>
      <c r="M41" s="37" t="s">
        <v>59</v>
      </c>
      <c r="N41" s="37" t="s">
        <v>59</v>
      </c>
      <c r="O41" s="37" t="s">
        <v>59</v>
      </c>
      <c r="P41" s="46" t="s">
        <v>59</v>
      </c>
      <c r="Q41" s="5" t="s">
        <v>97</v>
      </c>
    </row>
    <row r="42" spans="1:17" s="11" customFormat="1" ht="60">
      <c r="A42" s="22" t="s">
        <v>259</v>
      </c>
      <c r="B42" s="27" t="s">
        <v>66</v>
      </c>
      <c r="C42" s="27" t="s">
        <v>187</v>
      </c>
      <c r="D42" s="107" t="s">
        <v>174</v>
      </c>
      <c r="E42" s="107" t="s">
        <v>174</v>
      </c>
      <c r="F42" s="107" t="s">
        <v>174</v>
      </c>
      <c r="G42" s="107" t="s">
        <v>174</v>
      </c>
      <c r="H42" s="107" t="s">
        <v>174</v>
      </c>
      <c r="I42" s="107" t="s">
        <v>174</v>
      </c>
      <c r="J42" s="107" t="s">
        <v>174</v>
      </c>
      <c r="K42" s="107" t="s">
        <v>174</v>
      </c>
      <c r="L42" s="107" t="s">
        <v>174</v>
      </c>
      <c r="M42" s="107" t="s">
        <v>174</v>
      </c>
      <c r="N42" s="107" t="s">
        <v>174</v>
      </c>
      <c r="O42" s="107" t="s">
        <v>174</v>
      </c>
      <c r="P42" s="107" t="s">
        <v>174</v>
      </c>
      <c r="Q42" s="7" t="s">
        <v>308</v>
      </c>
    </row>
    <row r="43" spans="1:17" s="2" customFormat="1" ht="84">
      <c r="A43" s="109" t="s">
        <v>260</v>
      </c>
      <c r="B43" s="110"/>
      <c r="C43" s="111"/>
      <c r="D43" s="113">
        <f>SUM(D35:D42)</f>
        <v>180788.82589999997</v>
      </c>
      <c r="E43" s="113">
        <f aca="true" t="shared" si="4" ref="E43:O43">SUM(E35:E42)</f>
        <v>155681.06049999996</v>
      </c>
      <c r="F43" s="113">
        <f t="shared" si="4"/>
        <v>133270.9048</v>
      </c>
      <c r="G43" s="113">
        <f t="shared" si="4"/>
        <v>104120.082</v>
      </c>
      <c r="H43" s="113">
        <f t="shared" si="4"/>
        <v>135446.06180000002</v>
      </c>
      <c r="I43" s="113">
        <f t="shared" si="4"/>
        <v>199036.4404</v>
      </c>
      <c r="J43" s="113">
        <f t="shared" si="4"/>
        <v>189584.57559999998</v>
      </c>
      <c r="K43" s="113">
        <f t="shared" si="4"/>
        <v>232005.9227</v>
      </c>
      <c r="L43" s="113">
        <f t="shared" si="4"/>
        <v>187575.7781</v>
      </c>
      <c r="M43" s="113">
        <f t="shared" si="4"/>
        <v>190333.97059999997</v>
      </c>
      <c r="N43" s="113">
        <f t="shared" si="4"/>
        <v>158611.6108</v>
      </c>
      <c r="O43" s="113">
        <f t="shared" si="4"/>
        <v>130788.8612</v>
      </c>
      <c r="P43" s="113">
        <f>SUM(D43:O43)</f>
        <v>1997244.0943999996</v>
      </c>
      <c r="Q43" s="111" t="s">
        <v>322</v>
      </c>
    </row>
    <row r="44" spans="1:17" s="2" customFormat="1" ht="36">
      <c r="A44" s="22" t="s">
        <v>259</v>
      </c>
      <c r="B44" s="27" t="s">
        <v>66</v>
      </c>
      <c r="C44" s="27" t="s">
        <v>244</v>
      </c>
      <c r="D44" s="45">
        <f>14527*1.0447</f>
        <v>15176.356899999999</v>
      </c>
      <c r="E44" s="45">
        <f>10363*1.0447</f>
        <v>10826.2261</v>
      </c>
      <c r="F44" s="45">
        <f>6831*1.0447</f>
        <v>7136.3457</v>
      </c>
      <c r="G44" s="45">
        <f>11716*1.0447</f>
        <v>12239.7052</v>
      </c>
      <c r="H44" s="45">
        <f>2429*1.0447</f>
        <v>2537.5762999999997</v>
      </c>
      <c r="I44" s="45">
        <f>11145*1.0447</f>
        <v>11643.181499999999</v>
      </c>
      <c r="J44" s="45">
        <f>6625*1.0447</f>
        <v>6921.1375</v>
      </c>
      <c r="K44" s="45">
        <f>17424*1.0447</f>
        <v>18202.8528</v>
      </c>
      <c r="L44" s="45">
        <f>11218*1.0447</f>
        <v>11719.444599999999</v>
      </c>
      <c r="M44" s="45">
        <f>10866*1.0447</f>
        <v>11351.7102</v>
      </c>
      <c r="N44" s="45">
        <f>13084*1.0447</f>
        <v>13668.8548</v>
      </c>
      <c r="O44" s="45">
        <f>21471*1.0447</f>
        <v>22430.753699999997</v>
      </c>
      <c r="P44" s="43">
        <f>SUM(D44:O44)</f>
        <v>143854.1453</v>
      </c>
      <c r="Q44" s="27" t="s">
        <v>243</v>
      </c>
    </row>
    <row r="45" spans="1:17" s="59" customFormat="1" ht="39.75" customHeight="1">
      <c r="A45" s="105" t="s">
        <v>261</v>
      </c>
      <c r="B45" s="27" t="s">
        <v>32</v>
      </c>
      <c r="C45" s="27" t="s">
        <v>67</v>
      </c>
      <c r="D45" s="45">
        <f aca="true" t="shared" si="5" ref="D45:O45">SUM(D36:D42)</f>
        <v>175790.98109999998</v>
      </c>
      <c r="E45" s="45">
        <f t="shared" si="5"/>
        <v>155481.52279999998</v>
      </c>
      <c r="F45" s="45">
        <f t="shared" si="5"/>
        <v>133090.1717</v>
      </c>
      <c r="G45" s="45">
        <f t="shared" si="5"/>
        <v>103916.3655</v>
      </c>
      <c r="H45" s="45">
        <f t="shared" si="5"/>
        <v>135365.61990000002</v>
      </c>
      <c r="I45" s="45">
        <f t="shared" si="5"/>
        <v>198928.8363</v>
      </c>
      <c r="J45" s="45">
        <f t="shared" si="5"/>
        <v>189581.4415</v>
      </c>
      <c r="K45" s="45">
        <f t="shared" si="5"/>
        <v>232005.9227</v>
      </c>
      <c r="L45" s="45">
        <f t="shared" si="5"/>
        <v>187570.5546</v>
      </c>
      <c r="M45" s="45">
        <f t="shared" si="5"/>
        <v>190333.97059999997</v>
      </c>
      <c r="N45" s="45">
        <f t="shared" si="5"/>
        <v>158611.6108</v>
      </c>
      <c r="O45" s="45">
        <f t="shared" si="5"/>
        <v>126254.86319999999</v>
      </c>
      <c r="P45" s="45">
        <f aca="true" t="shared" si="6" ref="P45:P58">SUM(D45:O45)</f>
        <v>1986931.8606999996</v>
      </c>
      <c r="Q45" s="27" t="s">
        <v>93</v>
      </c>
    </row>
    <row r="46" spans="1:18" s="2" customFormat="1" ht="36.75" customHeight="1">
      <c r="A46" s="105" t="s">
        <v>261</v>
      </c>
      <c r="B46" s="7" t="s">
        <v>32</v>
      </c>
      <c r="C46" s="7" t="s">
        <v>68</v>
      </c>
      <c r="D46" s="45">
        <f>D35</f>
        <v>4997.8448</v>
      </c>
      <c r="E46" s="45">
        <f aca="true" t="shared" si="7" ref="E46:O46">E35</f>
        <v>199.5377</v>
      </c>
      <c r="F46" s="45">
        <f t="shared" si="7"/>
        <v>180.7331</v>
      </c>
      <c r="G46" s="45">
        <f t="shared" si="7"/>
        <v>203.7165</v>
      </c>
      <c r="H46" s="45">
        <f t="shared" si="7"/>
        <v>80.4419</v>
      </c>
      <c r="I46" s="45">
        <f t="shared" si="7"/>
        <v>107.6041</v>
      </c>
      <c r="J46" s="45">
        <f t="shared" si="7"/>
        <v>3.1341</v>
      </c>
      <c r="K46" s="45">
        <f t="shared" si="7"/>
        <v>0</v>
      </c>
      <c r="L46" s="45">
        <f t="shared" si="7"/>
        <v>5.2235</v>
      </c>
      <c r="M46" s="45">
        <f t="shared" si="7"/>
        <v>0</v>
      </c>
      <c r="N46" s="45">
        <f t="shared" si="7"/>
        <v>0</v>
      </c>
      <c r="O46" s="45">
        <f t="shared" si="7"/>
        <v>4533.998</v>
      </c>
      <c r="P46" s="45">
        <f t="shared" si="6"/>
        <v>10312.233699999999</v>
      </c>
      <c r="Q46" s="27" t="s">
        <v>94</v>
      </c>
      <c r="R46" s="11"/>
    </row>
    <row r="47" spans="1:17" s="2" customFormat="1" ht="36">
      <c r="A47" s="109" t="s">
        <v>262</v>
      </c>
      <c r="B47" s="110"/>
      <c r="C47" s="111"/>
      <c r="D47" s="113">
        <f>SUM(D45:D46)</f>
        <v>180788.82589999997</v>
      </c>
      <c r="E47" s="113">
        <f aca="true" t="shared" si="8" ref="E47:O47">SUM(E45:E46)</f>
        <v>155681.06049999996</v>
      </c>
      <c r="F47" s="113">
        <f t="shared" si="8"/>
        <v>133270.90480000002</v>
      </c>
      <c r="G47" s="113">
        <f t="shared" si="8"/>
        <v>104120.082</v>
      </c>
      <c r="H47" s="113">
        <f t="shared" si="8"/>
        <v>135446.06180000002</v>
      </c>
      <c r="I47" s="113">
        <f t="shared" si="8"/>
        <v>199036.4404</v>
      </c>
      <c r="J47" s="113">
        <f t="shared" si="8"/>
        <v>189584.57559999998</v>
      </c>
      <c r="K47" s="113">
        <f t="shared" si="8"/>
        <v>232005.9227</v>
      </c>
      <c r="L47" s="113">
        <f t="shared" si="8"/>
        <v>187575.7781</v>
      </c>
      <c r="M47" s="113">
        <f t="shared" si="8"/>
        <v>190333.97059999997</v>
      </c>
      <c r="N47" s="113">
        <f t="shared" si="8"/>
        <v>158611.6108</v>
      </c>
      <c r="O47" s="113">
        <f t="shared" si="8"/>
        <v>130788.86119999998</v>
      </c>
      <c r="P47" s="113">
        <f>SUM(D47:O47)</f>
        <v>1997244.0943999996</v>
      </c>
      <c r="Q47" s="111" t="s">
        <v>280</v>
      </c>
    </row>
    <row r="48" spans="1:17" s="11" customFormat="1" ht="99" customHeight="1">
      <c r="A48" s="6" t="s">
        <v>263</v>
      </c>
      <c r="B48" s="7" t="s">
        <v>126</v>
      </c>
      <c r="C48" s="27" t="s">
        <v>206</v>
      </c>
      <c r="D48" s="45">
        <f>(232464-61902)*1.0447</f>
        <v>178186.1214</v>
      </c>
      <c r="E48" s="45">
        <f>(173187-71606)*1.0447</f>
        <v>106121.6707</v>
      </c>
      <c r="F48" s="45">
        <f>(139889-60451)*1.0447</f>
        <v>82988.8786</v>
      </c>
      <c r="G48" s="45">
        <f>(126846-47730)*1.0447</f>
        <v>82652.4852</v>
      </c>
      <c r="H48" s="45">
        <f>(125884-54374)*1.0447</f>
        <v>74706.497</v>
      </c>
      <c r="I48" s="45">
        <f>(149369-98581)*1.0447</f>
        <v>53058.2236</v>
      </c>
      <c r="J48" s="45">
        <f>(139760-121872)*1.0447</f>
        <v>18687.5936</v>
      </c>
      <c r="K48" s="45">
        <f>(178525-116513)*1.0447</f>
        <v>64783.9364</v>
      </c>
      <c r="L48" s="45">
        <f>(202499-103742)*1.0447</f>
        <v>103171.43789999999</v>
      </c>
      <c r="M48" s="45">
        <f>(193833-97295)*1.0447</f>
        <v>100853.24859999999</v>
      </c>
      <c r="N48" s="45">
        <f>(100635-68434)*1.0447</f>
        <v>33640.3847</v>
      </c>
      <c r="O48" s="45">
        <f>(152641-92099)*1.0447</f>
        <v>63248.227399999996</v>
      </c>
      <c r="P48" s="57">
        <f t="shared" si="6"/>
        <v>962098.7051000001</v>
      </c>
      <c r="Q48" s="35" t="s">
        <v>209</v>
      </c>
    </row>
    <row r="49" spans="1:17" s="2" customFormat="1" ht="36">
      <c r="A49" s="6" t="s">
        <v>263</v>
      </c>
      <c r="B49" s="7" t="s">
        <v>126</v>
      </c>
      <c r="C49" s="27" t="s">
        <v>207</v>
      </c>
      <c r="D49" s="91" t="s">
        <v>59</v>
      </c>
      <c r="E49" s="91" t="s">
        <v>59</v>
      </c>
      <c r="F49" s="44" t="s">
        <v>59</v>
      </c>
      <c r="G49" s="91" t="s">
        <v>59</v>
      </c>
      <c r="H49" s="91" t="s">
        <v>59</v>
      </c>
      <c r="I49" s="91" t="s">
        <v>59</v>
      </c>
      <c r="J49" s="91" t="s">
        <v>59</v>
      </c>
      <c r="K49" s="91" t="s">
        <v>59</v>
      </c>
      <c r="L49" s="91" t="s">
        <v>59</v>
      </c>
      <c r="M49" s="91" t="s">
        <v>59</v>
      </c>
      <c r="N49" s="91" t="s">
        <v>59</v>
      </c>
      <c r="O49" s="91" t="s">
        <v>59</v>
      </c>
      <c r="P49" s="44" t="s">
        <v>59</v>
      </c>
      <c r="Q49" s="7" t="s">
        <v>58</v>
      </c>
    </row>
    <row r="50" spans="1:17" s="2" customFormat="1" ht="36">
      <c r="A50" s="6" t="s">
        <v>263</v>
      </c>
      <c r="B50" s="7" t="s">
        <v>126</v>
      </c>
      <c r="C50" s="27" t="s">
        <v>208</v>
      </c>
      <c r="D50" s="45">
        <f>2764299*1.0529</f>
        <v>2910530.4170999997</v>
      </c>
      <c r="E50" s="56">
        <f>1679136*1.0529</f>
        <v>1767962.2944</v>
      </c>
      <c r="F50" s="56">
        <f>496955*1.0529</f>
        <v>523243.91949999996</v>
      </c>
      <c r="G50" s="56">
        <f>40015*1.0529</f>
        <v>42131.7935</v>
      </c>
      <c r="H50" s="56">
        <f>89595*1.0529</f>
        <v>94334.57549999999</v>
      </c>
      <c r="I50" s="56">
        <f>151920*1.0529</f>
        <v>159956.568</v>
      </c>
      <c r="J50" s="56">
        <f>394882*1.0529</f>
        <v>415771.25779999996</v>
      </c>
      <c r="K50" s="56">
        <f>1089852*1.0529</f>
        <v>1147505.1708</v>
      </c>
      <c r="L50" s="56">
        <f>213869*1.0529</f>
        <v>225182.6701</v>
      </c>
      <c r="M50" s="56">
        <v>0</v>
      </c>
      <c r="N50" s="56">
        <v>0</v>
      </c>
      <c r="O50" s="56">
        <v>0</v>
      </c>
      <c r="P50" s="119">
        <f t="shared" si="6"/>
        <v>7286618.6667</v>
      </c>
      <c r="Q50" s="7" t="s">
        <v>175</v>
      </c>
    </row>
    <row r="51" spans="1:20" s="2" customFormat="1" ht="72">
      <c r="A51" s="6" t="s">
        <v>263</v>
      </c>
      <c r="B51" s="7" t="s">
        <v>126</v>
      </c>
      <c r="C51" s="27" t="s">
        <v>205</v>
      </c>
      <c r="D51" s="116">
        <f>(61902+0)*1.0447</f>
        <v>64669.0194</v>
      </c>
      <c r="E51" s="116">
        <f>(71606+0)*1.0447</f>
        <v>74806.7882</v>
      </c>
      <c r="F51" s="116">
        <f>(60451+0)*1.0447</f>
        <v>63153.1597</v>
      </c>
      <c r="G51" s="116">
        <f>(47730+0)*1.0447</f>
        <v>49863.530999999995</v>
      </c>
      <c r="H51" s="116">
        <f>(54374+0)*1.0447</f>
        <v>56804.5178</v>
      </c>
      <c r="I51" s="116">
        <f>(98581+0)*1.0447</f>
        <v>102987.5707</v>
      </c>
      <c r="J51" s="116">
        <f>(121872+0)*1.0447</f>
        <v>127319.67839999999</v>
      </c>
      <c r="K51" s="116">
        <f>(116513+0)*1.0447</f>
        <v>121721.1311</v>
      </c>
      <c r="L51" s="116">
        <f>(103742+0)*1.0447</f>
        <v>108379.2674</v>
      </c>
      <c r="M51" s="116">
        <f>(97295+0)*1.0447</f>
        <v>101644.08649999999</v>
      </c>
      <c r="N51" s="116">
        <f>(68434+0)*1.0447</f>
        <v>71492.99979999999</v>
      </c>
      <c r="O51" s="116">
        <f>(92099+0)*1.0447</f>
        <v>96215.8253</v>
      </c>
      <c r="P51" s="119">
        <f t="shared" si="6"/>
        <v>1039057.5753</v>
      </c>
      <c r="Q51" s="7" t="s">
        <v>204</v>
      </c>
      <c r="T51" s="60"/>
    </row>
    <row r="52" spans="1:20" s="2" customFormat="1" ht="36">
      <c r="A52" s="6" t="s">
        <v>263</v>
      </c>
      <c r="B52" s="7" t="s">
        <v>126</v>
      </c>
      <c r="C52" s="27" t="s">
        <v>226</v>
      </c>
      <c r="D52" s="116">
        <f>D68</f>
        <v>1501040.6305</v>
      </c>
      <c r="E52" s="116">
        <f aca="true" t="shared" si="9" ref="E52:O52">E68</f>
        <v>1143868.1475</v>
      </c>
      <c r="F52" s="116">
        <f t="shared" si="9"/>
        <v>1400685.7037999998</v>
      </c>
      <c r="G52" s="116">
        <f t="shared" si="9"/>
        <v>1264916.4918</v>
      </c>
      <c r="H52" s="116">
        <f t="shared" si="9"/>
        <v>905459.2498999999</v>
      </c>
      <c r="I52" s="116">
        <f t="shared" si="9"/>
        <v>1584659.4632</v>
      </c>
      <c r="J52" s="116">
        <f t="shared" si="9"/>
        <v>1433555.0998999998</v>
      </c>
      <c r="K52" s="116">
        <f t="shared" si="9"/>
        <v>1952359.3880999999</v>
      </c>
      <c r="L52" s="116">
        <f t="shared" si="9"/>
        <v>1194074.3401</v>
      </c>
      <c r="M52" s="116">
        <f t="shared" si="9"/>
        <v>1709782.1375</v>
      </c>
      <c r="N52" s="116">
        <f t="shared" si="9"/>
        <v>1512308.7647000002</v>
      </c>
      <c r="O52" s="116">
        <f t="shared" si="9"/>
        <v>955979.8971999999</v>
      </c>
      <c r="P52" s="119">
        <f t="shared" si="6"/>
        <v>16558689.314199999</v>
      </c>
      <c r="Q52" s="7" t="s">
        <v>281</v>
      </c>
      <c r="T52" s="60"/>
    </row>
    <row r="53" spans="1:17" s="2" customFormat="1" ht="24">
      <c r="A53" s="109" t="s">
        <v>264</v>
      </c>
      <c r="B53" s="110"/>
      <c r="C53" s="111"/>
      <c r="D53" s="113">
        <f>SUM(D48:D52)</f>
        <v>4654426.1884</v>
      </c>
      <c r="E53" s="113">
        <f aca="true" t="shared" si="10" ref="E53:O53">SUM(E48:E52)</f>
        <v>3092758.9008</v>
      </c>
      <c r="F53" s="113">
        <f t="shared" si="10"/>
        <v>2070071.6615999998</v>
      </c>
      <c r="G53" s="113">
        <f t="shared" si="10"/>
        <v>1439564.3015</v>
      </c>
      <c r="H53" s="113">
        <f t="shared" si="10"/>
        <v>1131304.8402</v>
      </c>
      <c r="I53" s="113">
        <f t="shared" si="10"/>
        <v>1900661.8255</v>
      </c>
      <c r="J53" s="113">
        <f t="shared" si="10"/>
        <v>1995333.6297</v>
      </c>
      <c r="K53" s="113">
        <f t="shared" si="10"/>
        <v>3286369.6263999995</v>
      </c>
      <c r="L53" s="113">
        <f t="shared" si="10"/>
        <v>1630807.7155</v>
      </c>
      <c r="M53" s="113">
        <f t="shared" si="10"/>
        <v>1912279.4726</v>
      </c>
      <c r="N53" s="113">
        <f t="shared" si="10"/>
        <v>1617442.1492</v>
      </c>
      <c r="O53" s="113">
        <f t="shared" si="10"/>
        <v>1115443.9499</v>
      </c>
      <c r="P53" s="113">
        <f>SUM(D53:O53)</f>
        <v>25846464.261300005</v>
      </c>
      <c r="Q53" s="111" t="s">
        <v>282</v>
      </c>
    </row>
    <row r="54" spans="1:17" s="2" customFormat="1" ht="84">
      <c r="A54" s="6" t="s">
        <v>263</v>
      </c>
      <c r="B54" s="7" t="s">
        <v>126</v>
      </c>
      <c r="C54" s="7" t="s">
        <v>152</v>
      </c>
      <c r="D54" s="124">
        <f>0.01*D53</f>
        <v>46544.26188400001</v>
      </c>
      <c r="E54" s="124">
        <f aca="true" t="shared" si="11" ref="E54:O54">0.01*E53</f>
        <v>30927.589008</v>
      </c>
      <c r="F54" s="124">
        <f t="shared" si="11"/>
        <v>20700.716615999998</v>
      </c>
      <c r="G54" s="124">
        <f t="shared" si="11"/>
        <v>14395.643015000001</v>
      </c>
      <c r="H54" s="124">
        <f t="shared" si="11"/>
        <v>11313.048402</v>
      </c>
      <c r="I54" s="124">
        <f t="shared" si="11"/>
        <v>19006.618255</v>
      </c>
      <c r="J54" s="124">
        <f t="shared" si="11"/>
        <v>19953.336296999998</v>
      </c>
      <c r="K54" s="124">
        <f t="shared" si="11"/>
        <v>32863.696264</v>
      </c>
      <c r="L54" s="124">
        <f t="shared" si="11"/>
        <v>16308.077154999999</v>
      </c>
      <c r="M54" s="124">
        <f t="shared" si="11"/>
        <v>19122.794726</v>
      </c>
      <c r="N54" s="124">
        <f t="shared" si="11"/>
        <v>16174.421492000001</v>
      </c>
      <c r="O54" s="124">
        <f t="shared" si="11"/>
        <v>11154.439498999998</v>
      </c>
      <c r="P54" s="45">
        <f>SUM(D54:O54)</f>
        <v>258464.642613</v>
      </c>
      <c r="Q54" s="7" t="s">
        <v>220</v>
      </c>
    </row>
    <row r="55" spans="1:17" s="2" customFormat="1" ht="60">
      <c r="A55" s="4" t="s">
        <v>265</v>
      </c>
      <c r="B55" s="5" t="s">
        <v>27</v>
      </c>
      <c r="C55" s="5" t="s">
        <v>70</v>
      </c>
      <c r="D55" s="32">
        <f>32000*1.0447</f>
        <v>33430.4</v>
      </c>
      <c r="E55" s="32">
        <f>21043*1.0447</f>
        <v>21983.6221</v>
      </c>
      <c r="F55" s="32">
        <f>24194*1.0447</f>
        <v>25275.4718</v>
      </c>
      <c r="G55" s="32">
        <f>29340*1.0447</f>
        <v>30651.498</v>
      </c>
      <c r="H55" s="32">
        <f>32628*1.0447</f>
        <v>34086.4716</v>
      </c>
      <c r="I55" s="32">
        <f>32311*1.0447</f>
        <v>33755.301699999996</v>
      </c>
      <c r="J55" s="32">
        <f>34454*1.0447</f>
        <v>35994.093799999995</v>
      </c>
      <c r="K55" s="32">
        <f>28700*1.0447</f>
        <v>29982.89</v>
      </c>
      <c r="L55" s="32">
        <f>33431*1.0447</f>
        <v>34925.3657</v>
      </c>
      <c r="M55" s="32">
        <f>32352*1.0447</f>
        <v>33798.134399999995</v>
      </c>
      <c r="N55" s="32">
        <f>27191*1.0447</f>
        <v>28406.4377</v>
      </c>
      <c r="O55" s="32">
        <f>36916*1.0447</f>
        <v>38566.1452</v>
      </c>
      <c r="P55" s="51">
        <f t="shared" si="6"/>
        <v>380855.83199999994</v>
      </c>
      <c r="Q55" s="27" t="s">
        <v>291</v>
      </c>
    </row>
    <row r="56" spans="1:17" s="2" customFormat="1" ht="36">
      <c r="A56" s="4" t="s">
        <v>265</v>
      </c>
      <c r="B56" s="5" t="s">
        <v>27</v>
      </c>
      <c r="C56" s="5" t="s">
        <v>71</v>
      </c>
      <c r="D56" s="32">
        <f>2688*1.0447</f>
        <v>2808.1536</v>
      </c>
      <c r="E56" s="32">
        <f>2097*1.0447</f>
        <v>2190.7359</v>
      </c>
      <c r="F56" s="32">
        <f>1222*1.0447</f>
        <v>1276.6234</v>
      </c>
      <c r="G56" s="32">
        <f>1550*1.0447</f>
        <v>1619.2849999999999</v>
      </c>
      <c r="H56" s="32">
        <f>1544*1.0447</f>
        <v>1613.0167999999999</v>
      </c>
      <c r="I56" s="32">
        <f>1518*1.0447</f>
        <v>1585.8546</v>
      </c>
      <c r="J56" s="32">
        <f>1774*1.0447</f>
        <v>1853.2977999999998</v>
      </c>
      <c r="K56" s="32">
        <f>2777*1.0447</f>
        <v>2901.1319</v>
      </c>
      <c r="L56" s="32">
        <f>1278*1.0447</f>
        <v>1335.1266</v>
      </c>
      <c r="M56" s="32">
        <f>2277*1.0447</f>
        <v>2378.7819</v>
      </c>
      <c r="N56" s="32">
        <f>1194*1.0447</f>
        <v>1247.3718</v>
      </c>
      <c r="O56" s="32">
        <f>0*1.0447</f>
        <v>0</v>
      </c>
      <c r="P56" s="51">
        <f t="shared" si="6"/>
        <v>20809.3793</v>
      </c>
      <c r="Q56" s="27" t="s">
        <v>72</v>
      </c>
    </row>
    <row r="57" spans="1:17" s="2" customFormat="1" ht="24">
      <c r="A57" s="109" t="s">
        <v>266</v>
      </c>
      <c r="B57" s="110"/>
      <c r="C57" s="111"/>
      <c r="D57" s="113">
        <f>SUM(D55:D56)</f>
        <v>36238.5536</v>
      </c>
      <c r="E57" s="113">
        <f>SUM(E55:E56)</f>
        <v>24174.358</v>
      </c>
      <c r="F57" s="113">
        <f aca="true" t="shared" si="12" ref="F57:O57">SUM(F55:F56)</f>
        <v>26552.0952</v>
      </c>
      <c r="G57" s="113">
        <f t="shared" si="12"/>
        <v>32270.783</v>
      </c>
      <c r="H57" s="113">
        <f t="shared" si="12"/>
        <v>35699.488399999995</v>
      </c>
      <c r="I57" s="113">
        <f t="shared" si="12"/>
        <v>35341.156299999995</v>
      </c>
      <c r="J57" s="113">
        <f t="shared" si="12"/>
        <v>37847.391599999995</v>
      </c>
      <c r="K57" s="113">
        <f t="shared" si="12"/>
        <v>32884.0219</v>
      </c>
      <c r="L57" s="113">
        <f t="shared" si="12"/>
        <v>36260.492300000005</v>
      </c>
      <c r="M57" s="113">
        <f t="shared" si="12"/>
        <v>36176.9163</v>
      </c>
      <c r="N57" s="113">
        <f t="shared" si="12"/>
        <v>29653.8095</v>
      </c>
      <c r="O57" s="113">
        <f t="shared" si="12"/>
        <v>38566.1452</v>
      </c>
      <c r="P57" s="113">
        <f>SUM(D57:O57)</f>
        <v>401665.21129999997</v>
      </c>
      <c r="Q57" s="111" t="s">
        <v>284</v>
      </c>
    </row>
    <row r="58" spans="1:17" s="2" customFormat="1" ht="36">
      <c r="A58" s="4" t="s">
        <v>265</v>
      </c>
      <c r="B58" s="5" t="s">
        <v>27</v>
      </c>
      <c r="C58" s="26" t="s">
        <v>56</v>
      </c>
      <c r="D58" s="32">
        <f>131224*1.0447</f>
        <v>137089.7128</v>
      </c>
      <c r="E58" s="32">
        <f>91852*1.0447</f>
        <v>95957.78439999999</v>
      </c>
      <c r="F58" s="32">
        <f>64152*1.0447</f>
        <v>67019.5944</v>
      </c>
      <c r="G58" s="32">
        <f>110166*1.0447</f>
        <v>115090.4202</v>
      </c>
      <c r="H58" s="32">
        <f>83225*1.0447</f>
        <v>86945.1575</v>
      </c>
      <c r="I58" s="32">
        <f>120046*1.0447</f>
        <v>125412.05619999999</v>
      </c>
      <c r="J58" s="32">
        <f>66466*1.0447</f>
        <v>69437.0302</v>
      </c>
      <c r="K58" s="32">
        <f>61629*1.0447</f>
        <v>64383.8163</v>
      </c>
      <c r="L58" s="32">
        <f>32438*1.0447</f>
        <v>33887.9786</v>
      </c>
      <c r="M58" s="32">
        <f>25838*1.0447</f>
        <v>26992.958599999998</v>
      </c>
      <c r="N58" s="32">
        <f>49813*1.0447</f>
        <v>52039.6411</v>
      </c>
      <c r="O58" s="32">
        <f>50450*1.0447</f>
        <v>52705.115</v>
      </c>
      <c r="P58" s="51">
        <f t="shared" si="6"/>
        <v>926961.2653</v>
      </c>
      <c r="Q58" s="27" t="s">
        <v>69</v>
      </c>
    </row>
    <row r="59" spans="1:17" s="3" customFormat="1" ht="12">
      <c r="A59" s="208" t="s">
        <v>267</v>
      </c>
      <c r="B59" s="209"/>
      <c r="C59" s="209"/>
      <c r="D59" s="209"/>
      <c r="E59" s="209"/>
      <c r="F59" s="209"/>
      <c r="G59" s="209"/>
      <c r="H59" s="209"/>
      <c r="I59" s="209"/>
      <c r="J59" s="209"/>
      <c r="K59" s="209"/>
      <c r="L59" s="209"/>
      <c r="M59" s="209"/>
      <c r="N59" s="209"/>
      <c r="O59" s="209"/>
      <c r="P59" s="209"/>
      <c r="Q59" s="210"/>
    </row>
    <row r="60" spans="1:17" s="2" customFormat="1" ht="74.25" customHeight="1">
      <c r="A60" s="4" t="s">
        <v>25</v>
      </c>
      <c r="B60" s="9" t="s">
        <v>22</v>
      </c>
      <c r="C60" s="27" t="s">
        <v>154</v>
      </c>
      <c r="D60" s="45">
        <f>88284*1.0447</f>
        <v>92230.2948</v>
      </c>
      <c r="E60" s="45">
        <f>61663*1.0447</f>
        <v>64419.3361</v>
      </c>
      <c r="F60" s="45">
        <f>47757*1.0447</f>
        <v>49891.7379</v>
      </c>
      <c r="G60" s="45">
        <f>48507*1.0447</f>
        <v>50675.2629</v>
      </c>
      <c r="H60" s="45">
        <f>52804*1.0447</f>
        <v>55164.3388</v>
      </c>
      <c r="I60" s="45">
        <f>37808*1.0447</f>
        <v>39498.0176</v>
      </c>
      <c r="J60" s="45">
        <f>39853*1.0447</f>
        <v>41634.4291</v>
      </c>
      <c r="K60" s="45">
        <f>80410*1.0447</f>
        <v>84004.32699999999</v>
      </c>
      <c r="L60" s="45">
        <f>36249*1.0447</f>
        <v>37869.3303</v>
      </c>
      <c r="M60" s="45">
        <f>50668*1.0447</f>
        <v>52932.859599999996</v>
      </c>
      <c r="N60" s="45">
        <f>62272*1.0447</f>
        <v>65055.558399999994</v>
      </c>
      <c r="O60" s="45">
        <f>45329*1.0447</f>
        <v>47355.2063</v>
      </c>
      <c r="P60" s="45">
        <f>SUM(D60:O60)</f>
        <v>680730.6987999999</v>
      </c>
      <c r="Q60" s="7" t="s">
        <v>303</v>
      </c>
    </row>
    <row r="61" spans="1:17" s="11" customFormat="1" ht="36">
      <c r="A61" s="6" t="s">
        <v>26</v>
      </c>
      <c r="B61" s="7" t="s">
        <v>151</v>
      </c>
      <c r="C61" s="7" t="s">
        <v>173</v>
      </c>
      <c r="D61" s="128">
        <f>(250+350)/2/12</f>
        <v>25</v>
      </c>
      <c r="E61" s="128">
        <f aca="true" t="shared" si="13" ref="E61:O61">(250+350)/2/12</f>
        <v>25</v>
      </c>
      <c r="F61" s="128">
        <f t="shared" si="13"/>
        <v>25</v>
      </c>
      <c r="G61" s="128">
        <f t="shared" si="13"/>
        <v>25</v>
      </c>
      <c r="H61" s="128">
        <f t="shared" si="13"/>
        <v>25</v>
      </c>
      <c r="I61" s="128">
        <f t="shared" si="13"/>
        <v>25</v>
      </c>
      <c r="J61" s="128">
        <f t="shared" si="13"/>
        <v>25</v>
      </c>
      <c r="K61" s="128">
        <f t="shared" si="13"/>
        <v>25</v>
      </c>
      <c r="L61" s="128">
        <f t="shared" si="13"/>
        <v>25</v>
      </c>
      <c r="M61" s="128">
        <f t="shared" si="13"/>
        <v>25</v>
      </c>
      <c r="N61" s="128">
        <f t="shared" si="13"/>
        <v>25</v>
      </c>
      <c r="O61" s="128">
        <f t="shared" si="13"/>
        <v>25</v>
      </c>
      <c r="P61" s="45">
        <f>SUM(D61:O61)</f>
        <v>300</v>
      </c>
      <c r="Q61" s="7" t="s">
        <v>227</v>
      </c>
    </row>
    <row r="62" spans="1:17" s="2" customFormat="1" ht="48">
      <c r="A62" s="4" t="s">
        <v>29</v>
      </c>
      <c r="B62" s="5" t="s">
        <v>116</v>
      </c>
      <c r="C62" s="5" t="s">
        <v>128</v>
      </c>
      <c r="D62" s="30">
        <f>360*1.0447</f>
        <v>376.092</v>
      </c>
      <c r="E62" s="30">
        <f>545*1.0447</f>
        <v>569.3615</v>
      </c>
      <c r="F62" s="30">
        <f>300*1.0447</f>
        <v>313.40999999999997</v>
      </c>
      <c r="G62" s="30">
        <f>371*1.0447</f>
        <v>387.58369999999996</v>
      </c>
      <c r="H62" s="30">
        <f aca="true" t="shared" si="14" ref="H62:N62">0*1.0447</f>
        <v>0</v>
      </c>
      <c r="I62" s="30">
        <f t="shared" si="14"/>
        <v>0</v>
      </c>
      <c r="J62" s="30">
        <f t="shared" si="14"/>
        <v>0</v>
      </c>
      <c r="K62" s="30">
        <f t="shared" si="14"/>
        <v>0</v>
      </c>
      <c r="L62" s="30">
        <f t="shared" si="14"/>
        <v>0</v>
      </c>
      <c r="M62" s="30">
        <f t="shared" si="14"/>
        <v>0</v>
      </c>
      <c r="N62" s="30">
        <f t="shared" si="14"/>
        <v>0</v>
      </c>
      <c r="O62" s="32">
        <f>225*1.0447</f>
        <v>235.0575</v>
      </c>
      <c r="P62" s="51">
        <f>SUM(D62:O62)</f>
        <v>1881.5047</v>
      </c>
      <c r="Q62" s="13" t="s">
        <v>54</v>
      </c>
    </row>
    <row r="63" spans="1:17" s="3" customFormat="1" ht="12">
      <c r="A63" s="208" t="s">
        <v>268</v>
      </c>
      <c r="B63" s="209"/>
      <c r="C63" s="209"/>
      <c r="D63" s="209"/>
      <c r="E63" s="209"/>
      <c r="F63" s="209"/>
      <c r="G63" s="209"/>
      <c r="H63" s="209"/>
      <c r="I63" s="209"/>
      <c r="J63" s="209"/>
      <c r="K63" s="209"/>
      <c r="L63" s="209"/>
      <c r="M63" s="209"/>
      <c r="N63" s="209"/>
      <c r="O63" s="209"/>
      <c r="P63" s="209"/>
      <c r="Q63" s="210"/>
    </row>
    <row r="64" spans="1:17"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33">
        <f>15104*1.0447</f>
        <v>15779.148799999999</v>
      </c>
      <c r="E65" s="32">
        <f>10975*1.0447</f>
        <v>11465.5825</v>
      </c>
      <c r="F65" s="32">
        <f>1885*1.0447</f>
        <v>1969.2595</v>
      </c>
      <c r="G65" s="32">
        <f>20978*1.0447</f>
        <v>21915.7166</v>
      </c>
      <c r="H65" s="32">
        <f>1812*1.0447</f>
        <v>1892.9964</v>
      </c>
      <c r="I65" s="32">
        <f>563*1.0447</f>
        <v>588.1661</v>
      </c>
      <c r="J65" s="32">
        <f>2638*1.0447</f>
        <v>2755.9186</v>
      </c>
      <c r="K65" s="32">
        <f>1497*1.0447</f>
        <v>1563.9159</v>
      </c>
      <c r="L65" s="32">
        <f>2644*1.0447</f>
        <v>2762.1868</v>
      </c>
      <c r="M65" s="32">
        <f>4726*1.0447</f>
        <v>4937.2522</v>
      </c>
      <c r="N65" s="32">
        <f>3878*1.0447</f>
        <v>4051.3466</v>
      </c>
      <c r="O65" s="32">
        <f>7169*1.0447</f>
        <v>7489.454299999999</v>
      </c>
      <c r="P65" s="51">
        <f>SUM(D65:O65)</f>
        <v>77170.9443</v>
      </c>
      <c r="Q65" s="6" t="s">
        <v>55</v>
      </c>
    </row>
    <row r="66" spans="1:17" s="2" customFormat="1" ht="72">
      <c r="A66" s="6" t="s">
        <v>120</v>
      </c>
      <c r="B66" s="7" t="s">
        <v>74</v>
      </c>
      <c r="C66" s="5" t="s">
        <v>223</v>
      </c>
      <c r="D66" s="33">
        <v>1461724.3906999999</v>
      </c>
      <c r="E66" s="33">
        <v>1121199.2022</v>
      </c>
      <c r="F66" s="33">
        <v>1360709.2136</v>
      </c>
      <c r="G66" s="33">
        <v>1234798.8355</v>
      </c>
      <c r="H66" s="33">
        <v>869467.2455</v>
      </c>
      <c r="I66" s="33">
        <v>1541011.8972</v>
      </c>
      <c r="J66" s="33">
        <v>1386675.2321</v>
      </c>
      <c r="K66" s="33">
        <v>1892381.0717</v>
      </c>
      <c r="L66" s="33">
        <v>1161847.4345</v>
      </c>
      <c r="M66" s="33">
        <v>1679750.1465999999</v>
      </c>
      <c r="N66" s="33">
        <v>1475707.7002</v>
      </c>
      <c r="O66" s="33">
        <v>915540.6048999999</v>
      </c>
      <c r="P66" s="51">
        <f>SUM(D66:O66)</f>
        <v>16100812.9747</v>
      </c>
      <c r="Q66" s="7" t="s">
        <v>309</v>
      </c>
    </row>
    <row r="67" spans="1:17" s="11" customFormat="1" ht="60">
      <c r="A67" s="6" t="s">
        <v>120</v>
      </c>
      <c r="B67" s="7" t="s">
        <v>74</v>
      </c>
      <c r="C67" s="5" t="s">
        <v>224</v>
      </c>
      <c r="D67" s="33">
        <f>(43534-5900)*1.0447</f>
        <v>39316.239799999996</v>
      </c>
      <c r="E67" s="32">
        <f>(25101-3402)*1.0447</f>
        <v>22668.9453</v>
      </c>
      <c r="F67" s="32">
        <f>(44266-6000)*1.0447</f>
        <v>39976.4902</v>
      </c>
      <c r="G67" s="32">
        <f>(33349-4520)*1.0447</f>
        <v>30117.6563</v>
      </c>
      <c r="H67" s="32">
        <f>(39854-5402)*1.0447</f>
        <v>35992.0044</v>
      </c>
      <c r="I67" s="32">
        <f>(48331-6551)*1.0447</f>
        <v>43647.566</v>
      </c>
      <c r="J67" s="32">
        <f>(51910-7036)*1.0447</f>
        <v>46879.8678</v>
      </c>
      <c r="K67" s="32">
        <f>(66413-9001)*1.0447</f>
        <v>59978.316399999996</v>
      </c>
      <c r="L67" s="32">
        <f>(35685-4837)*1.0447</f>
        <v>32226.9056</v>
      </c>
      <c r="M67" s="32">
        <f>(33254-4507)*1.0447</f>
        <v>30031.9909</v>
      </c>
      <c r="N67" s="32">
        <f>(40528-5493)*1.0447</f>
        <v>36601.0645</v>
      </c>
      <c r="O67" s="32">
        <f>(44778-6069)*1.0447</f>
        <v>40439.2923</v>
      </c>
      <c r="P67" s="57">
        <f>SUM(D67:O67)</f>
        <v>457876.3395</v>
      </c>
      <c r="Q67" s="7" t="s">
        <v>310</v>
      </c>
    </row>
    <row r="68" spans="1:17" s="11" customFormat="1" ht="12">
      <c r="A68" s="133" t="s">
        <v>269</v>
      </c>
      <c r="B68" s="110"/>
      <c r="C68" s="111"/>
      <c r="D68" s="136">
        <f aca="true" t="shared" si="15" ref="D68:O68">SUM(D66:D67)</f>
        <v>1501040.6305</v>
      </c>
      <c r="E68" s="136">
        <f t="shared" si="15"/>
        <v>1143868.1475</v>
      </c>
      <c r="F68" s="136">
        <f t="shared" si="15"/>
        <v>1400685.7037999998</v>
      </c>
      <c r="G68" s="136">
        <f t="shared" si="15"/>
        <v>1264916.4918</v>
      </c>
      <c r="H68" s="136">
        <f t="shared" si="15"/>
        <v>905459.2498999999</v>
      </c>
      <c r="I68" s="136">
        <f t="shared" si="15"/>
        <v>1584659.4632</v>
      </c>
      <c r="J68" s="136">
        <f t="shared" si="15"/>
        <v>1433555.0998999998</v>
      </c>
      <c r="K68" s="136">
        <f t="shared" si="15"/>
        <v>1952359.3880999999</v>
      </c>
      <c r="L68" s="136">
        <f t="shared" si="15"/>
        <v>1194074.3401</v>
      </c>
      <c r="M68" s="136">
        <f t="shared" si="15"/>
        <v>1709782.1375</v>
      </c>
      <c r="N68" s="136">
        <f t="shared" si="15"/>
        <v>1512308.7647000002</v>
      </c>
      <c r="O68" s="136">
        <f t="shared" si="15"/>
        <v>955979.8971999999</v>
      </c>
      <c r="P68" s="113">
        <f>SUM(D68:O68)</f>
        <v>16558689.314199999</v>
      </c>
      <c r="Q68" s="110" t="s">
        <v>287</v>
      </c>
    </row>
    <row r="69" spans="1:17" ht="96">
      <c r="A69" s="161" t="s">
        <v>121</v>
      </c>
      <c r="B69" s="7" t="s">
        <v>127</v>
      </c>
      <c r="C69" s="7" t="s">
        <v>313</v>
      </c>
      <c r="D69" s="83">
        <f>23187*1.0447</f>
        <v>24223.458899999998</v>
      </c>
      <c r="E69" s="83">
        <f>37744*1.0447</f>
        <v>39431.1568</v>
      </c>
      <c r="F69" s="83">
        <f>43975*1.0447</f>
        <v>45940.682499999995</v>
      </c>
      <c r="G69" s="83">
        <f>15399*1.0447</f>
        <v>16087.335299999999</v>
      </c>
      <c r="H69" s="83">
        <f>29283*1.0447</f>
        <v>30591.9501</v>
      </c>
      <c r="I69" s="83">
        <f>37994*1.0447</f>
        <v>39692.3318</v>
      </c>
      <c r="J69" s="83">
        <f>39346*1.0447</f>
        <v>41104.7662</v>
      </c>
      <c r="K69" s="83">
        <f>30933*1.0447</f>
        <v>32315.7051</v>
      </c>
      <c r="L69" s="83">
        <f>49902*1.0447</f>
        <v>52132.619399999996</v>
      </c>
      <c r="M69" s="83">
        <f>32572*1.0447</f>
        <v>34027.9684</v>
      </c>
      <c r="N69" s="83">
        <f>35291*1.0447</f>
        <v>36868.5077</v>
      </c>
      <c r="O69" s="83">
        <f>32242*1.0447</f>
        <v>33683.2174</v>
      </c>
      <c r="P69" s="45">
        <f>SUM(D69:O69)</f>
        <v>426099.69960000005</v>
      </c>
      <c r="Q69" s="7" t="s">
        <v>321</v>
      </c>
    </row>
    <row r="70" spans="1:17" s="3" customFormat="1" ht="12">
      <c r="A70" s="208" t="s">
        <v>270</v>
      </c>
      <c r="B70" s="209"/>
      <c r="C70" s="209"/>
      <c r="D70" s="209"/>
      <c r="E70" s="209"/>
      <c r="F70" s="209"/>
      <c r="G70" s="209"/>
      <c r="H70" s="209"/>
      <c r="I70" s="209"/>
      <c r="J70" s="209"/>
      <c r="K70" s="209"/>
      <c r="L70" s="209"/>
      <c r="M70" s="209"/>
      <c r="N70" s="209"/>
      <c r="O70" s="209"/>
      <c r="P70" s="209"/>
      <c r="Q70" s="210"/>
    </row>
    <row r="71" spans="1:17" s="94" customFormat="1" ht="24">
      <c r="A71" s="88" t="s">
        <v>271</v>
      </c>
      <c r="B71" s="89" t="s">
        <v>33</v>
      </c>
      <c r="C71" s="90" t="s">
        <v>76</v>
      </c>
      <c r="D71" s="45">
        <v>0</v>
      </c>
      <c r="E71" s="45">
        <v>0</v>
      </c>
      <c r="F71" s="45">
        <v>0</v>
      </c>
      <c r="G71" s="69">
        <v>1</v>
      </c>
      <c r="H71" s="69">
        <v>0</v>
      </c>
      <c r="I71" s="69">
        <v>0</v>
      </c>
      <c r="J71" s="69">
        <v>0</v>
      </c>
      <c r="K71" s="69">
        <v>0</v>
      </c>
      <c r="L71" s="69">
        <v>0</v>
      </c>
      <c r="M71" s="69">
        <v>0</v>
      </c>
      <c r="N71" s="69">
        <v>0</v>
      </c>
      <c r="O71" s="69">
        <v>0</v>
      </c>
      <c r="P71" s="92">
        <f>SUM(D71:O71)</f>
        <v>1</v>
      </c>
      <c r="Q71" s="93" t="s">
        <v>159</v>
      </c>
    </row>
    <row r="72" spans="1:17" s="59" customFormat="1" ht="24">
      <c r="A72" s="32" t="s">
        <v>272</v>
      </c>
      <c r="B72" s="34" t="s">
        <v>122</v>
      </c>
      <c r="C72" s="27" t="s">
        <v>124</v>
      </c>
      <c r="D72" s="32">
        <f>2*1.0447</f>
        <v>2.0894</v>
      </c>
      <c r="E72" s="32">
        <f>0*1.0447</f>
        <v>0</v>
      </c>
      <c r="F72" s="32">
        <f>0*1.0447</f>
        <v>0</v>
      </c>
      <c r="G72" s="32">
        <f>27*1.0447</f>
        <v>28.206899999999997</v>
      </c>
      <c r="H72" s="32">
        <f>0*1.0447</f>
        <v>0</v>
      </c>
      <c r="I72" s="32">
        <f>6*1.0447</f>
        <v>6.2682</v>
      </c>
      <c r="J72" s="32">
        <f>3*1.0447</f>
        <v>3.1341</v>
      </c>
      <c r="K72" s="32">
        <f>0*1.0447</f>
        <v>0</v>
      </c>
      <c r="L72" s="32">
        <f>3*1.0447</f>
        <v>3.1341</v>
      </c>
      <c r="M72" s="32">
        <f>0*1.0447</f>
        <v>0</v>
      </c>
      <c r="N72" s="32">
        <f>2*1.0447</f>
        <v>2.0894</v>
      </c>
      <c r="O72" s="32">
        <f>27*1.0447</f>
        <v>28.206899999999997</v>
      </c>
      <c r="P72" s="45">
        <f>SUM(D72:O72)</f>
        <v>73.12899999999999</v>
      </c>
      <c r="Q72" s="20" t="s">
        <v>190</v>
      </c>
    </row>
    <row r="73" spans="1:17" s="11" customFormat="1" ht="24">
      <c r="A73" s="6" t="s">
        <v>273</v>
      </c>
      <c r="B73" s="38" t="s">
        <v>363</v>
      </c>
      <c r="C73" s="7" t="s">
        <v>100</v>
      </c>
      <c r="D73" s="32">
        <f>D72</f>
        <v>2.0894</v>
      </c>
      <c r="E73" s="32">
        <f>E72</f>
        <v>0</v>
      </c>
      <c r="F73" s="32">
        <f aca="true" t="shared" si="16" ref="F73:O73">F72</f>
        <v>0</v>
      </c>
      <c r="G73" s="32">
        <f t="shared" si="16"/>
        <v>28.206899999999997</v>
      </c>
      <c r="H73" s="32">
        <f t="shared" si="16"/>
        <v>0</v>
      </c>
      <c r="I73" s="32">
        <f t="shared" si="16"/>
        <v>6.2682</v>
      </c>
      <c r="J73" s="32">
        <f t="shared" si="16"/>
        <v>3.1341</v>
      </c>
      <c r="K73" s="32">
        <f t="shared" si="16"/>
        <v>0</v>
      </c>
      <c r="L73" s="32">
        <f t="shared" si="16"/>
        <v>3.1341</v>
      </c>
      <c r="M73" s="32">
        <f t="shared" si="16"/>
        <v>0</v>
      </c>
      <c r="N73" s="32">
        <f t="shared" si="16"/>
        <v>2.0894</v>
      </c>
      <c r="O73" s="32">
        <f t="shared" si="16"/>
        <v>28.206899999999997</v>
      </c>
      <c r="P73" s="45">
        <f>SUM(D73:O73)</f>
        <v>73.12899999999999</v>
      </c>
      <c r="Q73" s="20" t="s">
        <v>190</v>
      </c>
    </row>
    <row r="74" spans="1:17" s="59" customFormat="1" ht="36">
      <c r="A74" s="32" t="s">
        <v>274</v>
      </c>
      <c r="B74" s="34" t="s">
        <v>123</v>
      </c>
      <c r="C74" s="27" t="s">
        <v>77</v>
      </c>
      <c r="D74" s="32">
        <f>424*1.0447</f>
        <v>442.95279999999997</v>
      </c>
      <c r="E74" s="32">
        <f>0*1.0447</f>
        <v>0</v>
      </c>
      <c r="F74" s="32">
        <f>0*1.0447</f>
        <v>0</v>
      </c>
      <c r="G74" s="32">
        <f>39789*1.0447</f>
        <v>41567.5683</v>
      </c>
      <c r="H74" s="32">
        <f>0*1.0447</f>
        <v>0</v>
      </c>
      <c r="I74" s="32">
        <f>6929*1.0447</f>
        <v>7238.726299999999</v>
      </c>
      <c r="J74" s="32">
        <f>2204*1.0447</f>
        <v>2302.5188</v>
      </c>
      <c r="K74" s="32">
        <f>0*1.0447</f>
        <v>0</v>
      </c>
      <c r="L74" s="32">
        <f>8437*1.0447</f>
        <v>8814.133899999999</v>
      </c>
      <c r="M74" s="32">
        <f>0*1.0447</f>
        <v>0</v>
      </c>
      <c r="N74" s="32">
        <f>7896*1.0447</f>
        <v>8248.9512</v>
      </c>
      <c r="O74" s="32">
        <f>33445*1.0447</f>
        <v>34939.9915</v>
      </c>
      <c r="P74" s="45">
        <f>SUM(D74:O74)</f>
        <v>103554.84279999998</v>
      </c>
      <c r="Q74" s="20" t="s">
        <v>190</v>
      </c>
    </row>
    <row r="75" spans="1:17" s="3" customFormat="1" ht="12">
      <c r="A75" s="208" t="s">
        <v>275</v>
      </c>
      <c r="B75" s="209"/>
      <c r="C75" s="209"/>
      <c r="D75" s="209"/>
      <c r="E75" s="209"/>
      <c r="F75" s="209"/>
      <c r="G75" s="209"/>
      <c r="H75" s="209"/>
      <c r="I75" s="209"/>
      <c r="J75" s="209"/>
      <c r="K75" s="209"/>
      <c r="L75" s="209"/>
      <c r="M75" s="209"/>
      <c r="N75" s="209"/>
      <c r="O75" s="209"/>
      <c r="P75" s="209"/>
      <c r="Q75" s="210"/>
    </row>
    <row r="76" spans="1:17" s="11" customFormat="1" ht="120">
      <c r="A76" s="170">
        <v>5.1</v>
      </c>
      <c r="B76" s="7" t="s">
        <v>179</v>
      </c>
      <c r="C76" s="34" t="s">
        <v>362</v>
      </c>
      <c r="D76" s="32">
        <f>0*1.0447</f>
        <v>0</v>
      </c>
      <c r="E76" s="32">
        <f>0*1.0447</f>
        <v>0</v>
      </c>
      <c r="F76" s="32">
        <f>1000*1.0447</f>
        <v>1044.7</v>
      </c>
      <c r="G76" s="32">
        <f>0*1.0447</f>
        <v>0</v>
      </c>
      <c r="H76" s="32">
        <f>0*1.0447</f>
        <v>0</v>
      </c>
      <c r="I76" s="45">
        <f>1511000*1.0447</f>
        <v>1578541.7</v>
      </c>
      <c r="J76" s="32">
        <f>0*1.0447</f>
        <v>0</v>
      </c>
      <c r="K76" s="32">
        <f>0*1.0447</f>
        <v>0</v>
      </c>
      <c r="L76" s="45">
        <f>7000*1.0447</f>
        <v>7312.9</v>
      </c>
      <c r="M76" s="32">
        <f>0*1.0447</f>
        <v>0</v>
      </c>
      <c r="N76" s="32">
        <f>0*1.0447</f>
        <v>0</v>
      </c>
      <c r="O76" s="32">
        <f>0*1.0447</f>
        <v>0</v>
      </c>
      <c r="P76" s="45">
        <f>SUM(D76:O76)</f>
        <v>1586899.2999999998</v>
      </c>
      <c r="Q76" s="27" t="s">
        <v>188</v>
      </c>
    </row>
    <row r="77" spans="1:17" ht="12.75">
      <c r="A77" s="208" t="s">
        <v>276</v>
      </c>
      <c r="B77" s="209"/>
      <c r="C77" s="209"/>
      <c r="D77" s="209"/>
      <c r="E77" s="209"/>
      <c r="F77" s="209"/>
      <c r="G77" s="209"/>
      <c r="H77" s="209"/>
      <c r="I77" s="209"/>
      <c r="J77" s="209"/>
      <c r="K77" s="209"/>
      <c r="L77" s="209"/>
      <c r="M77" s="209"/>
      <c r="N77" s="209"/>
      <c r="O77" s="209"/>
      <c r="P77" s="209"/>
      <c r="Q77" s="210"/>
    </row>
    <row r="78" spans="1:17" s="87" customFormat="1" ht="46.5" customHeight="1">
      <c r="A78" s="14">
        <v>5.11</v>
      </c>
      <c r="B78" s="7" t="s">
        <v>125</v>
      </c>
      <c r="C78" s="27" t="s">
        <v>241</v>
      </c>
      <c r="D78" s="32">
        <v>235252.29688199062</v>
      </c>
      <c r="E78" s="32">
        <v>37370.41516313415</v>
      </c>
      <c r="F78" s="32">
        <v>121237.28795487521</v>
      </c>
      <c r="G78" s="32">
        <f aca="true" t="shared" si="17" ref="G78:O78">0*1.0447</f>
        <v>0</v>
      </c>
      <c r="H78" s="32">
        <f t="shared" si="17"/>
        <v>0</v>
      </c>
      <c r="I78" s="32">
        <f t="shared" si="17"/>
        <v>0</v>
      </c>
      <c r="J78" s="32">
        <f t="shared" si="17"/>
        <v>0</v>
      </c>
      <c r="K78" s="32">
        <f t="shared" si="17"/>
        <v>0</v>
      </c>
      <c r="L78" s="32">
        <f t="shared" si="17"/>
        <v>0</v>
      </c>
      <c r="M78" s="32">
        <f t="shared" si="17"/>
        <v>0</v>
      </c>
      <c r="N78" s="32">
        <f t="shared" si="17"/>
        <v>0</v>
      </c>
      <c r="O78" s="32">
        <f t="shared" si="17"/>
        <v>0</v>
      </c>
      <c r="P78" s="45">
        <f>SUM(D78:O78)</f>
        <v>393860</v>
      </c>
      <c r="Q78" s="35" t="s">
        <v>228</v>
      </c>
    </row>
    <row r="79" spans="1:17" s="11" customFormat="1" ht="12">
      <c r="A79" s="137"/>
      <c r="B79" s="129"/>
      <c r="C79" s="130"/>
      <c r="D79" s="138"/>
      <c r="E79" s="138"/>
      <c r="F79" s="138"/>
      <c r="G79" s="138"/>
      <c r="H79" s="138"/>
      <c r="I79" s="138"/>
      <c r="J79" s="138"/>
      <c r="K79" s="138"/>
      <c r="L79" s="138"/>
      <c r="M79" s="138"/>
      <c r="N79" s="138"/>
      <c r="O79" s="138"/>
      <c r="P79" s="138"/>
      <c r="Q79" s="130"/>
    </row>
    <row r="80" spans="1:17" s="87" customFormat="1" ht="30" customHeight="1">
      <c r="A80" s="216" t="s">
        <v>360</v>
      </c>
      <c r="B80" s="216"/>
      <c r="C80" s="216"/>
      <c r="D80" s="216"/>
      <c r="E80" s="216"/>
      <c r="F80" s="216"/>
      <c r="G80" s="216"/>
      <c r="H80" s="216"/>
      <c r="I80" s="216"/>
      <c r="J80" s="216"/>
      <c r="K80" s="216"/>
      <c r="L80" s="216"/>
      <c r="M80" s="216"/>
      <c r="N80" s="216"/>
      <c r="O80" s="216"/>
      <c r="P80" s="216"/>
      <c r="Q80" s="216"/>
    </row>
    <row r="82" spans="1:7" ht="63.75" customHeight="1" thickBot="1">
      <c r="A82" s="194" t="s">
        <v>376</v>
      </c>
      <c r="B82" s="61" t="s">
        <v>104</v>
      </c>
      <c r="C82" s="61" t="s">
        <v>147</v>
      </c>
      <c r="D82" s="224" t="s">
        <v>145</v>
      </c>
      <c r="E82" s="224"/>
      <c r="F82" s="224" t="s">
        <v>146</v>
      </c>
      <c r="G82" s="224"/>
    </row>
    <row r="83" spans="1:8" ht="12.75">
      <c r="A83">
        <v>2005</v>
      </c>
      <c r="B83" s="80">
        <v>0.0529</v>
      </c>
      <c r="C83" s="80">
        <v>0.0469</v>
      </c>
      <c r="D83" s="225">
        <v>-0.1098</v>
      </c>
      <c r="E83" s="226"/>
      <c r="F83" s="225">
        <v>0.0447</v>
      </c>
      <c r="G83" s="226"/>
      <c r="H83" t="s">
        <v>325</v>
      </c>
    </row>
    <row r="84" spans="1:7" ht="12.75">
      <c r="A84">
        <v>2006</v>
      </c>
      <c r="B84" s="80">
        <v>0.0171</v>
      </c>
      <c r="C84" s="80">
        <v>0.0211</v>
      </c>
      <c r="D84" s="225">
        <v>1.0065</v>
      </c>
      <c r="E84" s="226"/>
      <c r="F84" s="225">
        <v>0.0159</v>
      </c>
      <c r="G84" s="226"/>
    </row>
    <row r="85" spans="1:7" ht="12.75">
      <c r="A85">
        <v>2007</v>
      </c>
      <c r="B85" s="80">
        <v>0.0118</v>
      </c>
      <c r="C85" s="80">
        <v>0.0204</v>
      </c>
      <c r="D85" s="225">
        <v>-0.4951</v>
      </c>
      <c r="E85" s="226"/>
      <c r="F85" s="225">
        <v>0.0034</v>
      </c>
      <c r="G85" s="226"/>
    </row>
    <row r="86" spans="1:7" ht="12.75">
      <c r="A86">
        <v>2008</v>
      </c>
      <c r="B86" s="80">
        <v>0.0068</v>
      </c>
      <c r="C86" s="80">
        <v>0.0199</v>
      </c>
      <c r="D86" s="225">
        <v>0.9615</v>
      </c>
      <c r="E86" s="226"/>
      <c r="F86" s="225">
        <v>-0.0095</v>
      </c>
      <c r="G86" s="226"/>
    </row>
    <row r="87" spans="1:7" ht="12.75">
      <c r="A87">
        <v>2009</v>
      </c>
      <c r="B87" s="80">
        <v>0.002</v>
      </c>
      <c r="C87" s="80">
        <v>0.0193</v>
      </c>
      <c r="D87" s="225">
        <v>-0.4935</v>
      </c>
      <c r="E87" s="226"/>
      <c r="F87" s="225">
        <v>-0.007</v>
      </c>
      <c r="G87" s="226"/>
    </row>
    <row r="88" spans="1:7" ht="12.75">
      <c r="A88">
        <v>2010</v>
      </c>
      <c r="B88" s="195" t="s">
        <v>377</v>
      </c>
      <c r="C88" s="195" t="s">
        <v>377</v>
      </c>
      <c r="D88" s="227" t="s">
        <v>377</v>
      </c>
      <c r="E88" s="227"/>
      <c r="F88" s="227" t="s">
        <v>377</v>
      </c>
      <c r="G88" s="227"/>
    </row>
  </sheetData>
  <mergeCells count="25">
    <mergeCell ref="D88:E88"/>
    <mergeCell ref="F88:G88"/>
    <mergeCell ref="F87:G87"/>
    <mergeCell ref="F83:G83"/>
    <mergeCell ref="F84:G84"/>
    <mergeCell ref="D85:E85"/>
    <mergeCell ref="D86:E86"/>
    <mergeCell ref="D87:E87"/>
    <mergeCell ref="F85:G85"/>
    <mergeCell ref="F86:G86"/>
    <mergeCell ref="D82:E82"/>
    <mergeCell ref="D83:E83"/>
    <mergeCell ref="D84:E84"/>
    <mergeCell ref="F82:G82"/>
    <mergeCell ref="A31:Q31"/>
    <mergeCell ref="A59:Q59"/>
    <mergeCell ref="A63:Q63"/>
    <mergeCell ref="A1:Q1"/>
    <mergeCell ref="A3:Q3"/>
    <mergeCell ref="C5:P5"/>
    <mergeCell ref="A17:Q17"/>
    <mergeCell ref="A80:Q80"/>
    <mergeCell ref="A70:Q70"/>
    <mergeCell ref="A75:Q75"/>
    <mergeCell ref="A77:Q77"/>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2" manualBreakCount="2">
    <brk id="58" max="255" man="1"/>
    <brk id="74" max="255" man="1"/>
  </rowBreaks>
  <ignoredErrors>
    <ignoredError sqref="E73:F73" formula="1"/>
  </ignoredErrors>
</worksheet>
</file>

<file path=xl/worksheets/sheet11.xml><?xml version="1.0" encoding="utf-8"?>
<worksheet xmlns="http://schemas.openxmlformats.org/spreadsheetml/2006/main" xmlns:r="http://schemas.openxmlformats.org/officeDocument/2006/relationships">
  <dimension ref="A1:V87"/>
  <sheetViews>
    <sheetView zoomScale="75" zoomScaleNormal="75" workbookViewId="0" topLeftCell="H34">
      <selection activeCell="Q40" sqref="Q40"/>
    </sheetView>
  </sheetViews>
  <sheetFormatPr defaultColWidth="9.140625" defaultRowHeight="12.75"/>
  <cols>
    <col min="1" max="1" width="12.28125" style="0" customWidth="1"/>
    <col min="2" max="2" width="20.00390625" style="0" customWidth="1"/>
    <col min="3" max="3" width="16.140625" style="0" customWidth="1"/>
    <col min="4" max="4" width="9.57421875" style="0" customWidth="1"/>
    <col min="9" max="9" width="9.8515625" style="0" customWidth="1"/>
    <col min="10" max="10" width="9.28125" style="0" customWidth="1"/>
    <col min="11" max="11" width="9.8515625" style="0" customWidth="1"/>
    <col min="12" max="12" width="9.421875" style="0" customWidth="1"/>
    <col min="15" max="15" width="9.8515625" style="0" customWidth="1"/>
    <col min="16" max="16" width="11.00390625" style="48" customWidth="1"/>
    <col min="17" max="17" width="19.421875" style="0" customWidth="1"/>
    <col min="19" max="19" width="11.8515625" style="0" customWidth="1"/>
    <col min="20" max="20" width="11.57421875" style="0" bestFit="1"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1"/>
      <c r="G2" s="1"/>
      <c r="H2" s="1"/>
      <c r="I2" s="1"/>
      <c r="J2" s="1"/>
      <c r="K2" s="1"/>
      <c r="L2" s="1"/>
      <c r="M2" s="1"/>
      <c r="N2" s="1"/>
      <c r="O2" s="1"/>
      <c r="P2" s="47"/>
    </row>
    <row r="3" spans="1:17" ht="18">
      <c r="A3" s="211" t="s">
        <v>39</v>
      </c>
      <c r="B3" s="211"/>
      <c r="C3" s="211"/>
      <c r="D3" s="211"/>
      <c r="E3" s="211"/>
      <c r="F3" s="211"/>
      <c r="G3" s="211"/>
      <c r="H3" s="211"/>
      <c r="I3" s="211"/>
      <c r="J3" s="211"/>
      <c r="K3" s="211"/>
      <c r="L3" s="211"/>
      <c r="M3" s="211"/>
      <c r="N3" s="211"/>
      <c r="O3" s="211"/>
      <c r="P3" s="211"/>
      <c r="Q3" s="211"/>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78" t="s">
        <v>5</v>
      </c>
      <c r="G6" s="178" t="s">
        <v>6</v>
      </c>
      <c r="H6" s="178" t="s">
        <v>8</v>
      </c>
      <c r="I6" s="178" t="s">
        <v>7</v>
      </c>
      <c r="J6" s="178" t="s">
        <v>9</v>
      </c>
      <c r="K6" s="178" t="s">
        <v>10</v>
      </c>
      <c r="L6" s="178" t="s">
        <v>11</v>
      </c>
      <c r="M6" s="178" t="s">
        <v>12</v>
      </c>
      <c r="N6" s="178" t="s">
        <v>13</v>
      </c>
      <c r="O6" s="178" t="s">
        <v>14</v>
      </c>
      <c r="P6" s="181" t="s">
        <v>16</v>
      </c>
      <c r="Q6" s="174" t="s">
        <v>15</v>
      </c>
    </row>
    <row r="7" spans="1:17" s="3" customFormat="1" ht="12">
      <c r="A7" s="19" t="s">
        <v>40</v>
      </c>
      <c r="B7" s="15"/>
      <c r="C7" s="16"/>
      <c r="D7" s="17"/>
      <c r="E7" s="17"/>
      <c r="F7" s="17"/>
      <c r="G7" s="17"/>
      <c r="H7" s="17"/>
      <c r="I7" s="17"/>
      <c r="J7" s="17"/>
      <c r="K7" s="17"/>
      <c r="L7" s="17"/>
      <c r="M7" s="17"/>
      <c r="N7" s="17"/>
      <c r="O7" s="17"/>
      <c r="P7" s="49"/>
      <c r="Q7" s="18"/>
    </row>
    <row r="8" spans="1:19" s="3" customFormat="1" ht="48">
      <c r="A8" s="24" t="s">
        <v>41</v>
      </c>
      <c r="B8" s="27" t="s">
        <v>42</v>
      </c>
      <c r="C8" s="27" t="s">
        <v>43</v>
      </c>
      <c r="D8" s="45">
        <f>19*0.8042</f>
        <v>15.2798</v>
      </c>
      <c r="E8" s="45">
        <f>18*0.8042</f>
        <v>14.4756</v>
      </c>
      <c r="F8" s="45">
        <f>9*0.8042</f>
        <v>7.2378</v>
      </c>
      <c r="G8" s="45">
        <f>11*0.8042</f>
        <v>8.8462</v>
      </c>
      <c r="H8" s="45">
        <f>3*0.8042</f>
        <v>2.4126000000000003</v>
      </c>
      <c r="I8" s="45">
        <f>16*0.8042</f>
        <v>12.8672</v>
      </c>
      <c r="J8" s="45">
        <f>59*0.8042</f>
        <v>47.4478</v>
      </c>
      <c r="K8" s="45">
        <f>76*0.8042</f>
        <v>61.1192</v>
      </c>
      <c r="L8" s="45">
        <f>125*0.8042</f>
        <v>100.525</v>
      </c>
      <c r="M8" s="45">
        <f>57*0.8042</f>
        <v>45.839400000000005</v>
      </c>
      <c r="N8" s="45">
        <f>27*0.8042</f>
        <v>21.7134</v>
      </c>
      <c r="O8" s="45">
        <f>28*0.8042</f>
        <v>22.5176</v>
      </c>
      <c r="P8" s="43">
        <f>SUM(D8:O8)</f>
        <v>360.28159999999997</v>
      </c>
      <c r="Q8" s="38" t="s">
        <v>163</v>
      </c>
      <c r="S8" s="79"/>
    </row>
    <row r="9" spans="1:17" s="3" customFormat="1" ht="12">
      <c r="A9" s="19" t="s">
        <v>245</v>
      </c>
      <c r="B9" s="15"/>
      <c r="C9" s="16"/>
      <c r="D9" s="17"/>
      <c r="E9" s="17"/>
      <c r="F9" s="17"/>
      <c r="G9" s="17"/>
      <c r="H9" s="17"/>
      <c r="I9" s="17"/>
      <c r="J9" s="17"/>
      <c r="K9" s="17"/>
      <c r="L9" s="17"/>
      <c r="M9" s="17"/>
      <c r="N9" s="17"/>
      <c r="O9" s="17"/>
      <c r="P9" s="49"/>
      <c r="Q9" s="18"/>
    </row>
    <row r="10" spans="1:19" s="3"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c r="S10" s="79"/>
    </row>
    <row r="11" spans="1:17" s="3" customFormat="1" ht="12">
      <c r="A11" s="19" t="s">
        <v>247</v>
      </c>
      <c r="B11" s="15"/>
      <c r="C11" s="16"/>
      <c r="D11" s="17"/>
      <c r="E11" s="17"/>
      <c r="F11" s="17"/>
      <c r="G11" s="17"/>
      <c r="H11" s="17"/>
      <c r="I11" s="17"/>
      <c r="J11" s="17"/>
      <c r="K11" s="17"/>
      <c r="L11" s="17"/>
      <c r="M11" s="17"/>
      <c r="N11" s="17"/>
      <c r="O11" s="17"/>
      <c r="P11" s="49"/>
      <c r="Q11" s="18"/>
    </row>
    <row r="12" spans="1:17" s="3" customFormat="1" ht="24">
      <c r="A12" s="24" t="s">
        <v>248</v>
      </c>
      <c r="B12" s="24" t="s">
        <v>148</v>
      </c>
      <c r="C12" s="24" t="s">
        <v>44</v>
      </c>
      <c r="D12" s="69">
        <v>5</v>
      </c>
      <c r="E12" s="69">
        <v>4</v>
      </c>
      <c r="F12" s="69">
        <v>5</v>
      </c>
      <c r="G12" s="69">
        <v>5</v>
      </c>
      <c r="H12" s="69">
        <v>4</v>
      </c>
      <c r="I12" s="69">
        <v>5</v>
      </c>
      <c r="J12" s="69">
        <v>4</v>
      </c>
      <c r="K12" s="69">
        <v>5</v>
      </c>
      <c r="L12" s="69">
        <v>4</v>
      </c>
      <c r="M12" s="69">
        <v>5</v>
      </c>
      <c r="N12" s="69">
        <v>4</v>
      </c>
      <c r="O12" s="69">
        <v>5</v>
      </c>
      <c r="P12" s="43">
        <f>SUM(D12:O12)</f>
        <v>55</v>
      </c>
      <c r="Q12" s="25" t="s">
        <v>79</v>
      </c>
    </row>
    <row r="13" spans="1:17"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43">
        <f>SUM(D13:O13)</f>
        <v>251</v>
      </c>
      <c r="Q13" s="28" t="s">
        <v>64</v>
      </c>
    </row>
    <row r="14" spans="1:17" s="3" customFormat="1" ht="12">
      <c r="A14" s="24" t="s">
        <v>250</v>
      </c>
      <c r="B14" s="38" t="s">
        <v>63</v>
      </c>
      <c r="C14" s="24" t="s">
        <v>44</v>
      </c>
      <c r="D14" s="69">
        <v>0</v>
      </c>
      <c r="E14" s="69">
        <v>0</v>
      </c>
      <c r="F14" s="45">
        <v>1</v>
      </c>
      <c r="G14" s="69">
        <v>0</v>
      </c>
      <c r="H14" s="69">
        <v>0</v>
      </c>
      <c r="I14" s="69">
        <v>1</v>
      </c>
      <c r="J14" s="69">
        <v>0</v>
      </c>
      <c r="K14" s="69">
        <v>0</v>
      </c>
      <c r="L14" s="69">
        <v>1</v>
      </c>
      <c r="M14" s="69">
        <v>0</v>
      </c>
      <c r="N14" s="69">
        <v>0</v>
      </c>
      <c r="O14" s="69">
        <v>1</v>
      </c>
      <c r="P14" s="43">
        <f>SUM(D14:O14)</f>
        <v>4</v>
      </c>
      <c r="Q14" s="28" t="s">
        <v>78</v>
      </c>
    </row>
    <row r="15" spans="1:17" s="3" customFormat="1" ht="12">
      <c r="A15" s="19" t="s">
        <v>251</v>
      </c>
      <c r="B15" s="15"/>
      <c r="C15" s="16"/>
      <c r="D15" s="17"/>
      <c r="E15" s="17"/>
      <c r="F15" s="17"/>
      <c r="G15" s="17"/>
      <c r="H15" s="17"/>
      <c r="I15" s="17"/>
      <c r="J15" s="17"/>
      <c r="K15" s="17"/>
      <c r="L15" s="17"/>
      <c r="M15" s="17"/>
      <c r="N15" s="17"/>
      <c r="O15" s="17"/>
      <c r="P15" s="49"/>
      <c r="Q15" s="66"/>
    </row>
    <row r="16" spans="1:17" s="58" customFormat="1" ht="24">
      <c r="A16" s="28">
        <v>5.4</v>
      </c>
      <c r="B16" s="38" t="s">
        <v>45</v>
      </c>
      <c r="C16" s="27" t="s">
        <v>46</v>
      </c>
      <c r="D16" s="45">
        <v>1049352.6686</v>
      </c>
      <c r="E16" s="45">
        <v>970748.0658000001</v>
      </c>
      <c r="F16" s="45">
        <v>964433.4990000001</v>
      </c>
      <c r="G16" s="45">
        <v>783307.6882000001</v>
      </c>
      <c r="H16" s="45">
        <v>802052.786</v>
      </c>
      <c r="I16" s="45">
        <v>1161125.6734</v>
      </c>
      <c r="J16" s="45">
        <v>1191113.4872</v>
      </c>
      <c r="K16" s="45">
        <v>1554632.7964</v>
      </c>
      <c r="L16" s="45">
        <v>1225259.8192</v>
      </c>
      <c r="M16" s="45">
        <v>1339264.8196</v>
      </c>
      <c r="N16" s="45">
        <v>888051.5214</v>
      </c>
      <c r="O16" s="45">
        <v>1024430.9742</v>
      </c>
      <c r="P16" s="43">
        <f>SUM(D16:O16)</f>
        <v>12953773.798999999</v>
      </c>
      <c r="Q16" s="7" t="s">
        <v>234</v>
      </c>
    </row>
    <row r="17" spans="1:17" s="3" customFormat="1" ht="12">
      <c r="A17" s="208" t="s">
        <v>252</v>
      </c>
      <c r="B17" s="209"/>
      <c r="C17" s="209"/>
      <c r="D17" s="209"/>
      <c r="E17" s="209"/>
      <c r="F17" s="209"/>
      <c r="G17" s="209"/>
      <c r="H17" s="209"/>
      <c r="I17" s="209"/>
      <c r="J17" s="209"/>
      <c r="K17" s="209"/>
      <c r="L17" s="209"/>
      <c r="M17" s="209"/>
      <c r="N17" s="209"/>
      <c r="O17" s="209"/>
      <c r="P17" s="209"/>
      <c r="Q17" s="210"/>
    </row>
    <row r="18" spans="1:17" s="2" customFormat="1" ht="12">
      <c r="A18" s="4" t="s">
        <v>21</v>
      </c>
      <c r="B18" s="5" t="s">
        <v>18</v>
      </c>
      <c r="C18" s="40"/>
      <c r="D18" s="41"/>
      <c r="E18" s="41"/>
      <c r="F18" s="41"/>
      <c r="G18" s="41"/>
      <c r="H18" s="41"/>
      <c r="I18" s="41"/>
      <c r="J18" s="41"/>
      <c r="K18" s="41"/>
      <c r="L18" s="41"/>
      <c r="M18" s="41"/>
      <c r="N18" s="41"/>
      <c r="O18" s="41"/>
      <c r="P18" s="50"/>
      <c r="Q18" s="40"/>
    </row>
    <row r="19" spans="1:17" s="2" customFormat="1" ht="12">
      <c r="A19" s="21" t="s">
        <v>253</v>
      </c>
      <c r="B19" s="5" t="s">
        <v>149</v>
      </c>
      <c r="C19" s="40"/>
      <c r="D19" s="41"/>
      <c r="E19" s="41"/>
      <c r="F19" s="41"/>
      <c r="G19" s="41"/>
      <c r="H19" s="41"/>
      <c r="I19" s="41"/>
      <c r="J19" s="41"/>
      <c r="K19" s="41"/>
      <c r="L19" s="41"/>
      <c r="M19" s="41"/>
      <c r="N19" s="41"/>
      <c r="O19" s="41"/>
      <c r="P19" s="50"/>
      <c r="Q19" s="40"/>
    </row>
    <row r="20" spans="1:17" s="2" customFormat="1" ht="94.5" customHeight="1">
      <c r="A20" s="21" t="s">
        <v>254</v>
      </c>
      <c r="B20" s="5" t="s">
        <v>110</v>
      </c>
      <c r="C20" s="26" t="s">
        <v>47</v>
      </c>
      <c r="D20" s="33">
        <f>SUM(950090-454407)*0.8042</f>
        <v>398628.2686</v>
      </c>
      <c r="E20" s="32">
        <f>SUM(792203-273894)*0.8042</f>
        <v>416824.0978</v>
      </c>
      <c r="F20" s="32">
        <f>SUM(618614-376847)*0.8042</f>
        <v>194429.0214</v>
      </c>
      <c r="G20" s="32">
        <f>SUM(1433052-1203199)*0.8042</f>
        <v>184847.7826</v>
      </c>
      <c r="H20" s="32">
        <f>SUM(1552750-296254)*0.8042</f>
        <v>1010474.0832</v>
      </c>
      <c r="I20" s="32">
        <f>SUM(2913598-452506)*0.8042</f>
        <v>1979210.1864</v>
      </c>
      <c r="J20" s="32">
        <f>SUM(4566938-2179948)*0.8042</f>
        <v>1919617.358</v>
      </c>
      <c r="K20" s="32">
        <f>SUM(5852102-256006)*0.8042</f>
        <v>4500380.4032000005</v>
      </c>
      <c r="L20" s="32">
        <f>SUM(2768457-1117670)*0.8042</f>
        <v>1327562.9054</v>
      </c>
      <c r="M20" s="32">
        <f>SUM(1058095-391989)*0.8042</f>
        <v>535682.4452000001</v>
      </c>
      <c r="N20" s="32">
        <f>SUM(837333-378750)*0.8042</f>
        <v>368792.4486</v>
      </c>
      <c r="O20" s="32">
        <f>SUM(1723281-230669)*0.8042</f>
        <v>1200358.5704</v>
      </c>
      <c r="P20" s="51">
        <f>SUM(D20:O20)</f>
        <v>14036807.5708</v>
      </c>
      <c r="Q20" s="5"/>
    </row>
    <row r="21" spans="1:17" s="2" customFormat="1" ht="84">
      <c r="A21" s="21" t="s">
        <v>254</v>
      </c>
      <c r="B21" s="5" t="s">
        <v>110</v>
      </c>
      <c r="C21" s="26" t="s">
        <v>48</v>
      </c>
      <c r="D21" s="8" t="s">
        <v>59</v>
      </c>
      <c r="E21" s="8" t="s">
        <v>59</v>
      </c>
      <c r="F21" s="8" t="s">
        <v>59</v>
      </c>
      <c r="G21" s="8" t="s">
        <v>59</v>
      </c>
      <c r="H21" s="8" t="s">
        <v>59</v>
      </c>
      <c r="I21" s="8" t="s">
        <v>59</v>
      </c>
      <c r="J21" s="8" t="s">
        <v>59</v>
      </c>
      <c r="K21" s="8" t="s">
        <v>59</v>
      </c>
      <c r="L21" s="8" t="s">
        <v>59</v>
      </c>
      <c r="M21" s="8" t="s">
        <v>59</v>
      </c>
      <c r="N21" s="8" t="s">
        <v>59</v>
      </c>
      <c r="O21" s="8" t="s">
        <v>59</v>
      </c>
      <c r="P21" s="46" t="s">
        <v>59</v>
      </c>
      <c r="Q21" s="7" t="s">
        <v>170</v>
      </c>
    </row>
    <row r="22" spans="1:17" s="2" customFormat="1" ht="60">
      <c r="A22" s="21" t="s">
        <v>254</v>
      </c>
      <c r="B22" s="5" t="s">
        <v>110</v>
      </c>
      <c r="C22" s="27" t="s">
        <v>144</v>
      </c>
      <c r="D22" s="55" t="s">
        <v>59</v>
      </c>
      <c r="E22" s="55" t="s">
        <v>59</v>
      </c>
      <c r="F22" s="55" t="s">
        <v>59</v>
      </c>
      <c r="G22" s="55" t="s">
        <v>59</v>
      </c>
      <c r="H22" s="55" t="s">
        <v>59</v>
      </c>
      <c r="I22" s="55" t="s">
        <v>59</v>
      </c>
      <c r="J22" s="55" t="s">
        <v>59</v>
      </c>
      <c r="K22" s="55" t="s">
        <v>59</v>
      </c>
      <c r="L22" s="55" t="s">
        <v>59</v>
      </c>
      <c r="M22" s="55" t="s">
        <v>59</v>
      </c>
      <c r="N22" s="55" t="s">
        <v>59</v>
      </c>
      <c r="O22" s="55" t="s">
        <v>59</v>
      </c>
      <c r="P22" s="55" t="s">
        <v>59</v>
      </c>
      <c r="Q22" s="7" t="s">
        <v>192</v>
      </c>
    </row>
    <row r="23" spans="1:17" s="2" customFormat="1" ht="84">
      <c r="A23" s="21" t="s">
        <v>254</v>
      </c>
      <c r="B23" s="5" t="s">
        <v>110</v>
      </c>
      <c r="C23" s="26" t="s">
        <v>49</v>
      </c>
      <c r="D23" s="8" t="s">
        <v>59</v>
      </c>
      <c r="E23" s="8" t="s">
        <v>59</v>
      </c>
      <c r="F23" s="8" t="s">
        <v>59</v>
      </c>
      <c r="G23" s="8" t="s">
        <v>59</v>
      </c>
      <c r="H23" s="8" t="s">
        <v>59</v>
      </c>
      <c r="I23" s="8" t="s">
        <v>59</v>
      </c>
      <c r="J23" s="8" t="s">
        <v>59</v>
      </c>
      <c r="K23" s="8" t="s">
        <v>59</v>
      </c>
      <c r="L23" s="8" t="s">
        <v>59</v>
      </c>
      <c r="M23" s="8" t="s">
        <v>59</v>
      </c>
      <c r="N23" s="8" t="s">
        <v>59</v>
      </c>
      <c r="O23" s="8" t="s">
        <v>59</v>
      </c>
      <c r="P23" s="46" t="s">
        <v>59</v>
      </c>
      <c r="Q23" s="7" t="s">
        <v>200</v>
      </c>
    </row>
    <row r="24" spans="1:17" s="2" customFormat="1" ht="96">
      <c r="A24" s="21" t="s">
        <v>254</v>
      </c>
      <c r="B24" s="5" t="s">
        <v>110</v>
      </c>
      <c r="C24" s="26" t="s">
        <v>50</v>
      </c>
      <c r="D24" s="8" t="s">
        <v>59</v>
      </c>
      <c r="E24" s="8" t="s">
        <v>59</v>
      </c>
      <c r="F24" s="8" t="s">
        <v>59</v>
      </c>
      <c r="G24" s="8" t="s">
        <v>59</v>
      </c>
      <c r="H24" s="8" t="s">
        <v>59</v>
      </c>
      <c r="I24" s="8" t="s">
        <v>59</v>
      </c>
      <c r="J24" s="8" t="s">
        <v>59</v>
      </c>
      <c r="K24" s="8" t="s">
        <v>59</v>
      </c>
      <c r="L24" s="8" t="s">
        <v>59</v>
      </c>
      <c r="M24" s="8" t="s">
        <v>59</v>
      </c>
      <c r="N24" s="8" t="s">
        <v>59</v>
      </c>
      <c r="O24" s="8" t="s">
        <v>59</v>
      </c>
      <c r="P24" s="46" t="s">
        <v>59</v>
      </c>
      <c r="Q24" s="5" t="s">
        <v>88</v>
      </c>
    </row>
    <row r="25" spans="1:17" s="2" customFormat="1" ht="120">
      <c r="A25" s="21" t="s">
        <v>254</v>
      </c>
      <c r="B25" s="5" t="s">
        <v>110</v>
      </c>
      <c r="C25" s="26" t="s">
        <v>51</v>
      </c>
      <c r="D25" s="8" t="s">
        <v>59</v>
      </c>
      <c r="E25" s="8" t="s">
        <v>59</v>
      </c>
      <c r="F25" s="8" t="s">
        <v>59</v>
      </c>
      <c r="G25" s="8" t="s">
        <v>59</v>
      </c>
      <c r="H25" s="8" t="s">
        <v>59</v>
      </c>
      <c r="I25" s="8" t="s">
        <v>59</v>
      </c>
      <c r="J25" s="8" t="s">
        <v>59</v>
      </c>
      <c r="K25" s="8" t="s">
        <v>59</v>
      </c>
      <c r="L25" s="8" t="s">
        <v>59</v>
      </c>
      <c r="M25" s="8" t="s">
        <v>59</v>
      </c>
      <c r="N25" s="8" t="s">
        <v>59</v>
      </c>
      <c r="O25" s="8" t="s">
        <v>59</v>
      </c>
      <c r="P25" s="46" t="s">
        <v>59</v>
      </c>
      <c r="Q25" s="5" t="s">
        <v>84</v>
      </c>
    </row>
    <row r="26" spans="1:17" s="2" customFormat="1" ht="84">
      <c r="A26" s="21" t="s">
        <v>254</v>
      </c>
      <c r="B26" s="5" t="s">
        <v>110</v>
      </c>
      <c r="C26" s="27" t="s">
        <v>75</v>
      </c>
      <c r="D26" s="52">
        <f>4460*1.0952</f>
        <v>4884.592</v>
      </c>
      <c r="E26" s="52">
        <f>93137*1.0952</f>
        <v>102003.6424</v>
      </c>
      <c r="F26" s="52">
        <f>113777*1.0952</f>
        <v>124608.5704</v>
      </c>
      <c r="G26" s="56">
        <f>862-862</f>
        <v>0</v>
      </c>
      <c r="H26" s="56">
        <f>-862+862</f>
        <v>0</v>
      </c>
      <c r="I26" s="52">
        <f>0*1.0952</f>
        <v>0</v>
      </c>
      <c r="J26" s="52">
        <f>0*1.0952</f>
        <v>0</v>
      </c>
      <c r="K26" s="52">
        <f>0*1.0952</f>
        <v>0</v>
      </c>
      <c r="L26" s="52">
        <f>862*1.0952</f>
        <v>944.0623999999999</v>
      </c>
      <c r="M26" s="52">
        <f>13009*1.0952</f>
        <v>14247.4568</v>
      </c>
      <c r="N26" s="52">
        <f>7715*1.0952</f>
        <v>8449.467999999999</v>
      </c>
      <c r="O26" s="52">
        <f>9857*1.0952</f>
        <v>10795.3864</v>
      </c>
      <c r="P26" s="43">
        <f>SUM(D26:O26)</f>
        <v>265933.1784</v>
      </c>
      <c r="Q26" s="26" t="s">
        <v>195</v>
      </c>
    </row>
    <row r="27" spans="1:17" s="2" customFormat="1" ht="36">
      <c r="A27" s="109" t="s">
        <v>255</v>
      </c>
      <c r="B27" s="131"/>
      <c r="C27" s="132"/>
      <c r="D27" s="113">
        <f>SUM(D20:D26)</f>
        <v>403512.8606</v>
      </c>
      <c r="E27" s="113">
        <f aca="true" t="shared" si="0" ref="E27:O27">SUM(E20:E26)</f>
        <v>518827.7402</v>
      </c>
      <c r="F27" s="113">
        <f t="shared" si="0"/>
        <v>319037.5918</v>
      </c>
      <c r="G27" s="113">
        <f t="shared" si="0"/>
        <v>184847.7826</v>
      </c>
      <c r="H27" s="113">
        <f t="shared" si="0"/>
        <v>1010474.0832</v>
      </c>
      <c r="I27" s="113">
        <f t="shared" si="0"/>
        <v>1979210.1864</v>
      </c>
      <c r="J27" s="113">
        <f t="shared" si="0"/>
        <v>1919617.358</v>
      </c>
      <c r="K27" s="113">
        <f t="shared" si="0"/>
        <v>4500380.4032000005</v>
      </c>
      <c r="L27" s="113">
        <f t="shared" si="0"/>
        <v>1328506.9678</v>
      </c>
      <c r="M27" s="113">
        <f t="shared" si="0"/>
        <v>549929.9020000001</v>
      </c>
      <c r="N27" s="113">
        <f t="shared" si="0"/>
        <v>377241.9166</v>
      </c>
      <c r="O27" s="113">
        <f t="shared" si="0"/>
        <v>1211153.9568</v>
      </c>
      <c r="P27" s="114">
        <f>SUM(D27:O27)</f>
        <v>14302740.749200003</v>
      </c>
      <c r="Q27" s="111" t="s">
        <v>277</v>
      </c>
    </row>
    <row r="28" spans="1:17" s="2" customFormat="1" ht="48">
      <c r="A28" s="21" t="s">
        <v>256</v>
      </c>
      <c r="B28" s="5" t="s">
        <v>30</v>
      </c>
      <c r="C28" s="5" t="s">
        <v>99</v>
      </c>
      <c r="D28" s="8" t="s">
        <v>59</v>
      </c>
      <c r="E28" s="8" t="s">
        <v>59</v>
      </c>
      <c r="F28" s="8" t="s">
        <v>59</v>
      </c>
      <c r="G28" s="8" t="s">
        <v>59</v>
      </c>
      <c r="H28" s="8" t="s">
        <v>59</v>
      </c>
      <c r="I28" s="8" t="s">
        <v>59</v>
      </c>
      <c r="J28" s="8" t="s">
        <v>59</v>
      </c>
      <c r="K28" s="8" t="s">
        <v>59</v>
      </c>
      <c r="L28" s="8" t="s">
        <v>59</v>
      </c>
      <c r="M28" s="8" t="s">
        <v>59</v>
      </c>
      <c r="N28" s="8" t="s">
        <v>59</v>
      </c>
      <c r="O28" s="8" t="s">
        <v>59</v>
      </c>
      <c r="P28" s="46" t="s">
        <v>59</v>
      </c>
      <c r="Q28" s="7" t="s">
        <v>358</v>
      </c>
    </row>
    <row r="29" spans="1:17" s="2" customFormat="1" ht="36" customHeight="1">
      <c r="A29" s="21" t="s">
        <v>257</v>
      </c>
      <c r="B29" s="5" t="s">
        <v>111</v>
      </c>
      <c r="C29" s="34" t="s">
        <v>61</v>
      </c>
      <c r="D29" s="32">
        <f>120*0.8042</f>
        <v>96.504</v>
      </c>
      <c r="E29" s="32">
        <f>162*0.8042</f>
        <v>130.28040000000001</v>
      </c>
      <c r="F29" s="32">
        <f>14*0.8042</f>
        <v>11.2588</v>
      </c>
      <c r="G29" s="32">
        <f>16*0.8042</f>
        <v>12.8672</v>
      </c>
      <c r="H29" s="32">
        <f>15*0.8042</f>
        <v>12.063</v>
      </c>
      <c r="I29" s="32">
        <f>141*0.8042</f>
        <v>113.3922</v>
      </c>
      <c r="J29" s="32">
        <f>70*0.8042</f>
        <v>56.294000000000004</v>
      </c>
      <c r="K29" s="32">
        <f>89*0.8042</f>
        <v>71.5738</v>
      </c>
      <c r="L29" s="32">
        <f>243*0.8042</f>
        <v>195.4206</v>
      </c>
      <c r="M29" s="32">
        <f>108*0.8042</f>
        <v>86.8536</v>
      </c>
      <c r="N29" s="32">
        <f>116*0.8042</f>
        <v>93.2872</v>
      </c>
      <c r="O29" s="32">
        <f>237*0.8042</f>
        <v>190.5954</v>
      </c>
      <c r="P29" s="45">
        <f>SUM(D29:O29)</f>
        <v>1070.3902</v>
      </c>
      <c r="Q29" s="7" t="s">
        <v>168</v>
      </c>
    </row>
    <row r="30" spans="1:17" s="2" customFormat="1" ht="60" customHeight="1">
      <c r="A30" s="4" t="s">
        <v>23</v>
      </c>
      <c r="B30" s="5" t="s">
        <v>19</v>
      </c>
      <c r="C30" s="26" t="s">
        <v>52</v>
      </c>
      <c r="D30" s="12">
        <v>0</v>
      </c>
      <c r="E30" s="12">
        <v>0</v>
      </c>
      <c r="F30" s="12">
        <v>0</v>
      </c>
      <c r="G30" s="12">
        <v>0</v>
      </c>
      <c r="H30" s="12">
        <v>0</v>
      </c>
      <c r="I30" s="12">
        <v>0</v>
      </c>
      <c r="J30" s="12">
        <v>0</v>
      </c>
      <c r="K30" s="12">
        <v>0</v>
      </c>
      <c r="L30" s="12">
        <v>0</v>
      </c>
      <c r="M30" s="12">
        <v>0</v>
      </c>
      <c r="N30" s="12">
        <v>0</v>
      </c>
      <c r="O30" s="12">
        <v>0</v>
      </c>
      <c r="P30" s="45">
        <f>SUM(D30:O30)</f>
        <v>0</v>
      </c>
      <c r="Q30" s="7" t="s">
        <v>359</v>
      </c>
    </row>
    <row r="31" spans="1:17" s="3" customFormat="1" ht="12">
      <c r="A31" s="228" t="s">
        <v>258</v>
      </c>
      <c r="B31" s="228"/>
      <c r="C31" s="228"/>
      <c r="D31" s="228"/>
      <c r="E31" s="228"/>
      <c r="F31" s="228"/>
      <c r="G31" s="228"/>
      <c r="H31" s="228"/>
      <c r="I31" s="228"/>
      <c r="J31" s="228"/>
      <c r="K31" s="228"/>
      <c r="L31" s="228"/>
      <c r="M31" s="228"/>
      <c r="N31" s="228"/>
      <c r="O31" s="228"/>
      <c r="P31" s="228"/>
      <c r="Q31" s="228"/>
    </row>
    <row r="32" spans="1:17" s="59" customFormat="1" ht="73.5" customHeight="1">
      <c r="A32" s="32" t="s">
        <v>24</v>
      </c>
      <c r="B32" s="27" t="s">
        <v>112</v>
      </c>
      <c r="C32" s="27" t="s">
        <v>53</v>
      </c>
      <c r="D32" s="32">
        <f>SUM(D20:D26)</f>
        <v>403512.8606</v>
      </c>
      <c r="E32" s="32">
        <f aca="true" t="shared" si="1" ref="E32:O32">SUM(E20:E26)</f>
        <v>518827.7402</v>
      </c>
      <c r="F32" s="32">
        <f t="shared" si="1"/>
        <v>319037.5918</v>
      </c>
      <c r="G32" s="32">
        <f t="shared" si="1"/>
        <v>184847.7826</v>
      </c>
      <c r="H32" s="32">
        <f t="shared" si="1"/>
        <v>1010474.0832</v>
      </c>
      <c r="I32" s="32">
        <f t="shared" si="1"/>
        <v>1979210.1864</v>
      </c>
      <c r="J32" s="32">
        <f t="shared" si="1"/>
        <v>1919617.358</v>
      </c>
      <c r="K32" s="32">
        <f t="shared" si="1"/>
        <v>4500380.4032000005</v>
      </c>
      <c r="L32" s="32">
        <f t="shared" si="1"/>
        <v>1328506.9678</v>
      </c>
      <c r="M32" s="32">
        <f t="shared" si="1"/>
        <v>549929.9020000001</v>
      </c>
      <c r="N32" s="32">
        <f t="shared" si="1"/>
        <v>377241.9166</v>
      </c>
      <c r="O32" s="32">
        <f t="shared" si="1"/>
        <v>1211153.9568</v>
      </c>
      <c r="P32" s="45">
        <f>SUM(D32:O32)</f>
        <v>14302740.749200003</v>
      </c>
      <c r="Q32" s="27" t="s">
        <v>288</v>
      </c>
    </row>
    <row r="33" spans="1:17" s="59" customFormat="1" ht="37.5" customHeight="1">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row>
    <row r="34" spans="1:17" s="2" customFormat="1" ht="13.5" customHeight="1">
      <c r="A34" s="4" t="s">
        <v>115</v>
      </c>
      <c r="B34" s="5" t="s">
        <v>20</v>
      </c>
      <c r="C34" s="40"/>
      <c r="D34" s="41"/>
      <c r="E34" s="41"/>
      <c r="F34" s="41"/>
      <c r="G34" s="41"/>
      <c r="H34" s="41"/>
      <c r="I34" s="41"/>
      <c r="J34" s="41"/>
      <c r="K34" s="41"/>
      <c r="L34" s="41"/>
      <c r="M34" s="41"/>
      <c r="N34" s="41"/>
      <c r="O34" s="41"/>
      <c r="P34" s="50"/>
      <c r="Q34" s="40"/>
    </row>
    <row r="35" spans="1:17" s="2" customFormat="1" ht="36">
      <c r="A35" s="22" t="s">
        <v>259</v>
      </c>
      <c r="B35" s="5" t="s">
        <v>66</v>
      </c>
      <c r="C35" s="27" t="s">
        <v>150</v>
      </c>
      <c r="D35" s="98">
        <f>125*0.8042</f>
        <v>100.525</v>
      </c>
      <c r="E35" s="45">
        <f>100*0.8042</f>
        <v>80.42</v>
      </c>
      <c r="F35" s="45">
        <f>297*0.8042</f>
        <v>238.84740000000002</v>
      </c>
      <c r="G35" s="45">
        <f>67*0.8042</f>
        <v>53.8814</v>
      </c>
      <c r="H35" s="45">
        <f>187*0.8042</f>
        <v>150.3854</v>
      </c>
      <c r="I35" s="45">
        <f>171*0.8042</f>
        <v>137.5182</v>
      </c>
      <c r="J35" s="45">
        <f>67*0.8042</f>
        <v>53.8814</v>
      </c>
      <c r="K35" s="45">
        <f>159*0.8042</f>
        <v>127.8678</v>
      </c>
      <c r="L35" s="45">
        <f>99*0.8042</f>
        <v>79.61580000000001</v>
      </c>
      <c r="M35" s="45">
        <f>185*0.8042</f>
        <v>148.77700000000002</v>
      </c>
      <c r="N35" s="45">
        <f>87*0.8042</f>
        <v>69.9654</v>
      </c>
      <c r="O35" s="45">
        <f>90*0.8042</f>
        <v>72.378</v>
      </c>
      <c r="P35" s="45">
        <f>SUM(D35:O35)</f>
        <v>1314.0628</v>
      </c>
      <c r="Q35" s="67" t="s">
        <v>73</v>
      </c>
    </row>
    <row r="36" spans="1:17" s="2" customFormat="1" ht="80.25" customHeight="1">
      <c r="A36" s="22" t="s">
        <v>259</v>
      </c>
      <c r="B36" s="5" t="s">
        <v>66</v>
      </c>
      <c r="C36" s="27" t="s">
        <v>181</v>
      </c>
      <c r="D36" s="39">
        <f>63339*0.8042</f>
        <v>50937.2238</v>
      </c>
      <c r="E36" s="39">
        <f>58992*0.8042</f>
        <v>47441.3664</v>
      </c>
      <c r="F36" s="39">
        <f>46111*0.8042</f>
        <v>37082.4662</v>
      </c>
      <c r="G36" s="39">
        <f>34607*0.8042</f>
        <v>27830.9494</v>
      </c>
      <c r="H36" s="39">
        <f>42965*0.8042</f>
        <v>34552.453</v>
      </c>
      <c r="I36" s="39">
        <f>115049*0.8042</f>
        <v>92522.40580000001</v>
      </c>
      <c r="J36" s="39">
        <f>134709*0.8042</f>
        <v>108332.97780000001</v>
      </c>
      <c r="K36" s="39">
        <f>208108*0.8042</f>
        <v>167360.4536</v>
      </c>
      <c r="L36" s="39">
        <f>180030*0.8042</f>
        <v>144780.12600000002</v>
      </c>
      <c r="M36" s="39">
        <f>86541*0.8042</f>
        <v>69596.2722</v>
      </c>
      <c r="N36" s="39">
        <f>66526*0.8042</f>
        <v>53500.209200000005</v>
      </c>
      <c r="O36" s="39">
        <f>77429*0.8042</f>
        <v>62268.4018</v>
      </c>
      <c r="P36" s="51">
        <f>SUM(D36:O36)</f>
        <v>896205.3052000002</v>
      </c>
      <c r="Q36" s="35" t="s">
        <v>211</v>
      </c>
    </row>
    <row r="37" spans="1:17" s="2" customFormat="1" ht="36">
      <c r="A37" s="22" t="s">
        <v>259</v>
      </c>
      <c r="B37" s="5" t="s">
        <v>66</v>
      </c>
      <c r="C37" s="5" t="s">
        <v>182</v>
      </c>
      <c r="D37" s="46" t="s">
        <v>59</v>
      </c>
      <c r="E37" s="46" t="s">
        <v>59</v>
      </c>
      <c r="F37" s="46" t="s">
        <v>59</v>
      </c>
      <c r="G37" s="46" t="s">
        <v>59</v>
      </c>
      <c r="H37" s="46" t="s">
        <v>59</v>
      </c>
      <c r="I37" s="46" t="s">
        <v>59</v>
      </c>
      <c r="J37" s="46" t="s">
        <v>59</v>
      </c>
      <c r="K37" s="46" t="s">
        <v>59</v>
      </c>
      <c r="L37" s="46" t="s">
        <v>59</v>
      </c>
      <c r="M37" s="46" t="s">
        <v>59</v>
      </c>
      <c r="N37" s="46" t="s">
        <v>59</v>
      </c>
      <c r="O37" s="46" t="s">
        <v>59</v>
      </c>
      <c r="P37" s="46" t="s">
        <v>59</v>
      </c>
      <c r="Q37" s="5" t="s">
        <v>89</v>
      </c>
    </row>
    <row r="38" spans="1:17" s="2" customFormat="1" ht="36">
      <c r="A38" s="22" t="s">
        <v>259</v>
      </c>
      <c r="B38" s="5" t="s">
        <v>66</v>
      </c>
      <c r="C38" s="5" t="s">
        <v>183</v>
      </c>
      <c r="D38" s="29">
        <f>3467*0.8042</f>
        <v>2788.1614</v>
      </c>
      <c r="E38" s="30">
        <f>4748*0.8042</f>
        <v>3818.3416</v>
      </c>
      <c r="F38" s="30">
        <f>1414*0.8042</f>
        <v>1137.1388</v>
      </c>
      <c r="G38" s="30">
        <f>1603*0.8042</f>
        <v>1289.1326000000001</v>
      </c>
      <c r="H38" s="30">
        <f>4005*0.8042</f>
        <v>3220.821</v>
      </c>
      <c r="I38" s="30">
        <f>4969*0.8042</f>
        <v>3996.0698</v>
      </c>
      <c r="J38" s="30">
        <f>2392*0.8042</f>
        <v>1923.6464</v>
      </c>
      <c r="K38" s="30">
        <f>2021*0.8042</f>
        <v>1625.2882</v>
      </c>
      <c r="L38" s="30">
        <f>843*0.8042</f>
        <v>677.9406</v>
      </c>
      <c r="M38" s="30">
        <f>602*0.8042</f>
        <v>484.1284</v>
      </c>
      <c r="N38" s="30">
        <f>521*0.8042</f>
        <v>418.9882</v>
      </c>
      <c r="O38" s="36">
        <f>583*0.8042</f>
        <v>468.84860000000003</v>
      </c>
      <c r="P38" s="51">
        <f>SUM(D38:O38)</f>
        <v>21848.505600000004</v>
      </c>
      <c r="Q38" s="5" t="s">
        <v>83</v>
      </c>
    </row>
    <row r="39" spans="1:17" s="2" customFormat="1" ht="36">
      <c r="A39" s="22" t="s">
        <v>259</v>
      </c>
      <c r="B39" s="5" t="s">
        <v>66</v>
      </c>
      <c r="C39" s="26" t="s">
        <v>184</v>
      </c>
      <c r="D39" s="37" t="s">
        <v>59</v>
      </c>
      <c r="E39" s="37" t="s">
        <v>59</v>
      </c>
      <c r="F39" s="37" t="s">
        <v>59</v>
      </c>
      <c r="G39" s="37" t="s">
        <v>59</v>
      </c>
      <c r="H39" s="37" t="s">
        <v>59</v>
      </c>
      <c r="I39" s="37" t="s">
        <v>59</v>
      </c>
      <c r="J39" s="37" t="s">
        <v>59</v>
      </c>
      <c r="K39" s="37" t="s">
        <v>59</v>
      </c>
      <c r="L39" s="37" t="s">
        <v>59</v>
      </c>
      <c r="M39" s="37" t="s">
        <v>59</v>
      </c>
      <c r="N39" s="37" t="s">
        <v>59</v>
      </c>
      <c r="O39" s="37" t="s">
        <v>59</v>
      </c>
      <c r="P39" s="46" t="s">
        <v>59</v>
      </c>
      <c r="Q39" s="5" t="s">
        <v>86</v>
      </c>
    </row>
    <row r="40" spans="1:17" s="2" customFormat="1" ht="48">
      <c r="A40" s="22" t="s">
        <v>259</v>
      </c>
      <c r="B40" s="5" t="s">
        <v>66</v>
      </c>
      <c r="C40" s="26" t="s">
        <v>185</v>
      </c>
      <c r="D40" s="37" t="s">
        <v>59</v>
      </c>
      <c r="E40" s="37" t="s">
        <v>59</v>
      </c>
      <c r="F40" s="37" t="s">
        <v>59</v>
      </c>
      <c r="G40" s="37" t="s">
        <v>59</v>
      </c>
      <c r="H40" s="37" t="s">
        <v>59</v>
      </c>
      <c r="I40" s="37" t="s">
        <v>59</v>
      </c>
      <c r="J40" s="37" t="s">
        <v>59</v>
      </c>
      <c r="K40" s="37" t="s">
        <v>59</v>
      </c>
      <c r="L40" s="37" t="s">
        <v>59</v>
      </c>
      <c r="M40" s="37" t="s">
        <v>59</v>
      </c>
      <c r="N40" s="37" t="s">
        <v>59</v>
      </c>
      <c r="O40" s="37" t="s">
        <v>59</v>
      </c>
      <c r="P40" s="46" t="s">
        <v>59</v>
      </c>
      <c r="Q40" s="5" t="s">
        <v>176</v>
      </c>
    </row>
    <row r="41" spans="1:17" s="2" customFormat="1" ht="36">
      <c r="A41" s="22" t="s">
        <v>259</v>
      </c>
      <c r="B41" s="5" t="s">
        <v>66</v>
      </c>
      <c r="C41" s="26" t="s">
        <v>186</v>
      </c>
      <c r="D41" s="37" t="s">
        <v>59</v>
      </c>
      <c r="E41" s="37" t="s">
        <v>59</v>
      </c>
      <c r="F41" s="37" t="s">
        <v>59</v>
      </c>
      <c r="G41" s="37" t="s">
        <v>59</v>
      </c>
      <c r="H41" s="37" t="s">
        <v>59</v>
      </c>
      <c r="I41" s="37" t="s">
        <v>59</v>
      </c>
      <c r="J41" s="37" t="s">
        <v>59</v>
      </c>
      <c r="K41" s="37" t="s">
        <v>59</v>
      </c>
      <c r="L41" s="37" t="s">
        <v>59</v>
      </c>
      <c r="M41" s="37" t="s">
        <v>59</v>
      </c>
      <c r="N41" s="37" t="s">
        <v>59</v>
      </c>
      <c r="O41" s="37" t="s">
        <v>59</v>
      </c>
      <c r="P41" s="46" t="s">
        <v>59</v>
      </c>
      <c r="Q41" s="5" t="s">
        <v>97</v>
      </c>
    </row>
    <row r="42" spans="1:17" s="11" customFormat="1" ht="60">
      <c r="A42" s="22" t="s">
        <v>259</v>
      </c>
      <c r="B42" s="27" t="s">
        <v>66</v>
      </c>
      <c r="C42" s="27" t="s">
        <v>187</v>
      </c>
      <c r="D42" s="107" t="s">
        <v>174</v>
      </c>
      <c r="E42" s="107" t="s">
        <v>174</v>
      </c>
      <c r="F42" s="107" t="s">
        <v>174</v>
      </c>
      <c r="G42" s="107" t="s">
        <v>174</v>
      </c>
      <c r="H42" s="107" t="s">
        <v>174</v>
      </c>
      <c r="I42" s="107" t="s">
        <v>174</v>
      </c>
      <c r="J42" s="107" t="s">
        <v>174</v>
      </c>
      <c r="K42" s="107" t="s">
        <v>174</v>
      </c>
      <c r="L42" s="107" t="s">
        <v>174</v>
      </c>
      <c r="M42" s="107" t="s">
        <v>174</v>
      </c>
      <c r="N42" s="107" t="s">
        <v>174</v>
      </c>
      <c r="O42" s="107" t="s">
        <v>174</v>
      </c>
      <c r="P42" s="107" t="s">
        <v>174</v>
      </c>
      <c r="Q42" s="7" t="s">
        <v>311</v>
      </c>
    </row>
    <row r="43" spans="1:17" s="2" customFormat="1" ht="84">
      <c r="A43" s="109" t="s">
        <v>260</v>
      </c>
      <c r="B43" s="110"/>
      <c r="C43" s="111"/>
      <c r="D43" s="113">
        <f>SUM(D35:D42)</f>
        <v>53825.9102</v>
      </c>
      <c r="E43" s="113">
        <f aca="true" t="shared" si="2" ref="E43:O43">SUM(E35:E42)</f>
        <v>51340.128</v>
      </c>
      <c r="F43" s="113">
        <f t="shared" si="2"/>
        <v>38458.4524</v>
      </c>
      <c r="G43" s="113">
        <f t="shared" si="2"/>
        <v>29173.9634</v>
      </c>
      <c r="H43" s="113">
        <f t="shared" si="2"/>
        <v>37923.659400000004</v>
      </c>
      <c r="I43" s="113">
        <f t="shared" si="2"/>
        <v>96655.99380000001</v>
      </c>
      <c r="J43" s="113">
        <f t="shared" si="2"/>
        <v>110310.5056</v>
      </c>
      <c r="K43" s="113">
        <f t="shared" si="2"/>
        <v>169113.60960000003</v>
      </c>
      <c r="L43" s="113">
        <f t="shared" si="2"/>
        <v>145537.68240000002</v>
      </c>
      <c r="M43" s="113">
        <f t="shared" si="2"/>
        <v>70229.17760000001</v>
      </c>
      <c r="N43" s="113">
        <f t="shared" si="2"/>
        <v>53989.162800000006</v>
      </c>
      <c r="O43" s="113">
        <f t="shared" si="2"/>
        <v>62809.628399999994</v>
      </c>
      <c r="P43" s="114">
        <f aca="true" t="shared" si="3" ref="P43:P48">SUM(D43:O43)</f>
        <v>919367.8736000003</v>
      </c>
      <c r="Q43" s="111" t="s">
        <v>322</v>
      </c>
    </row>
    <row r="44" spans="1:17" s="2" customFormat="1" ht="36">
      <c r="A44" s="22" t="s">
        <v>259</v>
      </c>
      <c r="B44" s="27" t="s">
        <v>66</v>
      </c>
      <c r="C44" s="27" t="s">
        <v>244</v>
      </c>
      <c r="D44" s="45">
        <f>4629*0.8042</f>
        <v>3722.6418000000003</v>
      </c>
      <c r="E44" s="45">
        <f>2945*0.8042</f>
        <v>2368.369</v>
      </c>
      <c r="F44" s="45">
        <f>4207*0.8042</f>
        <v>3383.2694</v>
      </c>
      <c r="G44" s="45">
        <f>3099*0.8042</f>
        <v>2492.2158</v>
      </c>
      <c r="H44" s="45">
        <f>2448*0.8042</f>
        <v>1968.6816000000001</v>
      </c>
      <c r="I44" s="45">
        <f>2807*0.8042</f>
        <v>2257.3894</v>
      </c>
      <c r="J44" s="45">
        <f>3228*0.8042</f>
        <v>2595.9576</v>
      </c>
      <c r="K44" s="45">
        <f>4323*0.8042</f>
        <v>3476.5566</v>
      </c>
      <c r="L44" s="45">
        <f>6843*0.8042</f>
        <v>5503.140600000001</v>
      </c>
      <c r="M44" s="45">
        <f>5751*0.8042</f>
        <v>4624.9542</v>
      </c>
      <c r="N44" s="45">
        <f>7276*0.8042</f>
        <v>5851.3592</v>
      </c>
      <c r="O44" s="45">
        <f>3760*0.8042</f>
        <v>3023.792</v>
      </c>
      <c r="P44" s="51">
        <f t="shared" si="3"/>
        <v>41268.3272</v>
      </c>
      <c r="Q44" s="27" t="s">
        <v>243</v>
      </c>
    </row>
    <row r="45" spans="1:17" s="59" customFormat="1" ht="39.75" customHeight="1">
      <c r="A45" s="105" t="s">
        <v>261</v>
      </c>
      <c r="B45" s="27" t="s">
        <v>32</v>
      </c>
      <c r="C45" s="27" t="s">
        <v>67</v>
      </c>
      <c r="D45" s="45">
        <f aca="true" t="shared" si="4" ref="D45:O45">SUM(D36:D42)</f>
        <v>53725.3852</v>
      </c>
      <c r="E45" s="45">
        <f t="shared" si="4"/>
        <v>51259.708</v>
      </c>
      <c r="F45" s="45">
        <f t="shared" si="4"/>
        <v>38219.605</v>
      </c>
      <c r="G45" s="45">
        <f t="shared" si="4"/>
        <v>29120.082000000002</v>
      </c>
      <c r="H45" s="45">
        <f t="shared" si="4"/>
        <v>37773.274000000005</v>
      </c>
      <c r="I45" s="45">
        <f t="shared" si="4"/>
        <v>96518.4756</v>
      </c>
      <c r="J45" s="45">
        <f t="shared" si="4"/>
        <v>110256.6242</v>
      </c>
      <c r="K45" s="45">
        <f t="shared" si="4"/>
        <v>168985.74180000002</v>
      </c>
      <c r="L45" s="45">
        <f t="shared" si="4"/>
        <v>145458.06660000002</v>
      </c>
      <c r="M45" s="45">
        <f t="shared" si="4"/>
        <v>70080.40060000001</v>
      </c>
      <c r="N45" s="45">
        <f t="shared" si="4"/>
        <v>53919.197400000005</v>
      </c>
      <c r="O45" s="45">
        <f t="shared" si="4"/>
        <v>62737.2504</v>
      </c>
      <c r="P45" s="45">
        <f t="shared" si="3"/>
        <v>918053.8108000001</v>
      </c>
      <c r="Q45" s="27" t="s">
        <v>91</v>
      </c>
    </row>
    <row r="46" spans="1:18" s="2" customFormat="1" ht="36.75" customHeight="1">
      <c r="A46" s="105" t="s">
        <v>261</v>
      </c>
      <c r="B46" s="7" t="s">
        <v>32</v>
      </c>
      <c r="C46" s="7" t="s">
        <v>68</v>
      </c>
      <c r="D46" s="45">
        <f>D35</f>
        <v>100.525</v>
      </c>
      <c r="E46" s="45">
        <f aca="true" t="shared" si="5" ref="E46:O46">E35</f>
        <v>80.42</v>
      </c>
      <c r="F46" s="45">
        <f t="shared" si="5"/>
        <v>238.84740000000002</v>
      </c>
      <c r="G46" s="45">
        <f t="shared" si="5"/>
        <v>53.8814</v>
      </c>
      <c r="H46" s="45">
        <f t="shared" si="5"/>
        <v>150.3854</v>
      </c>
      <c r="I46" s="45">
        <f t="shared" si="5"/>
        <v>137.5182</v>
      </c>
      <c r="J46" s="45">
        <f t="shared" si="5"/>
        <v>53.8814</v>
      </c>
      <c r="K46" s="45">
        <f t="shared" si="5"/>
        <v>127.8678</v>
      </c>
      <c r="L46" s="45">
        <f t="shared" si="5"/>
        <v>79.61580000000001</v>
      </c>
      <c r="M46" s="45">
        <f t="shared" si="5"/>
        <v>148.77700000000002</v>
      </c>
      <c r="N46" s="45">
        <f t="shared" si="5"/>
        <v>69.9654</v>
      </c>
      <c r="O46" s="45">
        <f t="shared" si="5"/>
        <v>72.378</v>
      </c>
      <c r="P46" s="45">
        <f t="shared" si="3"/>
        <v>1314.0628</v>
      </c>
      <c r="Q46" s="27" t="s">
        <v>94</v>
      </c>
      <c r="R46" s="11"/>
    </row>
    <row r="47" spans="1:17" s="2" customFormat="1" ht="36">
      <c r="A47" s="109" t="s">
        <v>262</v>
      </c>
      <c r="B47" s="110"/>
      <c r="C47" s="111"/>
      <c r="D47" s="113">
        <f>SUM(D45:D46)</f>
        <v>53825.9102</v>
      </c>
      <c r="E47" s="113">
        <f aca="true" t="shared" si="6" ref="E47:O47">SUM(E45:E46)</f>
        <v>51340.128</v>
      </c>
      <c r="F47" s="113">
        <f t="shared" si="6"/>
        <v>38458.4524</v>
      </c>
      <c r="G47" s="113">
        <f t="shared" si="6"/>
        <v>29173.9634</v>
      </c>
      <c r="H47" s="113">
        <f t="shared" si="6"/>
        <v>37923.659400000004</v>
      </c>
      <c r="I47" s="113">
        <f t="shared" si="6"/>
        <v>96655.99380000001</v>
      </c>
      <c r="J47" s="113">
        <f t="shared" si="6"/>
        <v>110310.5056</v>
      </c>
      <c r="K47" s="113">
        <f t="shared" si="6"/>
        <v>169113.60960000003</v>
      </c>
      <c r="L47" s="113">
        <f t="shared" si="6"/>
        <v>145537.68240000002</v>
      </c>
      <c r="M47" s="113">
        <f t="shared" si="6"/>
        <v>70229.17760000001</v>
      </c>
      <c r="N47" s="113">
        <f t="shared" si="6"/>
        <v>53989.162800000006</v>
      </c>
      <c r="O47" s="113">
        <f t="shared" si="6"/>
        <v>62809.628399999994</v>
      </c>
      <c r="P47" s="114">
        <f t="shared" si="3"/>
        <v>919367.8736000003</v>
      </c>
      <c r="Q47" s="111" t="s">
        <v>280</v>
      </c>
    </row>
    <row r="48" spans="1:17" s="2" customFormat="1" ht="36">
      <c r="A48" s="6" t="s">
        <v>263</v>
      </c>
      <c r="B48" s="7" t="s">
        <v>126</v>
      </c>
      <c r="C48" s="27" t="s">
        <v>206</v>
      </c>
      <c r="D48" s="45">
        <f>(89916-24453)*0.8042</f>
        <v>52645.344600000004</v>
      </c>
      <c r="E48" s="45">
        <f>(61000-19395)*0.8042</f>
        <v>33458.741</v>
      </c>
      <c r="F48" s="45">
        <f>(68435-8539)*0.8042</f>
        <v>48168.3632</v>
      </c>
      <c r="G48" s="45">
        <f>(41594-5864)*0.8042</f>
        <v>28734.066000000003</v>
      </c>
      <c r="H48" s="45">
        <f>(37641-5966)*0.8042</f>
        <v>25473.035</v>
      </c>
      <c r="I48" s="45">
        <f>(81489-12300)*0.8042</f>
        <v>55641.7938</v>
      </c>
      <c r="J48" s="45">
        <f>(112921-28034)*0.8042</f>
        <v>68266.1254</v>
      </c>
      <c r="K48" s="45">
        <f>(172595-27979)*0.8042</f>
        <v>116300.1872</v>
      </c>
      <c r="L48" s="45">
        <f>(240963-30581)*0.8042</f>
        <v>169189.20440000002</v>
      </c>
      <c r="M48" s="45">
        <f>(228004-24969)*0.8042</f>
        <v>163280.747</v>
      </c>
      <c r="N48" s="45">
        <f>(75262-29097)*0.8042</f>
        <v>37125.893000000004</v>
      </c>
      <c r="O48" s="45">
        <f>(96232-20655)*0.8042</f>
        <v>60779.023400000005</v>
      </c>
      <c r="P48" s="57">
        <f t="shared" si="3"/>
        <v>859062.524</v>
      </c>
      <c r="Q48" s="35" t="s">
        <v>209</v>
      </c>
    </row>
    <row r="49" spans="1:17" s="2" customFormat="1" ht="36">
      <c r="A49" s="6" t="s">
        <v>263</v>
      </c>
      <c r="B49" s="7" t="s">
        <v>126</v>
      </c>
      <c r="C49" s="27" t="s">
        <v>207</v>
      </c>
      <c r="D49" s="121" t="s">
        <v>59</v>
      </c>
      <c r="E49" s="121" t="s">
        <v>59</v>
      </c>
      <c r="F49" s="121" t="s">
        <v>59</v>
      </c>
      <c r="G49" s="121" t="s">
        <v>59</v>
      </c>
      <c r="H49" s="121" t="s">
        <v>59</v>
      </c>
      <c r="I49" s="121" t="s">
        <v>59</v>
      </c>
      <c r="J49" s="121" t="s">
        <v>59</v>
      </c>
      <c r="K49" s="121" t="s">
        <v>59</v>
      </c>
      <c r="L49" s="121" t="s">
        <v>59</v>
      </c>
      <c r="M49" s="121" t="s">
        <v>59</v>
      </c>
      <c r="N49" s="121" t="s">
        <v>59</v>
      </c>
      <c r="O49" s="121" t="s">
        <v>59</v>
      </c>
      <c r="P49" s="121" t="s">
        <v>59</v>
      </c>
      <c r="Q49" s="7" t="s">
        <v>58</v>
      </c>
    </row>
    <row r="50" spans="1:17" s="2" customFormat="1" ht="36">
      <c r="A50" s="6" t="s">
        <v>263</v>
      </c>
      <c r="B50" s="7" t="s">
        <v>126</v>
      </c>
      <c r="C50" s="27" t="s">
        <v>208</v>
      </c>
      <c r="D50" s="10" t="s">
        <v>59</v>
      </c>
      <c r="E50" s="10" t="s">
        <v>59</v>
      </c>
      <c r="F50" s="10" t="s">
        <v>59</v>
      </c>
      <c r="G50" s="10" t="s">
        <v>59</v>
      </c>
      <c r="H50" s="10" t="s">
        <v>59</v>
      </c>
      <c r="I50" s="10" t="s">
        <v>59</v>
      </c>
      <c r="J50" s="10" t="s">
        <v>59</v>
      </c>
      <c r="K50" s="10" t="s">
        <v>59</v>
      </c>
      <c r="L50" s="10" t="s">
        <v>59</v>
      </c>
      <c r="M50" s="10" t="s">
        <v>59</v>
      </c>
      <c r="N50" s="10" t="s">
        <v>59</v>
      </c>
      <c r="O50" s="10" t="s">
        <v>59</v>
      </c>
      <c r="P50" s="44" t="s">
        <v>59</v>
      </c>
      <c r="Q50" s="7" t="s">
        <v>175</v>
      </c>
    </row>
    <row r="51" spans="1:19" s="11" customFormat="1" ht="51" customHeight="1">
      <c r="A51" s="6" t="s">
        <v>263</v>
      </c>
      <c r="B51" s="7" t="s">
        <v>126</v>
      </c>
      <c r="C51" s="27" t="s">
        <v>205</v>
      </c>
      <c r="D51" s="32">
        <f>(6688+24453)*0.8042</f>
        <v>25043.5922</v>
      </c>
      <c r="E51" s="32">
        <f>(10093+19395)*0.8042</f>
        <v>23714.2496</v>
      </c>
      <c r="F51" s="32">
        <f>(2048+8539)*0.8042</f>
        <v>8514.0654</v>
      </c>
      <c r="G51" s="32">
        <f>(1316+5864)*0.8042</f>
        <v>5774.156</v>
      </c>
      <c r="H51" s="32">
        <f>(4759+5966)*0.8042</f>
        <v>8625.045</v>
      </c>
      <c r="I51" s="32">
        <f>(12376+12300)*0.8042</f>
        <v>19844.4392</v>
      </c>
      <c r="J51" s="32">
        <f>(4213+28034)*0.8042</f>
        <v>25933.0374</v>
      </c>
      <c r="K51" s="32">
        <f>(3848+27979)*0.8042</f>
        <v>25595.273400000002</v>
      </c>
      <c r="L51" s="32">
        <f>(1124+30581)*0.8042</f>
        <v>25497.161</v>
      </c>
      <c r="M51" s="32">
        <f>(612+24969)*0.8042</f>
        <v>20572.2402</v>
      </c>
      <c r="N51" s="32">
        <f>(2206+29097)*0.8042</f>
        <v>25173.872600000002</v>
      </c>
      <c r="O51" s="32">
        <f>(267+20655)*0.8042</f>
        <v>16825.4724</v>
      </c>
      <c r="P51" s="57">
        <f aca="true" t="shared" si="7" ref="P51:P58">SUM(D51:O51)</f>
        <v>231112.6044</v>
      </c>
      <c r="Q51" s="7" t="s">
        <v>204</v>
      </c>
      <c r="S51" s="59"/>
    </row>
    <row r="52" spans="1:19" s="11" customFormat="1" ht="51" customHeight="1">
      <c r="A52" s="6" t="s">
        <v>263</v>
      </c>
      <c r="B52" s="7" t="s">
        <v>126</v>
      </c>
      <c r="C52" s="27" t="s">
        <v>226</v>
      </c>
      <c r="D52" s="32">
        <f>D68</f>
        <v>776457.5126</v>
      </c>
      <c r="E52" s="32">
        <f aca="true" t="shared" si="8" ref="E52:O52">E68</f>
        <v>624717.0356000001</v>
      </c>
      <c r="F52" s="32">
        <f t="shared" si="8"/>
        <v>666580.4708</v>
      </c>
      <c r="G52" s="32">
        <f t="shared" si="8"/>
        <v>601447.5086000001</v>
      </c>
      <c r="H52" s="32">
        <f t="shared" si="8"/>
        <v>644229.3402</v>
      </c>
      <c r="I52" s="32">
        <f t="shared" si="8"/>
        <v>904358.2848</v>
      </c>
      <c r="J52" s="32">
        <f t="shared" si="8"/>
        <v>803779.4034000001</v>
      </c>
      <c r="K52" s="32">
        <f t="shared" si="8"/>
        <v>970773.1418000001</v>
      </c>
      <c r="L52" s="32">
        <f t="shared" si="8"/>
        <v>833288.7182</v>
      </c>
      <c r="M52" s="32">
        <f t="shared" si="8"/>
        <v>994977.9534</v>
      </c>
      <c r="N52" s="32">
        <f t="shared" si="8"/>
        <v>702527.4066</v>
      </c>
      <c r="O52" s="32">
        <f t="shared" si="8"/>
        <v>754834.1830000001</v>
      </c>
      <c r="P52" s="57">
        <f t="shared" si="7"/>
        <v>9277970.959</v>
      </c>
      <c r="Q52" s="7" t="s">
        <v>281</v>
      </c>
      <c r="S52" s="59"/>
    </row>
    <row r="53" spans="1:17" s="2" customFormat="1" ht="24">
      <c r="A53" s="109" t="s">
        <v>264</v>
      </c>
      <c r="B53" s="110"/>
      <c r="C53" s="111"/>
      <c r="D53" s="113">
        <f>SUM(D48:D52)</f>
        <v>854146.4494</v>
      </c>
      <c r="E53" s="113">
        <f aca="true" t="shared" si="9" ref="E53:O53">SUM(E48:E52)</f>
        <v>681890.0262000001</v>
      </c>
      <c r="F53" s="113">
        <f t="shared" si="9"/>
        <v>723262.8994</v>
      </c>
      <c r="G53" s="113">
        <f t="shared" si="9"/>
        <v>635955.7306</v>
      </c>
      <c r="H53" s="113">
        <f t="shared" si="9"/>
        <v>678327.4201999999</v>
      </c>
      <c r="I53" s="113">
        <f t="shared" si="9"/>
        <v>979844.5178</v>
      </c>
      <c r="J53" s="113">
        <f t="shared" si="9"/>
        <v>897978.5662000001</v>
      </c>
      <c r="K53" s="113">
        <f t="shared" si="9"/>
        <v>1112668.6024000002</v>
      </c>
      <c r="L53" s="113">
        <f t="shared" si="9"/>
        <v>1027975.0836</v>
      </c>
      <c r="M53" s="113">
        <f t="shared" si="9"/>
        <v>1178830.9406</v>
      </c>
      <c r="N53" s="113">
        <f t="shared" si="9"/>
        <v>764827.1722</v>
      </c>
      <c r="O53" s="113">
        <f t="shared" si="9"/>
        <v>832438.6788000001</v>
      </c>
      <c r="P53" s="114">
        <f>SUM(D53:O53)</f>
        <v>10368146.0874</v>
      </c>
      <c r="Q53" s="111" t="s">
        <v>282</v>
      </c>
    </row>
    <row r="54" spans="1:17" s="2" customFormat="1" ht="70.5" customHeight="1">
      <c r="A54" s="6" t="s">
        <v>263</v>
      </c>
      <c r="B54" s="7" t="s">
        <v>126</v>
      </c>
      <c r="C54" s="7" t="s">
        <v>152</v>
      </c>
      <c r="D54" s="124">
        <f>0.01*D53</f>
        <v>8541.464494</v>
      </c>
      <c r="E54" s="124">
        <f aca="true" t="shared" si="10" ref="E54:O54">0.01*E53</f>
        <v>6818.900262000001</v>
      </c>
      <c r="F54" s="124">
        <f t="shared" si="10"/>
        <v>7232.628994</v>
      </c>
      <c r="G54" s="124">
        <f t="shared" si="10"/>
        <v>6359.557306000001</v>
      </c>
      <c r="H54" s="124">
        <f t="shared" si="10"/>
        <v>6783.274202</v>
      </c>
      <c r="I54" s="124">
        <f t="shared" si="10"/>
        <v>9798.445178</v>
      </c>
      <c r="J54" s="124">
        <f t="shared" si="10"/>
        <v>8979.785662000002</v>
      </c>
      <c r="K54" s="124">
        <f t="shared" si="10"/>
        <v>11126.686024000002</v>
      </c>
      <c r="L54" s="124">
        <f t="shared" si="10"/>
        <v>10279.750836000001</v>
      </c>
      <c r="M54" s="124">
        <f t="shared" si="10"/>
        <v>11788.309406</v>
      </c>
      <c r="N54" s="124">
        <f t="shared" si="10"/>
        <v>7648.271722</v>
      </c>
      <c r="O54" s="124">
        <f t="shared" si="10"/>
        <v>8324.386788000002</v>
      </c>
      <c r="P54" s="45">
        <f>SUM(D54:O54)</f>
        <v>103681.46087400003</v>
      </c>
      <c r="Q54" s="7" t="s">
        <v>220</v>
      </c>
    </row>
    <row r="55" spans="1:17" s="2" customFormat="1" ht="60">
      <c r="A55" s="4" t="s">
        <v>265</v>
      </c>
      <c r="B55" s="5" t="s">
        <v>27</v>
      </c>
      <c r="C55" s="5" t="s">
        <v>70</v>
      </c>
      <c r="D55" s="45">
        <f>(98604-70092)*0.8042</f>
        <v>22929.3504</v>
      </c>
      <c r="E55" s="45">
        <f>(192043-136512)*0.8042</f>
        <v>44658.0302</v>
      </c>
      <c r="F55" s="45">
        <f>(190801-135629)*0.8042</f>
        <v>44369.322400000005</v>
      </c>
      <c r="G55" s="45">
        <f>72089*0.8042</f>
        <v>57973.9738</v>
      </c>
      <c r="H55" s="45">
        <f>21606*0.8042</f>
        <v>17375.5452</v>
      </c>
      <c r="I55" s="45">
        <f>22521*0.8042</f>
        <v>18111.3882</v>
      </c>
      <c r="J55" s="45">
        <f>62393*0.8042</f>
        <v>50176.450600000004</v>
      </c>
      <c r="K55" s="45">
        <f>152227*0.8042</f>
        <v>122420.9534</v>
      </c>
      <c r="L55" s="45">
        <f>24502*0.8042</f>
        <v>19704.508400000002</v>
      </c>
      <c r="M55" s="45">
        <f>24659*0.8042</f>
        <v>19830.7678</v>
      </c>
      <c r="N55" s="45">
        <f>17550*0.8042</f>
        <v>14113.710000000001</v>
      </c>
      <c r="O55" s="45">
        <f>19739*0.8042</f>
        <v>15874.1038</v>
      </c>
      <c r="P55" s="51">
        <f t="shared" si="7"/>
        <v>447538.10419999994</v>
      </c>
      <c r="Q55" s="27" t="s">
        <v>291</v>
      </c>
    </row>
    <row r="56" spans="1:17" s="2" customFormat="1" ht="36">
      <c r="A56" s="4" t="s">
        <v>265</v>
      </c>
      <c r="B56" s="5" t="s">
        <v>27</v>
      </c>
      <c r="C56" s="5" t="s">
        <v>71</v>
      </c>
      <c r="D56" s="45">
        <f>2213*0.8042</f>
        <v>1779.6946</v>
      </c>
      <c r="E56" s="45">
        <f>1191*0.8042</f>
        <v>957.8022000000001</v>
      </c>
      <c r="F56" s="45">
        <f>195*0.8042</f>
        <v>156.81900000000002</v>
      </c>
      <c r="G56" s="45">
        <f>1111*0.8042</f>
        <v>893.4662000000001</v>
      </c>
      <c r="H56" s="45">
        <f>(6264-4800)*0.8042</f>
        <v>1177.3488</v>
      </c>
      <c r="I56" s="45">
        <f>(-3721+4800)*0.8042</f>
        <v>867.7318</v>
      </c>
      <c r="J56" s="45">
        <f>1272*0.8042</f>
        <v>1022.9424</v>
      </c>
      <c r="K56" s="45">
        <f>1316*0.8042</f>
        <v>1058.3272</v>
      </c>
      <c r="L56" s="45">
        <f>2091*0.8042</f>
        <v>1681.5822</v>
      </c>
      <c r="M56" s="45">
        <f>499*0.8042</f>
        <v>401.2958</v>
      </c>
      <c r="N56" s="45">
        <f>1988*0.8042</f>
        <v>1598.7496</v>
      </c>
      <c r="O56" s="45">
        <f>1345*0.8042</f>
        <v>1081.6490000000001</v>
      </c>
      <c r="P56" s="51">
        <f t="shared" si="7"/>
        <v>12677.4088</v>
      </c>
      <c r="Q56" s="27" t="s">
        <v>72</v>
      </c>
    </row>
    <row r="57" spans="1:17" s="2" customFormat="1" ht="24">
      <c r="A57" s="109" t="s">
        <v>266</v>
      </c>
      <c r="B57" s="110"/>
      <c r="C57" s="111"/>
      <c r="D57" s="113">
        <f>SUM(D55:D56)</f>
        <v>24709.045</v>
      </c>
      <c r="E57" s="113">
        <f>SUM(E55:E56)</f>
        <v>45615.8324</v>
      </c>
      <c r="F57" s="113">
        <f aca="true" t="shared" si="11" ref="F57:O57">SUM(F55:F56)</f>
        <v>44526.14140000001</v>
      </c>
      <c r="G57" s="113">
        <f t="shared" si="11"/>
        <v>58867.44</v>
      </c>
      <c r="H57" s="113">
        <f t="shared" si="11"/>
        <v>18552.894</v>
      </c>
      <c r="I57" s="113">
        <f t="shared" si="11"/>
        <v>18979.120000000003</v>
      </c>
      <c r="J57" s="113">
        <f t="shared" si="11"/>
        <v>51199.393000000004</v>
      </c>
      <c r="K57" s="113">
        <f t="shared" si="11"/>
        <v>123479.2806</v>
      </c>
      <c r="L57" s="113">
        <f t="shared" si="11"/>
        <v>21386.090600000003</v>
      </c>
      <c r="M57" s="113">
        <f t="shared" si="11"/>
        <v>20232.0636</v>
      </c>
      <c r="N57" s="113">
        <f t="shared" si="11"/>
        <v>15712.459600000002</v>
      </c>
      <c r="O57" s="113">
        <f t="shared" si="11"/>
        <v>16955.752800000002</v>
      </c>
      <c r="P57" s="114">
        <f>SUM(D57:O57)</f>
        <v>460215.51300000004</v>
      </c>
      <c r="Q57" s="111" t="s">
        <v>284</v>
      </c>
    </row>
    <row r="58" spans="1:17" s="2" customFormat="1" ht="36">
      <c r="A58" s="4" t="s">
        <v>265</v>
      </c>
      <c r="B58" s="5" t="s">
        <v>27</v>
      </c>
      <c r="C58" s="26" t="s">
        <v>56</v>
      </c>
      <c r="D58" s="45">
        <f>39935*0.8042</f>
        <v>32115.727000000003</v>
      </c>
      <c r="E58" s="45">
        <f>44058*0.8042</f>
        <v>35431.4436</v>
      </c>
      <c r="F58" s="45">
        <f>41380*0.8042</f>
        <v>33277.796</v>
      </c>
      <c r="G58" s="45">
        <f>60815*0.8042</f>
        <v>48907.423</v>
      </c>
      <c r="H58" s="45">
        <f>54545*0.8042</f>
        <v>43865.089</v>
      </c>
      <c r="I58" s="45">
        <f>63964*0.8042</f>
        <v>51439.8488</v>
      </c>
      <c r="J58" s="45">
        <f>90635*0.8042</f>
        <v>72888.667</v>
      </c>
      <c r="K58" s="45">
        <f>110913*0.8042</f>
        <v>89196.2346</v>
      </c>
      <c r="L58" s="45">
        <f>96805*0.8042</f>
        <v>77850.581</v>
      </c>
      <c r="M58" s="45">
        <f>99460*0.8042</f>
        <v>79985.732</v>
      </c>
      <c r="N58" s="45">
        <f>75381*0.8042</f>
        <v>60621.400200000004</v>
      </c>
      <c r="O58" s="45">
        <f>61995*0.8042</f>
        <v>49856.379</v>
      </c>
      <c r="P58" s="51">
        <f t="shared" si="7"/>
        <v>675436.3212</v>
      </c>
      <c r="Q58" s="27" t="s">
        <v>69</v>
      </c>
    </row>
    <row r="59" spans="1:17" s="3" customFormat="1" ht="12">
      <c r="A59" s="208" t="s">
        <v>267</v>
      </c>
      <c r="B59" s="209"/>
      <c r="C59" s="209"/>
      <c r="D59" s="209"/>
      <c r="E59" s="209"/>
      <c r="F59" s="209"/>
      <c r="G59" s="209"/>
      <c r="H59" s="209"/>
      <c r="I59" s="209"/>
      <c r="J59" s="209"/>
      <c r="K59" s="209"/>
      <c r="L59" s="209"/>
      <c r="M59" s="209"/>
      <c r="N59" s="209"/>
      <c r="O59" s="209"/>
      <c r="P59" s="209"/>
      <c r="Q59" s="210"/>
    </row>
    <row r="60" spans="1:17" s="2" customFormat="1" ht="70.5" customHeight="1">
      <c r="A60" s="4" t="s">
        <v>25</v>
      </c>
      <c r="B60" s="9" t="s">
        <v>22</v>
      </c>
      <c r="C60" s="27" t="s">
        <v>154</v>
      </c>
      <c r="D60" s="45">
        <f>21547*0.8042</f>
        <v>17328.0974</v>
      </c>
      <c r="E60" s="45">
        <f>15511*0.8042</f>
        <v>12473.9462</v>
      </c>
      <c r="F60" s="45">
        <f>18256*0.8042</f>
        <v>14681.4752</v>
      </c>
      <c r="G60" s="45">
        <f>0*0.8042</f>
        <v>0</v>
      </c>
      <c r="H60" s="45">
        <f>15685*0.8042</f>
        <v>12613.877</v>
      </c>
      <c r="I60" s="45">
        <f>12252*0.8042</f>
        <v>9853.0584</v>
      </c>
      <c r="J60" s="45">
        <f>14266*0.8042</f>
        <v>11472.717200000001</v>
      </c>
      <c r="K60" s="45">
        <f>24968*0.8042</f>
        <v>20079.265600000002</v>
      </c>
      <c r="L60" s="45">
        <f>41866*0.8042</f>
        <v>33668.637200000005</v>
      </c>
      <c r="M60" s="45">
        <f>22550*0.8042</f>
        <v>18134.71</v>
      </c>
      <c r="N60" s="45">
        <f>6423*0.8042</f>
        <v>5165.3766000000005</v>
      </c>
      <c r="O60" s="45">
        <f>17993*0.8042</f>
        <v>14469.9706</v>
      </c>
      <c r="P60" s="45">
        <f>SUM(D60:O60)</f>
        <v>169941.13139999998</v>
      </c>
      <c r="Q60" s="7" t="s">
        <v>303</v>
      </c>
    </row>
    <row r="61" spans="1:17" s="11" customFormat="1" ht="36">
      <c r="A61" s="6" t="s">
        <v>26</v>
      </c>
      <c r="B61" s="7" t="s">
        <v>151</v>
      </c>
      <c r="C61" s="7" t="s">
        <v>173</v>
      </c>
      <c r="D61" s="128">
        <f>(250+350)/2/12</f>
        <v>25</v>
      </c>
      <c r="E61" s="128">
        <f aca="true" t="shared" si="12" ref="E61:O61">(250+350)/2/12</f>
        <v>25</v>
      </c>
      <c r="F61" s="128">
        <f t="shared" si="12"/>
        <v>25</v>
      </c>
      <c r="G61" s="128">
        <f t="shared" si="12"/>
        <v>25</v>
      </c>
      <c r="H61" s="128">
        <f t="shared" si="12"/>
        <v>25</v>
      </c>
      <c r="I61" s="128">
        <f t="shared" si="12"/>
        <v>25</v>
      </c>
      <c r="J61" s="128">
        <f t="shared" si="12"/>
        <v>25</v>
      </c>
      <c r="K61" s="128">
        <f t="shared" si="12"/>
        <v>25</v>
      </c>
      <c r="L61" s="128">
        <f t="shared" si="12"/>
        <v>25</v>
      </c>
      <c r="M61" s="128">
        <f t="shared" si="12"/>
        <v>25</v>
      </c>
      <c r="N61" s="128">
        <f t="shared" si="12"/>
        <v>25</v>
      </c>
      <c r="O61" s="128">
        <f t="shared" si="12"/>
        <v>25</v>
      </c>
      <c r="P61" s="45">
        <f>SUM(D61:O61)</f>
        <v>300</v>
      </c>
      <c r="Q61" s="7" t="s">
        <v>227</v>
      </c>
    </row>
    <row r="62" spans="1:17" s="2" customFormat="1" ht="48">
      <c r="A62" s="4" t="s">
        <v>29</v>
      </c>
      <c r="B62" s="5" t="s">
        <v>116</v>
      </c>
      <c r="C62" s="5" t="s">
        <v>128</v>
      </c>
      <c r="D62" s="30">
        <f>183*0.8042</f>
        <v>147.1686</v>
      </c>
      <c r="E62" s="30">
        <f>156*0.8042</f>
        <v>125.4552</v>
      </c>
      <c r="F62" s="30">
        <f>138*0.8042</f>
        <v>110.9796</v>
      </c>
      <c r="G62" s="30">
        <f>237*0.8042</f>
        <v>190.5954</v>
      </c>
      <c r="H62" s="30">
        <f>163*0.8042</f>
        <v>131.0846</v>
      </c>
      <c r="I62" s="30">
        <f>168*0.8042</f>
        <v>135.1056</v>
      </c>
      <c r="J62" s="30">
        <f>269*0.8042</f>
        <v>216.3298</v>
      </c>
      <c r="K62" s="30">
        <f>202*0.8042</f>
        <v>162.4484</v>
      </c>
      <c r="L62" s="30">
        <f>196*0.8042</f>
        <v>157.6232</v>
      </c>
      <c r="M62" s="30">
        <f>380*0.8042</f>
        <v>305.596</v>
      </c>
      <c r="N62" s="30">
        <f>152*0.8042</f>
        <v>122.2384</v>
      </c>
      <c r="O62" s="32">
        <f>179*0.8042</f>
        <v>143.9518</v>
      </c>
      <c r="P62" s="51">
        <f>SUM(D62:O62)</f>
        <v>1948.5766</v>
      </c>
      <c r="Q62" s="13" t="s">
        <v>54</v>
      </c>
    </row>
    <row r="63" spans="1:17" s="3" customFormat="1" ht="12">
      <c r="A63" s="208" t="s">
        <v>268</v>
      </c>
      <c r="B63" s="209"/>
      <c r="C63" s="209"/>
      <c r="D63" s="209"/>
      <c r="E63" s="209"/>
      <c r="F63" s="209"/>
      <c r="G63" s="209"/>
      <c r="H63" s="209"/>
      <c r="I63" s="209"/>
      <c r="J63" s="209"/>
      <c r="K63" s="209"/>
      <c r="L63" s="209"/>
      <c r="M63" s="209"/>
      <c r="N63" s="209"/>
      <c r="O63" s="209"/>
      <c r="P63" s="209"/>
      <c r="Q63" s="210"/>
    </row>
    <row r="64" spans="1:17"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33">
        <f>4874*0.8042</f>
        <v>3919.6708000000003</v>
      </c>
      <c r="E65" s="32">
        <f>1011*0.8042</f>
        <v>813.0462</v>
      </c>
      <c r="F65" s="32">
        <f>7848*0.8042</f>
        <v>6311.3616</v>
      </c>
      <c r="G65" s="32">
        <f>2639*0.8042</f>
        <v>2122.2838</v>
      </c>
      <c r="H65" s="32">
        <f>197*0.8042</f>
        <v>158.4274</v>
      </c>
      <c r="I65" s="32">
        <f>10255*0.8042</f>
        <v>8247.071</v>
      </c>
      <c r="J65" s="32">
        <f>5693*0.8042</f>
        <v>4578.3106</v>
      </c>
      <c r="K65" s="32">
        <f>6472*0.8042</f>
        <v>5204.7824</v>
      </c>
      <c r="L65" s="32">
        <f>9534*0.8042</f>
        <v>7667.2428</v>
      </c>
      <c r="M65" s="32">
        <f>14080*0.8042</f>
        <v>11323.136</v>
      </c>
      <c r="N65" s="32">
        <f>2499*0.8042</f>
        <v>2009.6958</v>
      </c>
      <c r="O65" s="32">
        <f>3863*0.8042</f>
        <v>3106.6246</v>
      </c>
      <c r="P65" s="51">
        <f>SUM(D65:O65)</f>
        <v>55461.653000000006</v>
      </c>
      <c r="Q65" s="6" t="s">
        <v>55</v>
      </c>
    </row>
    <row r="66" spans="1:22" s="2" customFormat="1" ht="60">
      <c r="A66" s="6" t="s">
        <v>120</v>
      </c>
      <c r="B66" s="7" t="s">
        <v>117</v>
      </c>
      <c r="C66" s="7" t="s">
        <v>223</v>
      </c>
      <c r="D66" s="33">
        <v>676892.156418</v>
      </c>
      <c r="E66" s="33">
        <v>526076.2118640001</v>
      </c>
      <c r="F66" s="33">
        <v>541536.53868</v>
      </c>
      <c r="G66" s="33">
        <v>524323.5062160001</v>
      </c>
      <c r="H66" s="33">
        <v>561619.26234</v>
      </c>
      <c r="I66" s="33">
        <v>770509.16688</v>
      </c>
      <c r="J66" s="33">
        <v>660956.7645360001</v>
      </c>
      <c r="K66" s="33">
        <v>779051.0576000001</v>
      </c>
      <c r="L66" s="33">
        <v>718198.256892</v>
      </c>
      <c r="M66" s="33">
        <v>778757.508516</v>
      </c>
      <c r="N66" s="33">
        <v>577696.02454</v>
      </c>
      <c r="O66" s="33">
        <v>628179.751918</v>
      </c>
      <c r="P66" s="51">
        <f>SUM(D66:O66)</f>
        <v>7743796.2064</v>
      </c>
      <c r="Q66" s="7" t="s">
        <v>307</v>
      </c>
      <c r="V66" s="60"/>
    </row>
    <row r="67" spans="1:17" s="2" customFormat="1" ht="84">
      <c r="A67" s="6" t="s">
        <v>120</v>
      </c>
      <c r="B67" s="7" t="s">
        <v>117</v>
      </c>
      <c r="C67" s="7" t="s">
        <v>224</v>
      </c>
      <c r="D67" s="33">
        <f>101144.804982-1964*0.8042</f>
        <v>99565.356182</v>
      </c>
      <c r="E67" s="32">
        <f>100204.992736-1945*0.8042</f>
        <v>98640.823736</v>
      </c>
      <c r="F67" s="32">
        <f>127027.08932-2466*0.8042</f>
        <v>125043.93212</v>
      </c>
      <c r="G67" s="33">
        <f>78347.190584-1521*0.8042</f>
        <v>77124.00238399999</v>
      </c>
      <c r="H67" s="33">
        <f>83920.11966-1629*0.8042</f>
        <v>82610.07785999999</v>
      </c>
      <c r="I67" s="33">
        <f>135972.20592-2640*0.8042</f>
        <v>133849.11792000002</v>
      </c>
      <c r="J67" s="33">
        <f>145088.070264-2817*0.8042</f>
        <v>142822.638864</v>
      </c>
      <c r="K67" s="33">
        <f>194762.7644-3781*0.8042</f>
        <v>191722.08419999998</v>
      </c>
      <c r="L67" s="33">
        <f>116915.995308-2270*0.8042</f>
        <v>115090.461308</v>
      </c>
      <c r="M67" s="33">
        <f>219649.553684-4264*0.8042</f>
        <v>216220.44488400003</v>
      </c>
      <c r="N67" s="33">
        <f>126811.32246-2462*0.8042</f>
        <v>124831.38205999999</v>
      </c>
      <c r="O67" s="33">
        <f>128663.322682-2498*0.8042</f>
        <v>126654.431082</v>
      </c>
      <c r="P67" s="51">
        <f>SUM(D67:O67)</f>
        <v>1534174.7526</v>
      </c>
      <c r="Q67" s="7" t="s">
        <v>312</v>
      </c>
    </row>
    <row r="68" spans="1:17" s="2" customFormat="1" ht="12">
      <c r="A68" s="133" t="s">
        <v>269</v>
      </c>
      <c r="B68" s="110"/>
      <c r="C68" s="111"/>
      <c r="D68" s="136">
        <f aca="true" t="shared" si="13" ref="D68:O68">SUM(D66:D67)</f>
        <v>776457.5126</v>
      </c>
      <c r="E68" s="136">
        <f t="shared" si="13"/>
        <v>624717.0356000001</v>
      </c>
      <c r="F68" s="136">
        <f t="shared" si="13"/>
        <v>666580.4708</v>
      </c>
      <c r="G68" s="136">
        <f t="shared" si="13"/>
        <v>601447.5086000001</v>
      </c>
      <c r="H68" s="136">
        <f t="shared" si="13"/>
        <v>644229.3402</v>
      </c>
      <c r="I68" s="136">
        <f t="shared" si="13"/>
        <v>904358.2848</v>
      </c>
      <c r="J68" s="136">
        <f t="shared" si="13"/>
        <v>803779.4034000001</v>
      </c>
      <c r="K68" s="136">
        <f t="shared" si="13"/>
        <v>970773.1418000001</v>
      </c>
      <c r="L68" s="136">
        <f t="shared" si="13"/>
        <v>833288.7182</v>
      </c>
      <c r="M68" s="136">
        <f t="shared" si="13"/>
        <v>994977.9534</v>
      </c>
      <c r="N68" s="136">
        <f t="shared" si="13"/>
        <v>702527.4066</v>
      </c>
      <c r="O68" s="136">
        <f t="shared" si="13"/>
        <v>754834.1830000001</v>
      </c>
      <c r="P68" s="114">
        <f>SUM(D68:O68)</f>
        <v>9277970.959</v>
      </c>
      <c r="Q68" s="110" t="s">
        <v>287</v>
      </c>
    </row>
    <row r="69" spans="1:17" ht="96">
      <c r="A69" s="161" t="s">
        <v>121</v>
      </c>
      <c r="B69" s="7" t="s">
        <v>127</v>
      </c>
      <c r="C69" s="7" t="s">
        <v>313</v>
      </c>
      <c r="D69" s="162">
        <f>3558*0.8042</f>
        <v>2861.3436</v>
      </c>
      <c r="E69" s="71">
        <f>2429*0.8042</f>
        <v>1953.4018</v>
      </c>
      <c r="F69" s="71">
        <f>2226*0.8042</f>
        <v>1790.1492</v>
      </c>
      <c r="G69" s="162">
        <f>1299*0.8042</f>
        <v>1044.6558</v>
      </c>
      <c r="H69" s="162">
        <f>944*0.8042</f>
        <v>759.1648</v>
      </c>
      <c r="I69" s="162">
        <f>1947*0.8042</f>
        <v>1565.7774</v>
      </c>
      <c r="J69" s="162">
        <f>3409*0.8042</f>
        <v>2741.5178</v>
      </c>
      <c r="K69" s="162">
        <f>2147*0.8042</f>
        <v>1726.6174</v>
      </c>
      <c r="L69" s="162">
        <f>5776*0.8042</f>
        <v>4645.059200000001</v>
      </c>
      <c r="M69" s="162">
        <f>3258*0.8042</f>
        <v>2620.0836</v>
      </c>
      <c r="N69" s="162">
        <f>5250*0.8042</f>
        <v>4222.05</v>
      </c>
      <c r="O69" s="162">
        <f>5814*0.8042</f>
        <v>4675.6188</v>
      </c>
      <c r="P69" s="45">
        <f>SUM(D69:O69)</f>
        <v>30605.439400000003</v>
      </c>
      <c r="Q69" s="7" t="s">
        <v>321</v>
      </c>
    </row>
    <row r="70" spans="1:17" s="3" customFormat="1" ht="12">
      <c r="A70" s="208" t="s">
        <v>270</v>
      </c>
      <c r="B70" s="209"/>
      <c r="C70" s="209"/>
      <c r="D70" s="209"/>
      <c r="E70" s="209"/>
      <c r="F70" s="209"/>
      <c r="G70" s="209"/>
      <c r="H70" s="209"/>
      <c r="I70" s="209"/>
      <c r="J70" s="209"/>
      <c r="K70" s="209"/>
      <c r="L70" s="209"/>
      <c r="M70" s="209"/>
      <c r="N70" s="209"/>
      <c r="O70" s="209"/>
      <c r="P70" s="209"/>
      <c r="Q70" s="210"/>
    </row>
    <row r="71" spans="1:17" s="59" customFormat="1" ht="24">
      <c r="A71" s="32" t="s">
        <v>271</v>
      </c>
      <c r="B71" s="34" t="s">
        <v>33</v>
      </c>
      <c r="C71" s="27" t="s">
        <v>76</v>
      </c>
      <c r="D71" s="45">
        <v>0</v>
      </c>
      <c r="E71" s="45">
        <v>0</v>
      </c>
      <c r="F71" s="45">
        <v>0</v>
      </c>
      <c r="G71" s="69">
        <v>1</v>
      </c>
      <c r="H71" s="69">
        <v>0</v>
      </c>
      <c r="I71" s="69">
        <v>0</v>
      </c>
      <c r="J71" s="69">
        <v>0</v>
      </c>
      <c r="K71" s="69">
        <v>0</v>
      </c>
      <c r="L71" s="69">
        <v>0</v>
      </c>
      <c r="M71" s="69">
        <v>0</v>
      </c>
      <c r="N71" s="69">
        <v>0</v>
      </c>
      <c r="O71" s="69">
        <v>0</v>
      </c>
      <c r="P71" s="45">
        <f>SUM(D71:O71)</f>
        <v>1</v>
      </c>
      <c r="Q71" s="67" t="s">
        <v>159</v>
      </c>
    </row>
    <row r="72" spans="1:17" s="59" customFormat="1" ht="24">
      <c r="A72" s="32" t="s">
        <v>272</v>
      </c>
      <c r="B72" s="34" t="s">
        <v>122</v>
      </c>
      <c r="C72" s="27" t="s">
        <v>124</v>
      </c>
      <c r="D72" s="98">
        <f>0*0.8042</f>
        <v>0</v>
      </c>
      <c r="E72" s="32">
        <f>2*0.8042</f>
        <v>1.6084</v>
      </c>
      <c r="F72" s="32">
        <f>1*0.8042</f>
        <v>0.8042</v>
      </c>
      <c r="G72" s="32">
        <f>1*0.8042</f>
        <v>0.8042</v>
      </c>
      <c r="H72" s="32">
        <f>6*0.8042</f>
        <v>4.825200000000001</v>
      </c>
      <c r="I72" s="32">
        <f>1*0.8042</f>
        <v>0.8042</v>
      </c>
      <c r="J72" s="32">
        <f>7*0.8042</f>
        <v>5.6294</v>
      </c>
      <c r="K72" s="32">
        <f>2*0.8042</f>
        <v>1.6084</v>
      </c>
      <c r="L72" s="32">
        <f>6*0.8042</f>
        <v>4.825200000000001</v>
      </c>
      <c r="M72" s="32">
        <f>2*0.8042</f>
        <v>1.6084</v>
      </c>
      <c r="N72" s="32">
        <f>3*0.8042</f>
        <v>2.4126000000000003</v>
      </c>
      <c r="O72" s="32">
        <f>3*0.8042</f>
        <v>2.4126000000000003</v>
      </c>
      <c r="P72" s="45">
        <f>SUM(D72:O72)</f>
        <v>27.342800000000008</v>
      </c>
      <c r="Q72" s="20" t="s">
        <v>190</v>
      </c>
    </row>
    <row r="73" spans="1:17" s="11" customFormat="1" ht="24">
      <c r="A73" s="6" t="s">
        <v>273</v>
      </c>
      <c r="B73" s="38" t="s">
        <v>363</v>
      </c>
      <c r="C73" s="7" t="s">
        <v>100</v>
      </c>
      <c r="D73" s="32">
        <f>D72</f>
        <v>0</v>
      </c>
      <c r="E73" s="32">
        <f aca="true" t="shared" si="14" ref="E73:O73">E72</f>
        <v>1.6084</v>
      </c>
      <c r="F73" s="32">
        <f t="shared" si="14"/>
        <v>0.8042</v>
      </c>
      <c r="G73" s="32">
        <f t="shared" si="14"/>
        <v>0.8042</v>
      </c>
      <c r="H73" s="32">
        <f t="shared" si="14"/>
        <v>4.825200000000001</v>
      </c>
      <c r="I73" s="32">
        <f t="shared" si="14"/>
        <v>0.8042</v>
      </c>
      <c r="J73" s="32">
        <f t="shared" si="14"/>
        <v>5.6294</v>
      </c>
      <c r="K73" s="32">
        <f t="shared" si="14"/>
        <v>1.6084</v>
      </c>
      <c r="L73" s="32">
        <f t="shared" si="14"/>
        <v>4.825200000000001</v>
      </c>
      <c r="M73" s="32">
        <f t="shared" si="14"/>
        <v>1.6084</v>
      </c>
      <c r="N73" s="32">
        <f t="shared" si="14"/>
        <v>2.4126000000000003</v>
      </c>
      <c r="O73" s="32">
        <f t="shared" si="14"/>
        <v>2.4126000000000003</v>
      </c>
      <c r="P73" s="45">
        <f>SUM(D73:O73)</f>
        <v>27.342800000000008</v>
      </c>
      <c r="Q73" s="20" t="s">
        <v>190</v>
      </c>
    </row>
    <row r="74" spans="1:17" s="59" customFormat="1" ht="36">
      <c r="A74" s="32" t="s">
        <v>274</v>
      </c>
      <c r="B74" s="34" t="s">
        <v>123</v>
      </c>
      <c r="C74" s="27" t="s">
        <v>77</v>
      </c>
      <c r="D74" s="32">
        <f>0*0.8042</f>
        <v>0</v>
      </c>
      <c r="E74" s="32">
        <f>1177*0.8042</f>
        <v>946.5434</v>
      </c>
      <c r="F74" s="32">
        <f>8387*0.8042</f>
        <v>6744.825400000001</v>
      </c>
      <c r="G74" s="32">
        <f>560*0.8042</f>
        <v>450.35200000000003</v>
      </c>
      <c r="H74" s="32">
        <f>9157*0.8042</f>
        <v>7364.0594</v>
      </c>
      <c r="I74" s="32">
        <f>1149*0.8042</f>
        <v>924.0258</v>
      </c>
      <c r="J74" s="32">
        <f>706*0.8042</f>
        <v>567.7652</v>
      </c>
      <c r="K74" s="32">
        <f>13892*0.8042</f>
        <v>11171.9464</v>
      </c>
      <c r="L74" s="32">
        <f>3037*0.8042</f>
        <v>2442.3554</v>
      </c>
      <c r="M74" s="32">
        <f>7077*0.8042</f>
        <v>5691.3234</v>
      </c>
      <c r="N74" s="32">
        <f>8724*0.8042</f>
        <v>7015.8408</v>
      </c>
      <c r="O74" s="32">
        <f>7849*0.8042</f>
        <v>6312.1658</v>
      </c>
      <c r="P74" s="45">
        <f>SUM(D74:O74)</f>
        <v>49631.203</v>
      </c>
      <c r="Q74" s="20" t="s">
        <v>190</v>
      </c>
    </row>
    <row r="75" spans="1:17" s="3" customFormat="1" ht="12">
      <c r="A75" s="208" t="s">
        <v>275</v>
      </c>
      <c r="B75" s="209"/>
      <c r="C75" s="209"/>
      <c r="D75" s="209"/>
      <c r="E75" s="209"/>
      <c r="F75" s="209"/>
      <c r="G75" s="209"/>
      <c r="H75" s="209"/>
      <c r="I75" s="209"/>
      <c r="J75" s="209"/>
      <c r="K75" s="209"/>
      <c r="L75" s="209"/>
      <c r="M75" s="209"/>
      <c r="N75" s="209"/>
      <c r="O75" s="209"/>
      <c r="P75" s="209"/>
      <c r="Q75" s="210"/>
    </row>
    <row r="76" spans="1:17" s="11" customFormat="1" ht="120">
      <c r="A76" s="170">
        <v>5.1</v>
      </c>
      <c r="B76" s="7" t="s">
        <v>179</v>
      </c>
      <c r="C76" s="34" t="s">
        <v>362</v>
      </c>
      <c r="D76" s="98">
        <f>0*0.8042</f>
        <v>0</v>
      </c>
      <c r="E76" s="98">
        <f>0*0.8042</f>
        <v>0</v>
      </c>
      <c r="F76" s="98">
        <f>500*0.8042</f>
        <v>402.1</v>
      </c>
      <c r="G76" s="45">
        <f>570166*0.8042</f>
        <v>458527.49720000004</v>
      </c>
      <c r="H76" s="45">
        <f>232666*0.8042</f>
        <v>187109.9972</v>
      </c>
      <c r="I76" s="98">
        <f>0*0.8042</f>
        <v>0</v>
      </c>
      <c r="J76" s="45">
        <f>64166*0.8042</f>
        <v>51602.2972</v>
      </c>
      <c r="K76" s="98">
        <f>0*0.8042</f>
        <v>0</v>
      </c>
      <c r="L76" s="45">
        <f>500*0.8042</f>
        <v>402.1</v>
      </c>
      <c r="M76" s="98">
        <f>0*0.8042</f>
        <v>0</v>
      </c>
      <c r="N76" s="98">
        <f>0*0.8042</f>
        <v>0</v>
      </c>
      <c r="O76" s="45">
        <f>500*0.8042</f>
        <v>402.1</v>
      </c>
      <c r="P76" s="45">
        <f>SUM(D76:O76)</f>
        <v>698446.0916</v>
      </c>
      <c r="Q76" s="27" t="s">
        <v>188</v>
      </c>
    </row>
    <row r="77" spans="1:17" ht="12.75">
      <c r="A77" s="208" t="s">
        <v>276</v>
      </c>
      <c r="B77" s="209"/>
      <c r="C77" s="209"/>
      <c r="D77" s="209"/>
      <c r="E77" s="209"/>
      <c r="F77" s="209"/>
      <c r="G77" s="209"/>
      <c r="H77" s="209"/>
      <c r="I77" s="209"/>
      <c r="J77" s="209"/>
      <c r="K77" s="209"/>
      <c r="L77" s="209"/>
      <c r="M77" s="209"/>
      <c r="N77" s="209"/>
      <c r="O77" s="209"/>
      <c r="P77" s="209"/>
      <c r="Q77" s="210"/>
    </row>
    <row r="78" spans="1:17" s="87" customFormat="1" ht="46.5" customHeight="1">
      <c r="A78" s="14">
        <v>5.11</v>
      </c>
      <c r="B78" s="7" t="s">
        <v>125</v>
      </c>
      <c r="C78" s="27" t="s">
        <v>241</v>
      </c>
      <c r="D78" s="98">
        <v>70091.56571010785</v>
      </c>
      <c r="E78" s="98">
        <v>136511.6481447633</v>
      </c>
      <c r="F78" s="98">
        <v>135628.78614512886</v>
      </c>
      <c r="G78" s="98">
        <f aca="true" t="shared" si="15" ref="G78:O78">0*0.8042</f>
        <v>0</v>
      </c>
      <c r="H78" s="98">
        <f t="shared" si="15"/>
        <v>0</v>
      </c>
      <c r="I78" s="98">
        <f t="shared" si="15"/>
        <v>0</v>
      </c>
      <c r="J78" s="98">
        <f t="shared" si="15"/>
        <v>0</v>
      </c>
      <c r="K78" s="98">
        <f t="shared" si="15"/>
        <v>0</v>
      </c>
      <c r="L78" s="98">
        <f t="shared" si="15"/>
        <v>0</v>
      </c>
      <c r="M78" s="98">
        <f t="shared" si="15"/>
        <v>0</v>
      </c>
      <c r="N78" s="98">
        <f t="shared" si="15"/>
        <v>0</v>
      </c>
      <c r="O78" s="98">
        <f t="shared" si="15"/>
        <v>0</v>
      </c>
      <c r="P78" s="45">
        <f>SUM(D78:O78)</f>
        <v>342232</v>
      </c>
      <c r="Q78" s="35" t="s">
        <v>228</v>
      </c>
    </row>
    <row r="79" spans="1:17" s="11" customFormat="1" ht="12">
      <c r="A79" s="137"/>
      <c r="B79" s="129"/>
      <c r="C79" s="130"/>
      <c r="D79" s="138"/>
      <c r="E79" s="138"/>
      <c r="F79" s="138"/>
      <c r="G79" s="138"/>
      <c r="H79" s="138"/>
      <c r="I79" s="138"/>
      <c r="J79" s="138"/>
      <c r="K79" s="138"/>
      <c r="L79" s="138"/>
      <c r="M79" s="138"/>
      <c r="N79" s="138"/>
      <c r="O79" s="138"/>
      <c r="P79" s="139"/>
      <c r="Q79" s="130"/>
    </row>
    <row r="80" spans="1:17" s="87" customFormat="1" ht="33" customHeight="1">
      <c r="A80" s="216" t="s">
        <v>360</v>
      </c>
      <c r="B80" s="216"/>
      <c r="C80" s="216"/>
      <c r="D80" s="216"/>
      <c r="E80" s="216"/>
      <c r="F80" s="216"/>
      <c r="G80" s="216"/>
      <c r="H80" s="216"/>
      <c r="I80" s="216"/>
      <c r="J80" s="216"/>
      <c r="K80" s="216"/>
      <c r="L80" s="216"/>
      <c r="M80" s="216"/>
      <c r="N80" s="216"/>
      <c r="O80" s="216"/>
      <c r="P80" s="216"/>
      <c r="Q80" s="216"/>
    </row>
    <row r="82" spans="1:3" ht="54" customHeight="1" thickBot="1">
      <c r="A82" s="194" t="s">
        <v>376</v>
      </c>
      <c r="B82" s="61" t="s">
        <v>104</v>
      </c>
      <c r="C82" s="61" t="s">
        <v>143</v>
      </c>
    </row>
    <row r="83" spans="1:4" ht="12.75">
      <c r="A83">
        <v>2005</v>
      </c>
      <c r="B83" s="80">
        <v>0.0952</v>
      </c>
      <c r="C83" s="82">
        <v>-0.1958</v>
      </c>
      <c r="D83" t="s">
        <v>325</v>
      </c>
    </row>
    <row r="84" spans="1:4" ht="12.75">
      <c r="A84">
        <v>2006</v>
      </c>
      <c r="B84" s="80">
        <v>0.0435</v>
      </c>
      <c r="C84" s="81">
        <v>-0.2426</v>
      </c>
      <c r="D84" s="81"/>
    </row>
    <row r="85" spans="1:4" ht="12.75">
      <c r="A85">
        <v>2007</v>
      </c>
      <c r="B85" s="80">
        <v>0.0417</v>
      </c>
      <c r="C85" s="81">
        <v>-0.423</v>
      </c>
      <c r="D85" s="81"/>
    </row>
    <row r="86" spans="1:4" ht="12.75">
      <c r="A86" s="195" t="s">
        <v>378</v>
      </c>
      <c r="B86" t="s">
        <v>379</v>
      </c>
      <c r="C86" s="65"/>
      <c r="D86" s="65"/>
    </row>
    <row r="87" spans="2:4" ht="12.75">
      <c r="B87" s="62"/>
      <c r="C87" s="65"/>
      <c r="D87" s="65"/>
    </row>
  </sheetData>
  <mergeCells count="11">
    <mergeCell ref="A31:Q31"/>
    <mergeCell ref="A59:Q59"/>
    <mergeCell ref="A63:Q63"/>
    <mergeCell ref="A80:Q80"/>
    <mergeCell ref="A70:Q70"/>
    <mergeCell ref="A75:Q75"/>
    <mergeCell ref="A77:Q77"/>
    <mergeCell ref="A1:Q1"/>
    <mergeCell ref="A3:Q3"/>
    <mergeCell ref="C5:P5"/>
    <mergeCell ref="A17:Q17"/>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1" manualBreakCount="1">
    <brk id="76" max="255" man="1"/>
  </rowBreaks>
</worksheet>
</file>

<file path=xl/worksheets/sheet12.xml><?xml version="1.0" encoding="utf-8"?>
<worksheet xmlns="http://schemas.openxmlformats.org/spreadsheetml/2006/main" xmlns:r="http://schemas.openxmlformats.org/officeDocument/2006/relationships">
  <dimension ref="A1:U28"/>
  <sheetViews>
    <sheetView zoomScale="75" zoomScaleNormal="75" workbookViewId="0" topLeftCell="A1">
      <selection activeCell="Q36" sqref="Q36"/>
    </sheetView>
  </sheetViews>
  <sheetFormatPr defaultColWidth="9.140625" defaultRowHeight="12.75"/>
  <cols>
    <col min="1" max="1" width="10.8515625" style="2" customWidth="1"/>
    <col min="2" max="2" width="9.7109375" style="2" customWidth="1"/>
    <col min="3" max="3" width="36.8515625" style="2" customWidth="1"/>
    <col min="4" max="4" width="9.57421875" style="2" customWidth="1"/>
    <col min="5" max="5" width="10.7109375" style="2" hidden="1" customWidth="1"/>
    <col min="6" max="6" width="7.28125" style="2" customWidth="1"/>
    <col min="7" max="7" width="7.57421875" style="2" customWidth="1"/>
    <col min="8" max="8" width="8.00390625" style="2" customWidth="1"/>
    <col min="9" max="9" width="8.57421875" style="2" customWidth="1"/>
    <col min="10" max="10" width="9.140625" style="2" customWidth="1"/>
    <col min="11" max="11" width="9.00390625" style="2" customWidth="1"/>
    <col min="12" max="12" width="8.8515625" style="2" customWidth="1"/>
    <col min="13" max="13" width="7.7109375" style="2" customWidth="1"/>
    <col min="14" max="14" width="8.00390625" style="2" customWidth="1"/>
    <col min="15" max="15" width="7.7109375" style="2" customWidth="1"/>
    <col min="16" max="16" width="7.8515625" style="2" customWidth="1"/>
    <col min="17" max="17" width="7.7109375" style="2" customWidth="1"/>
    <col min="18" max="18" width="8.57421875" style="2" customWidth="1"/>
    <col min="19" max="19" width="18.28125" style="11" customWidth="1"/>
    <col min="20" max="20" width="9.140625" style="2" customWidth="1"/>
    <col min="21" max="21" width="10.00390625" style="2" bestFit="1" customWidth="1"/>
    <col min="22" max="16384" width="9.140625" style="2" customWidth="1"/>
  </cols>
  <sheetData>
    <row r="1" spans="1:19" ht="18">
      <c r="A1" s="211" t="s">
        <v>17</v>
      </c>
      <c r="B1" s="211"/>
      <c r="C1" s="211"/>
      <c r="D1" s="211"/>
      <c r="E1" s="211"/>
      <c r="F1" s="211"/>
      <c r="G1" s="211"/>
      <c r="H1" s="211"/>
      <c r="I1" s="211"/>
      <c r="J1" s="211"/>
      <c r="K1" s="211"/>
      <c r="L1" s="211"/>
      <c r="M1" s="211"/>
      <c r="N1" s="211"/>
      <c r="O1" s="211"/>
      <c r="P1" s="211"/>
      <c r="Q1" s="211"/>
      <c r="R1" s="211"/>
      <c r="S1" s="211"/>
    </row>
    <row r="2" spans="1:16" ht="13.5" customHeight="1">
      <c r="A2" s="1"/>
      <c r="B2" s="1"/>
      <c r="C2" s="1"/>
      <c r="D2" s="1"/>
      <c r="E2" s="1"/>
      <c r="F2" s="1"/>
      <c r="G2" s="1"/>
      <c r="H2" s="1"/>
      <c r="I2" s="1"/>
      <c r="J2" s="1"/>
      <c r="K2" s="1"/>
      <c r="L2" s="1"/>
      <c r="M2" s="1"/>
      <c r="N2" s="1"/>
      <c r="O2" s="1"/>
      <c r="P2" s="47"/>
    </row>
    <row r="3" spans="1:19" ht="18">
      <c r="A3" s="211" t="s">
        <v>225</v>
      </c>
      <c r="B3" s="211"/>
      <c r="C3" s="211"/>
      <c r="D3" s="211"/>
      <c r="E3" s="211"/>
      <c r="F3" s="211"/>
      <c r="G3" s="211"/>
      <c r="H3" s="211"/>
      <c r="I3" s="211"/>
      <c r="J3" s="211"/>
      <c r="K3" s="211"/>
      <c r="L3" s="211"/>
      <c r="M3" s="211"/>
      <c r="N3" s="211"/>
      <c r="O3" s="211"/>
      <c r="P3" s="211"/>
      <c r="Q3" s="211"/>
      <c r="R3" s="211"/>
      <c r="S3" s="211"/>
    </row>
    <row r="4" ht="12.75">
      <c r="P4" s="48"/>
    </row>
    <row r="7" ht="9" customHeight="1"/>
    <row r="8" spans="1:19" s="3" customFormat="1" ht="58.5" customHeight="1">
      <c r="A8" s="174" t="s">
        <v>129</v>
      </c>
      <c r="B8" s="175" t="s">
        <v>357</v>
      </c>
      <c r="C8" s="176" t="s">
        <v>1</v>
      </c>
      <c r="D8" s="175" t="s">
        <v>2</v>
      </c>
      <c r="E8" s="175" t="s">
        <v>130</v>
      </c>
      <c r="F8" s="177" t="s">
        <v>6</v>
      </c>
      <c r="G8" s="177" t="s">
        <v>8</v>
      </c>
      <c r="H8" s="177" t="s">
        <v>7</v>
      </c>
      <c r="I8" s="177" t="s">
        <v>9</v>
      </c>
      <c r="J8" s="177" t="s">
        <v>10</v>
      </c>
      <c r="K8" s="177" t="s">
        <v>11</v>
      </c>
      <c r="L8" s="177" t="s">
        <v>12</v>
      </c>
      <c r="M8" s="178" t="s">
        <v>13</v>
      </c>
      <c r="N8" s="178" t="s">
        <v>14</v>
      </c>
      <c r="O8" s="177" t="s">
        <v>3</v>
      </c>
      <c r="P8" s="177" t="s">
        <v>4</v>
      </c>
      <c r="Q8" s="177" t="s">
        <v>5</v>
      </c>
      <c r="R8" s="179" t="s">
        <v>16</v>
      </c>
      <c r="S8" s="174" t="s">
        <v>15</v>
      </c>
    </row>
    <row r="9" spans="1:19" ht="24" hidden="1">
      <c r="A9" s="4" t="s">
        <v>131</v>
      </c>
      <c r="B9" s="70" t="s">
        <v>132</v>
      </c>
      <c r="C9" s="8" t="s">
        <v>132</v>
      </c>
      <c r="D9" s="70" t="s">
        <v>132</v>
      </c>
      <c r="E9" s="27">
        <v>590087</v>
      </c>
      <c r="F9" s="71">
        <v>24093</v>
      </c>
      <c r="G9" s="71">
        <v>46086</v>
      </c>
      <c r="H9" s="71">
        <v>70102</v>
      </c>
      <c r="I9" s="71">
        <v>91511</v>
      </c>
      <c r="J9" s="71">
        <v>94615</v>
      </c>
      <c r="K9" s="71">
        <v>61139</v>
      </c>
      <c r="L9" s="71">
        <v>57209</v>
      </c>
      <c r="M9" s="71">
        <v>30643</v>
      </c>
      <c r="N9" s="71">
        <v>23255</v>
      </c>
      <c r="O9" s="71">
        <v>29616</v>
      </c>
      <c r="P9" s="71">
        <v>29085</v>
      </c>
      <c r="Q9" s="71">
        <v>32732</v>
      </c>
      <c r="R9" s="72">
        <f>SUM(F9:Q9)</f>
        <v>590086</v>
      </c>
      <c r="S9" s="73" t="s">
        <v>133</v>
      </c>
    </row>
    <row r="10" spans="1:19" ht="24">
      <c r="A10" s="4" t="s">
        <v>131</v>
      </c>
      <c r="B10" s="6" t="s">
        <v>118</v>
      </c>
      <c r="C10" s="5" t="s">
        <v>166</v>
      </c>
      <c r="D10" s="27" t="s">
        <v>167</v>
      </c>
      <c r="E10" s="70" t="s">
        <v>132</v>
      </c>
      <c r="F10" s="74">
        <f aca="true" t="shared" si="0" ref="F10:Q10">0.04*F9</f>
        <v>963.72</v>
      </c>
      <c r="G10" s="74">
        <f t="shared" si="0"/>
        <v>1843.44</v>
      </c>
      <c r="H10" s="74">
        <f t="shared" si="0"/>
        <v>2804.08</v>
      </c>
      <c r="I10" s="74">
        <f t="shared" si="0"/>
        <v>3660.44</v>
      </c>
      <c r="J10" s="74">
        <f t="shared" si="0"/>
        <v>3784.6</v>
      </c>
      <c r="K10" s="74">
        <f t="shared" si="0"/>
        <v>2445.56</v>
      </c>
      <c r="L10" s="74">
        <f t="shared" si="0"/>
        <v>2288.36</v>
      </c>
      <c r="M10" s="74">
        <f t="shared" si="0"/>
        <v>1225.72</v>
      </c>
      <c r="N10" s="74">
        <f t="shared" si="0"/>
        <v>930.2</v>
      </c>
      <c r="O10" s="74">
        <f t="shared" si="0"/>
        <v>1184.64</v>
      </c>
      <c r="P10" s="74">
        <f t="shared" si="0"/>
        <v>1163.4</v>
      </c>
      <c r="Q10" s="74">
        <f t="shared" si="0"/>
        <v>1309.28</v>
      </c>
      <c r="R10" s="72">
        <f>SUM(F10:Q10)</f>
        <v>23603.440000000002</v>
      </c>
      <c r="S10" s="7" t="s">
        <v>134</v>
      </c>
    </row>
    <row r="11" spans="1:21" s="3" customFormat="1" ht="24" hidden="1">
      <c r="A11" s="4" t="s">
        <v>135</v>
      </c>
      <c r="B11" s="70" t="s">
        <v>132</v>
      </c>
      <c r="C11" s="8" t="s">
        <v>132</v>
      </c>
      <c r="D11" s="70" t="s">
        <v>132</v>
      </c>
      <c r="E11" s="72">
        <v>835833</v>
      </c>
      <c r="F11" s="75">
        <v>33926</v>
      </c>
      <c r="G11" s="75">
        <v>44140</v>
      </c>
      <c r="H11" s="71">
        <v>86108</v>
      </c>
      <c r="I11" s="71">
        <v>125918</v>
      </c>
      <c r="J11" s="71">
        <v>161550</v>
      </c>
      <c r="K11" s="71">
        <v>66516</v>
      </c>
      <c r="L11" s="71">
        <v>88816</v>
      </c>
      <c r="M11" s="71">
        <v>72366</v>
      </c>
      <c r="N11" s="71">
        <v>57581</v>
      </c>
      <c r="O11" s="76">
        <v>43112</v>
      </c>
      <c r="P11" s="76">
        <v>29522</v>
      </c>
      <c r="Q11" s="71">
        <v>26279</v>
      </c>
      <c r="R11" s="72">
        <f>SUM(F11:Q11)</f>
        <v>835834</v>
      </c>
      <c r="S11" s="73" t="s">
        <v>133</v>
      </c>
      <c r="U11" s="77"/>
    </row>
    <row r="12" spans="1:19" ht="24">
      <c r="A12" s="4" t="s">
        <v>135</v>
      </c>
      <c r="B12" s="6" t="s">
        <v>118</v>
      </c>
      <c r="C12" s="5" t="s">
        <v>166</v>
      </c>
      <c r="D12" s="27" t="s">
        <v>167</v>
      </c>
      <c r="E12" s="70" t="s">
        <v>132</v>
      </c>
      <c r="F12" s="74">
        <f>0.04*F11</f>
        <v>1357.04</v>
      </c>
      <c r="G12" s="74">
        <f aca="true" t="shared" si="1" ref="G12:Q12">0.04*G11</f>
        <v>1765.6000000000001</v>
      </c>
      <c r="H12" s="74">
        <f t="shared" si="1"/>
        <v>3444.32</v>
      </c>
      <c r="I12" s="74">
        <f t="shared" si="1"/>
        <v>5036.72</v>
      </c>
      <c r="J12" s="74">
        <f t="shared" si="1"/>
        <v>6462</v>
      </c>
      <c r="K12" s="74">
        <f t="shared" si="1"/>
        <v>2660.64</v>
      </c>
      <c r="L12" s="74">
        <f t="shared" si="1"/>
        <v>3552.64</v>
      </c>
      <c r="M12" s="74">
        <f t="shared" si="1"/>
        <v>2894.64</v>
      </c>
      <c r="N12" s="74">
        <f t="shared" si="1"/>
        <v>2303.2400000000002</v>
      </c>
      <c r="O12" s="74">
        <f t="shared" si="1"/>
        <v>1724.48</v>
      </c>
      <c r="P12" s="74">
        <f t="shared" si="1"/>
        <v>1180.88</v>
      </c>
      <c r="Q12" s="74">
        <f t="shared" si="1"/>
        <v>1051.16</v>
      </c>
      <c r="R12" s="72">
        <f aca="true" t="shared" si="2" ref="R12:R21">SUM(F12:Q12)</f>
        <v>33433.36</v>
      </c>
      <c r="S12" s="7" t="s">
        <v>134</v>
      </c>
    </row>
    <row r="13" spans="1:19" ht="24" hidden="1">
      <c r="A13" s="4" t="s">
        <v>136</v>
      </c>
      <c r="B13" s="78" t="s">
        <v>132</v>
      </c>
      <c r="C13" s="10" t="s">
        <v>132</v>
      </c>
      <c r="D13" s="78" t="s">
        <v>132</v>
      </c>
      <c r="E13" s="27">
        <v>744640</v>
      </c>
      <c r="F13" s="71">
        <v>26360</v>
      </c>
      <c r="G13" s="71">
        <v>34864</v>
      </c>
      <c r="H13" s="71">
        <v>88970</v>
      </c>
      <c r="I13" s="71">
        <v>93691</v>
      </c>
      <c r="J13" s="71">
        <v>148988</v>
      </c>
      <c r="K13" s="71">
        <v>109000</v>
      </c>
      <c r="L13" s="71">
        <v>89833</v>
      </c>
      <c r="M13" s="71">
        <v>42571</v>
      </c>
      <c r="N13" s="71">
        <v>28989</v>
      </c>
      <c r="O13" s="71">
        <v>25184</v>
      </c>
      <c r="P13" s="71">
        <v>33278</v>
      </c>
      <c r="Q13" s="71">
        <v>22913</v>
      </c>
      <c r="R13" s="72">
        <f t="shared" si="2"/>
        <v>744641</v>
      </c>
      <c r="S13" s="73" t="s">
        <v>133</v>
      </c>
    </row>
    <row r="14" spans="1:19" ht="24">
      <c r="A14" s="4" t="s">
        <v>136</v>
      </c>
      <c r="B14" s="6" t="s">
        <v>118</v>
      </c>
      <c r="C14" s="5" t="s">
        <v>166</v>
      </c>
      <c r="D14" s="27" t="s">
        <v>167</v>
      </c>
      <c r="E14" s="70" t="s">
        <v>132</v>
      </c>
      <c r="F14" s="74">
        <f>0.04*F13</f>
        <v>1054.4</v>
      </c>
      <c r="G14" s="74">
        <f aca="true" t="shared" si="3" ref="G14:Q14">0.04*G13</f>
        <v>1394.56</v>
      </c>
      <c r="H14" s="74">
        <f t="shared" si="3"/>
        <v>3558.8</v>
      </c>
      <c r="I14" s="74">
        <f t="shared" si="3"/>
        <v>3747.64</v>
      </c>
      <c r="J14" s="74">
        <f t="shared" si="3"/>
        <v>5959.52</v>
      </c>
      <c r="K14" s="74">
        <f t="shared" si="3"/>
        <v>4360</v>
      </c>
      <c r="L14" s="74">
        <f t="shared" si="3"/>
        <v>3593.32</v>
      </c>
      <c r="M14" s="74">
        <f t="shared" si="3"/>
        <v>1702.8400000000001</v>
      </c>
      <c r="N14" s="74">
        <f t="shared" si="3"/>
        <v>1159.56</v>
      </c>
      <c r="O14" s="74">
        <f t="shared" si="3"/>
        <v>1007.36</v>
      </c>
      <c r="P14" s="74">
        <f t="shared" si="3"/>
        <v>1331.1200000000001</v>
      </c>
      <c r="Q14" s="74">
        <f t="shared" si="3"/>
        <v>916.52</v>
      </c>
      <c r="R14" s="72">
        <f t="shared" si="2"/>
        <v>29785.64</v>
      </c>
      <c r="S14" s="7" t="s">
        <v>134</v>
      </c>
    </row>
    <row r="15" spans="1:19" ht="24" hidden="1">
      <c r="A15" s="4" t="s">
        <v>137</v>
      </c>
      <c r="B15" s="70" t="s">
        <v>132</v>
      </c>
      <c r="C15" s="8" t="s">
        <v>132</v>
      </c>
      <c r="D15" s="70" t="s">
        <v>132</v>
      </c>
      <c r="E15" s="27"/>
      <c r="F15" s="10" t="s">
        <v>59</v>
      </c>
      <c r="G15" s="10" t="s">
        <v>59</v>
      </c>
      <c r="H15" s="10" t="s">
        <v>59</v>
      </c>
      <c r="I15" s="10" t="s">
        <v>59</v>
      </c>
      <c r="J15" s="10" t="s">
        <v>59</v>
      </c>
      <c r="K15" s="10" t="s">
        <v>59</v>
      </c>
      <c r="L15" s="10" t="s">
        <v>59</v>
      </c>
      <c r="M15" s="10" t="s">
        <v>59</v>
      </c>
      <c r="N15" s="10" t="s">
        <v>59</v>
      </c>
      <c r="O15" s="10" t="s">
        <v>59</v>
      </c>
      <c r="P15" s="10" t="s">
        <v>59</v>
      </c>
      <c r="Q15" s="10" t="s">
        <v>59</v>
      </c>
      <c r="R15" s="72">
        <f t="shared" si="2"/>
        <v>0</v>
      </c>
      <c r="S15" s="73" t="s">
        <v>133</v>
      </c>
    </row>
    <row r="16" spans="1:19" ht="24">
      <c r="A16" s="4" t="s">
        <v>137</v>
      </c>
      <c r="B16" s="6" t="s">
        <v>118</v>
      </c>
      <c r="C16" s="5" t="s">
        <v>166</v>
      </c>
      <c r="D16" s="27" t="s">
        <v>167</v>
      </c>
      <c r="E16" s="70" t="s">
        <v>132</v>
      </c>
      <c r="F16" s="10" t="s">
        <v>59</v>
      </c>
      <c r="G16" s="10" t="s">
        <v>59</v>
      </c>
      <c r="H16" s="10" t="s">
        <v>59</v>
      </c>
      <c r="I16" s="10" t="s">
        <v>59</v>
      </c>
      <c r="J16" s="10" t="s">
        <v>59</v>
      </c>
      <c r="K16" s="10" t="s">
        <v>59</v>
      </c>
      <c r="L16" s="10" t="s">
        <v>59</v>
      </c>
      <c r="M16" s="10" t="s">
        <v>59</v>
      </c>
      <c r="N16" s="10" t="s">
        <v>59</v>
      </c>
      <c r="O16" s="10" t="s">
        <v>59</v>
      </c>
      <c r="P16" s="10" t="s">
        <v>59</v>
      </c>
      <c r="Q16" s="10" t="s">
        <v>59</v>
      </c>
      <c r="R16" s="10" t="s">
        <v>59</v>
      </c>
      <c r="S16" s="7"/>
    </row>
    <row r="17" spans="1:19" ht="24" hidden="1">
      <c r="A17" s="4" t="s">
        <v>138</v>
      </c>
      <c r="B17" s="70" t="s">
        <v>132</v>
      </c>
      <c r="C17" s="8" t="s">
        <v>132</v>
      </c>
      <c r="D17" s="70" t="s">
        <v>132</v>
      </c>
      <c r="E17" s="27">
        <v>960870</v>
      </c>
      <c r="F17" s="71">
        <v>45891</v>
      </c>
      <c r="G17" s="71">
        <v>41846</v>
      </c>
      <c r="H17" s="71">
        <v>88592</v>
      </c>
      <c r="I17" s="71">
        <v>117831</v>
      </c>
      <c r="J17" s="71">
        <v>156843</v>
      </c>
      <c r="K17" s="71">
        <v>112787</v>
      </c>
      <c r="L17" s="71">
        <v>117735</v>
      </c>
      <c r="M17" s="71">
        <v>71623</v>
      </c>
      <c r="N17" s="71">
        <v>53424</v>
      </c>
      <c r="O17" s="71">
        <v>61198</v>
      </c>
      <c r="P17" s="71">
        <v>47976</v>
      </c>
      <c r="Q17" s="71">
        <v>45122</v>
      </c>
      <c r="R17" s="72">
        <f t="shared" si="2"/>
        <v>960868</v>
      </c>
      <c r="S17" s="73" t="s">
        <v>133</v>
      </c>
    </row>
    <row r="18" spans="1:19" ht="24">
      <c r="A18" s="4" t="s">
        <v>138</v>
      </c>
      <c r="B18" s="6" t="s">
        <v>118</v>
      </c>
      <c r="C18" s="5" t="s">
        <v>166</v>
      </c>
      <c r="D18" s="27" t="s">
        <v>167</v>
      </c>
      <c r="E18" s="70" t="s">
        <v>132</v>
      </c>
      <c r="F18" s="74">
        <f aca="true" t="shared" si="4" ref="F18:Q18">0.04*F17</f>
        <v>1835.64</v>
      </c>
      <c r="G18" s="74">
        <f t="shared" si="4"/>
        <v>1673.8400000000001</v>
      </c>
      <c r="H18" s="74">
        <f t="shared" si="4"/>
        <v>3543.6800000000003</v>
      </c>
      <c r="I18" s="74">
        <f t="shared" si="4"/>
        <v>4713.24</v>
      </c>
      <c r="J18" s="74">
        <f t="shared" si="4"/>
        <v>6273.72</v>
      </c>
      <c r="K18" s="74">
        <f t="shared" si="4"/>
        <v>4511.4800000000005</v>
      </c>
      <c r="L18" s="74">
        <f t="shared" si="4"/>
        <v>4709.400000000001</v>
      </c>
      <c r="M18" s="74">
        <f t="shared" si="4"/>
        <v>2864.92</v>
      </c>
      <c r="N18" s="74">
        <f t="shared" si="4"/>
        <v>2136.96</v>
      </c>
      <c r="O18" s="74">
        <f t="shared" si="4"/>
        <v>2447.92</v>
      </c>
      <c r="P18" s="74">
        <f t="shared" si="4"/>
        <v>1919.04</v>
      </c>
      <c r="Q18" s="74">
        <f t="shared" si="4"/>
        <v>1804.88</v>
      </c>
      <c r="R18" s="72">
        <f t="shared" si="2"/>
        <v>38434.72</v>
      </c>
      <c r="S18" s="7" t="s">
        <v>134</v>
      </c>
    </row>
    <row r="19" spans="1:19" ht="24" hidden="1">
      <c r="A19" s="6" t="s">
        <v>139</v>
      </c>
      <c r="B19" s="78" t="s">
        <v>132</v>
      </c>
      <c r="C19" s="10" t="s">
        <v>132</v>
      </c>
      <c r="D19" s="78" t="s">
        <v>132</v>
      </c>
      <c r="E19" s="27">
        <v>824793</v>
      </c>
      <c r="F19" s="71">
        <v>23540</v>
      </c>
      <c r="G19" s="71">
        <v>49059</v>
      </c>
      <c r="H19" s="71">
        <v>75700</v>
      </c>
      <c r="I19" s="71">
        <v>105648</v>
      </c>
      <c r="J19" s="71">
        <v>148949</v>
      </c>
      <c r="K19" s="71">
        <v>111933</v>
      </c>
      <c r="L19" s="71">
        <v>76862</v>
      </c>
      <c r="M19" s="71">
        <v>75304</v>
      </c>
      <c r="N19" s="71">
        <v>50370</v>
      </c>
      <c r="O19" s="71">
        <v>46906</v>
      </c>
      <c r="P19" s="6">
        <v>34468</v>
      </c>
      <c r="Q19" s="6">
        <v>26055</v>
      </c>
      <c r="R19" s="72">
        <f t="shared" si="2"/>
        <v>824794</v>
      </c>
      <c r="S19" s="73" t="s">
        <v>133</v>
      </c>
    </row>
    <row r="20" spans="1:19" ht="24">
      <c r="A20" s="6" t="s">
        <v>139</v>
      </c>
      <c r="B20" s="6" t="s">
        <v>118</v>
      </c>
      <c r="C20" s="5" t="s">
        <v>166</v>
      </c>
      <c r="D20" s="27" t="s">
        <v>167</v>
      </c>
      <c r="E20" s="78" t="s">
        <v>132</v>
      </c>
      <c r="F20" s="74">
        <f>0.04*F19</f>
        <v>941.6</v>
      </c>
      <c r="G20" s="74">
        <f aca="true" t="shared" si="5" ref="G20:Q20">0.04*G19</f>
        <v>1962.3600000000001</v>
      </c>
      <c r="H20" s="74">
        <f t="shared" si="5"/>
        <v>3028</v>
      </c>
      <c r="I20" s="74">
        <f t="shared" si="5"/>
        <v>4225.92</v>
      </c>
      <c r="J20" s="74">
        <f t="shared" si="5"/>
        <v>5957.96</v>
      </c>
      <c r="K20" s="74">
        <f t="shared" si="5"/>
        <v>4477.32</v>
      </c>
      <c r="L20" s="74">
        <f t="shared" si="5"/>
        <v>3074.48</v>
      </c>
      <c r="M20" s="74">
        <f t="shared" si="5"/>
        <v>3012.16</v>
      </c>
      <c r="N20" s="74">
        <f t="shared" si="5"/>
        <v>2014.8</v>
      </c>
      <c r="O20" s="74">
        <f t="shared" si="5"/>
        <v>1876.24</v>
      </c>
      <c r="P20" s="74">
        <f t="shared" si="5"/>
        <v>1378.72</v>
      </c>
      <c r="Q20" s="74">
        <f t="shared" si="5"/>
        <v>1042.2</v>
      </c>
      <c r="R20" s="72">
        <f t="shared" si="2"/>
        <v>32991.76</v>
      </c>
      <c r="S20" s="7" t="s">
        <v>134</v>
      </c>
    </row>
    <row r="21" spans="1:19" ht="24" hidden="1">
      <c r="A21" s="4" t="s">
        <v>140</v>
      </c>
      <c r="B21" s="70" t="s">
        <v>132</v>
      </c>
      <c r="C21" s="8" t="s">
        <v>132</v>
      </c>
      <c r="D21" s="70" t="s">
        <v>132</v>
      </c>
      <c r="E21" s="27"/>
      <c r="F21" s="10" t="s">
        <v>59</v>
      </c>
      <c r="G21" s="10" t="s">
        <v>59</v>
      </c>
      <c r="H21" s="10" t="s">
        <v>59</v>
      </c>
      <c r="I21" s="10" t="s">
        <v>59</v>
      </c>
      <c r="J21" s="10" t="s">
        <v>59</v>
      </c>
      <c r="K21" s="10" t="s">
        <v>59</v>
      </c>
      <c r="L21" s="10" t="s">
        <v>59</v>
      </c>
      <c r="M21" s="10" t="s">
        <v>59</v>
      </c>
      <c r="N21" s="10" t="s">
        <v>59</v>
      </c>
      <c r="O21" s="10" t="s">
        <v>59</v>
      </c>
      <c r="P21" s="10" t="s">
        <v>59</v>
      </c>
      <c r="Q21" s="10" t="s">
        <v>59</v>
      </c>
      <c r="R21" s="72">
        <f t="shared" si="2"/>
        <v>0</v>
      </c>
      <c r="S21" s="73" t="s">
        <v>133</v>
      </c>
    </row>
    <row r="22" spans="1:19" ht="24">
      <c r="A22" s="4" t="s">
        <v>140</v>
      </c>
      <c r="B22" s="6" t="s">
        <v>118</v>
      </c>
      <c r="C22" s="5" t="s">
        <v>166</v>
      </c>
      <c r="D22" s="27" t="s">
        <v>167</v>
      </c>
      <c r="E22" s="70" t="s">
        <v>132</v>
      </c>
      <c r="F22" s="10" t="s">
        <v>59</v>
      </c>
      <c r="G22" s="10" t="s">
        <v>59</v>
      </c>
      <c r="H22" s="10" t="s">
        <v>59</v>
      </c>
      <c r="I22" s="10" t="s">
        <v>59</v>
      </c>
      <c r="J22" s="10" t="s">
        <v>59</v>
      </c>
      <c r="K22" s="10" t="s">
        <v>59</v>
      </c>
      <c r="L22" s="10" t="s">
        <v>59</v>
      </c>
      <c r="M22" s="10" t="s">
        <v>59</v>
      </c>
      <c r="N22" s="10" t="s">
        <v>59</v>
      </c>
      <c r="O22" s="10" t="s">
        <v>59</v>
      </c>
      <c r="P22" s="10" t="s">
        <v>59</v>
      </c>
      <c r="Q22" s="10" t="s">
        <v>59</v>
      </c>
      <c r="R22" s="10" t="s">
        <v>59</v>
      </c>
      <c r="S22" s="7"/>
    </row>
    <row r="23" spans="1:19" ht="24" hidden="1">
      <c r="A23" s="4" t="s">
        <v>141</v>
      </c>
      <c r="B23" s="70" t="s">
        <v>132</v>
      </c>
      <c r="C23" s="8" t="s">
        <v>132</v>
      </c>
      <c r="D23" s="70" t="s">
        <v>132</v>
      </c>
      <c r="E23" s="27"/>
      <c r="F23" s="10" t="s">
        <v>59</v>
      </c>
      <c r="G23" s="10" t="s">
        <v>59</v>
      </c>
      <c r="H23" s="10" t="s">
        <v>59</v>
      </c>
      <c r="I23" s="10" t="s">
        <v>59</v>
      </c>
      <c r="J23" s="10" t="s">
        <v>59</v>
      </c>
      <c r="K23" s="10" t="s">
        <v>59</v>
      </c>
      <c r="L23" s="10" t="s">
        <v>59</v>
      </c>
      <c r="M23" s="10" t="s">
        <v>59</v>
      </c>
      <c r="N23" s="10" t="s">
        <v>59</v>
      </c>
      <c r="O23" s="10" t="s">
        <v>59</v>
      </c>
      <c r="P23" s="10" t="s">
        <v>59</v>
      </c>
      <c r="Q23" s="10" t="s">
        <v>59</v>
      </c>
      <c r="R23" s="10" t="s">
        <v>59</v>
      </c>
      <c r="S23" s="73" t="s">
        <v>133</v>
      </c>
    </row>
    <row r="24" spans="1:19" ht="24">
      <c r="A24" s="4" t="s">
        <v>141</v>
      </c>
      <c r="B24" s="6" t="s">
        <v>118</v>
      </c>
      <c r="C24" s="5" t="s">
        <v>166</v>
      </c>
      <c r="D24" s="27" t="s">
        <v>167</v>
      </c>
      <c r="E24" s="70" t="s">
        <v>132</v>
      </c>
      <c r="F24" s="10" t="s">
        <v>59</v>
      </c>
      <c r="G24" s="10" t="s">
        <v>59</v>
      </c>
      <c r="H24" s="10" t="s">
        <v>59</v>
      </c>
      <c r="I24" s="10" t="s">
        <v>59</v>
      </c>
      <c r="J24" s="10" t="s">
        <v>59</v>
      </c>
      <c r="K24" s="10" t="s">
        <v>59</v>
      </c>
      <c r="L24" s="10" t="s">
        <v>59</v>
      </c>
      <c r="M24" s="10" t="s">
        <v>59</v>
      </c>
      <c r="N24" s="10" t="s">
        <v>59</v>
      </c>
      <c r="O24" s="10" t="s">
        <v>59</v>
      </c>
      <c r="P24" s="10" t="s">
        <v>59</v>
      </c>
      <c r="Q24" s="10" t="s">
        <v>59</v>
      </c>
      <c r="R24" s="10" t="s">
        <v>59</v>
      </c>
      <c r="S24" s="7"/>
    </row>
    <row r="25" spans="1:19" ht="24" hidden="1">
      <c r="A25" s="4" t="s">
        <v>142</v>
      </c>
      <c r="B25" s="70" t="s">
        <v>132</v>
      </c>
      <c r="C25" s="8" t="s">
        <v>132</v>
      </c>
      <c r="D25" s="70" t="s">
        <v>132</v>
      </c>
      <c r="E25" s="27"/>
      <c r="F25" s="10" t="s">
        <v>59</v>
      </c>
      <c r="G25" s="10" t="s">
        <v>59</v>
      </c>
      <c r="H25" s="10" t="s">
        <v>59</v>
      </c>
      <c r="I25" s="10" t="s">
        <v>59</v>
      </c>
      <c r="J25" s="10" t="s">
        <v>59</v>
      </c>
      <c r="K25" s="10" t="s">
        <v>59</v>
      </c>
      <c r="L25" s="10" t="s">
        <v>59</v>
      </c>
      <c r="M25" s="10" t="s">
        <v>59</v>
      </c>
      <c r="N25" s="10" t="s">
        <v>59</v>
      </c>
      <c r="O25" s="10" t="s">
        <v>59</v>
      </c>
      <c r="P25" s="10" t="s">
        <v>59</v>
      </c>
      <c r="Q25" s="10" t="s">
        <v>59</v>
      </c>
      <c r="R25" s="10" t="s">
        <v>59</v>
      </c>
      <c r="S25" s="73" t="s">
        <v>133</v>
      </c>
    </row>
    <row r="26" spans="1:19" ht="24">
      <c r="A26" s="4" t="s">
        <v>142</v>
      </c>
      <c r="B26" s="6" t="s">
        <v>118</v>
      </c>
      <c r="C26" s="5" t="s">
        <v>166</v>
      </c>
      <c r="D26" s="27" t="s">
        <v>167</v>
      </c>
      <c r="E26" s="70" t="s">
        <v>132</v>
      </c>
      <c r="F26" s="10" t="s">
        <v>59</v>
      </c>
      <c r="G26" s="10" t="s">
        <v>59</v>
      </c>
      <c r="H26" s="10" t="s">
        <v>59</v>
      </c>
      <c r="I26" s="10" t="s">
        <v>59</v>
      </c>
      <c r="J26" s="10" t="s">
        <v>59</v>
      </c>
      <c r="K26" s="10" t="s">
        <v>59</v>
      </c>
      <c r="L26" s="10" t="s">
        <v>59</v>
      </c>
      <c r="M26" s="10" t="s">
        <v>59</v>
      </c>
      <c r="N26" s="10" t="s">
        <v>59</v>
      </c>
      <c r="O26" s="10" t="s">
        <v>59</v>
      </c>
      <c r="P26" s="10" t="s">
        <v>59</v>
      </c>
      <c r="Q26" s="10" t="s">
        <v>59</v>
      </c>
      <c r="R26" s="10" t="s">
        <v>59</v>
      </c>
      <c r="S26" s="7"/>
    </row>
    <row r="27" spans="1:19" ht="24">
      <c r="A27" s="122" t="s">
        <v>216</v>
      </c>
      <c r="B27" s="6" t="s">
        <v>118</v>
      </c>
      <c r="C27" s="5" t="s">
        <v>166</v>
      </c>
      <c r="D27" s="27" t="s">
        <v>167</v>
      </c>
      <c r="E27" s="4"/>
      <c r="F27" s="123">
        <f aca="true" t="shared" si="6" ref="F27:R27">SUM(F10:F10)+SUM(F12:F12)+SUM(F14:F14)+SUM(F16:F16)+SUM(F18:F18)+SUM(F20:F20)+SUM(F22:F22)+SUM(F24:F24)+SUM(F26:F26)</f>
        <v>6152.400000000001</v>
      </c>
      <c r="G27" s="123">
        <f t="shared" si="6"/>
        <v>8639.800000000001</v>
      </c>
      <c r="H27" s="123">
        <f t="shared" si="6"/>
        <v>16378.880000000001</v>
      </c>
      <c r="I27" s="123">
        <f t="shared" si="6"/>
        <v>21383.96</v>
      </c>
      <c r="J27" s="123">
        <f t="shared" si="6"/>
        <v>28437.8</v>
      </c>
      <c r="K27" s="123">
        <f t="shared" si="6"/>
        <v>18455</v>
      </c>
      <c r="L27" s="123">
        <f t="shared" si="6"/>
        <v>17218.2</v>
      </c>
      <c r="M27" s="123">
        <f t="shared" si="6"/>
        <v>11700.279999999999</v>
      </c>
      <c r="N27" s="123">
        <f t="shared" si="6"/>
        <v>8544.76</v>
      </c>
      <c r="O27" s="123">
        <f t="shared" si="6"/>
        <v>8240.64</v>
      </c>
      <c r="P27" s="123">
        <f t="shared" si="6"/>
        <v>6973.160000000001</v>
      </c>
      <c r="Q27" s="123">
        <f t="shared" si="6"/>
        <v>6124.04</v>
      </c>
      <c r="R27" s="123">
        <f t="shared" si="6"/>
        <v>158248.92</v>
      </c>
      <c r="S27" s="6"/>
    </row>
    <row r="28" s="11" customFormat="1" ht="12">
      <c r="A28" s="106"/>
    </row>
  </sheetData>
  <mergeCells count="2">
    <mergeCell ref="A1:S1"/>
    <mergeCell ref="A3:S3"/>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worksheet>
</file>

<file path=xl/worksheets/sheet2.xml><?xml version="1.0" encoding="utf-8"?>
<worksheet xmlns="http://schemas.openxmlformats.org/spreadsheetml/2006/main" xmlns:r="http://schemas.openxmlformats.org/officeDocument/2006/relationships">
  <dimension ref="A1:Q80"/>
  <sheetViews>
    <sheetView zoomScale="75" zoomScaleNormal="75" workbookViewId="0" topLeftCell="A1">
      <selection activeCell="N64" sqref="N64"/>
    </sheetView>
  </sheetViews>
  <sheetFormatPr defaultColWidth="9.140625" defaultRowHeight="12.75"/>
  <cols>
    <col min="1" max="1" width="12.28125" style="0" customWidth="1"/>
    <col min="2" max="2" width="20.00390625" style="0" customWidth="1"/>
    <col min="3" max="3" width="15.7109375" style="0" customWidth="1"/>
    <col min="4" max="4" width="9.8515625" style="0" customWidth="1"/>
    <col min="5" max="5" width="9.7109375" style="0" customWidth="1"/>
    <col min="6" max="6" width="9.57421875" style="0" customWidth="1"/>
    <col min="7" max="7" width="9.8515625" style="0" customWidth="1"/>
    <col min="8" max="8" width="10.8515625" style="0" customWidth="1"/>
    <col min="9" max="9" width="9.8515625" style="0" customWidth="1"/>
    <col min="10" max="10" width="10.28125" style="0" customWidth="1"/>
    <col min="11" max="11" width="9.8515625" style="0" customWidth="1"/>
    <col min="12" max="12" width="10.7109375" style="0" customWidth="1"/>
    <col min="13" max="13" width="10.57421875" style="0" customWidth="1"/>
    <col min="14" max="14" width="10.00390625" style="0" customWidth="1"/>
    <col min="15" max="15" width="9.8515625" style="0" customWidth="1"/>
    <col min="16" max="16" width="10.8515625" style="48" customWidth="1"/>
    <col min="17" max="17" width="18.28125" style="0"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1"/>
      <c r="G2" s="1"/>
      <c r="H2" s="1"/>
      <c r="I2" s="1"/>
      <c r="J2" s="1"/>
      <c r="K2" s="1"/>
      <c r="L2" s="1"/>
      <c r="M2" s="1"/>
      <c r="N2" s="1"/>
      <c r="O2" s="1"/>
      <c r="P2" s="47"/>
    </row>
    <row r="3" spans="1:17" ht="18">
      <c r="A3" s="211" t="s">
        <v>210</v>
      </c>
      <c r="B3" s="211"/>
      <c r="C3" s="211"/>
      <c r="D3" s="211"/>
      <c r="E3" s="211"/>
      <c r="F3" s="211"/>
      <c r="G3" s="211"/>
      <c r="H3" s="211"/>
      <c r="I3" s="211"/>
      <c r="J3" s="211"/>
      <c r="K3" s="211"/>
      <c r="L3" s="211"/>
      <c r="M3" s="211"/>
      <c r="N3" s="211"/>
      <c r="O3" s="211"/>
      <c r="P3" s="211"/>
      <c r="Q3" s="211"/>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78" t="s">
        <v>5</v>
      </c>
      <c r="G6" s="178" t="s">
        <v>6</v>
      </c>
      <c r="H6" s="178" t="s">
        <v>8</v>
      </c>
      <c r="I6" s="178" t="s">
        <v>7</v>
      </c>
      <c r="J6" s="178" t="s">
        <v>9</v>
      </c>
      <c r="K6" s="178" t="s">
        <v>10</v>
      </c>
      <c r="L6" s="178" t="s">
        <v>11</v>
      </c>
      <c r="M6" s="178" t="s">
        <v>12</v>
      </c>
      <c r="N6" s="178" t="s">
        <v>13</v>
      </c>
      <c r="O6" s="178" t="s">
        <v>14</v>
      </c>
      <c r="P6" s="181" t="s">
        <v>16</v>
      </c>
      <c r="Q6" s="174" t="s">
        <v>15</v>
      </c>
    </row>
    <row r="7" spans="1:17" s="3" customFormat="1" ht="12">
      <c r="A7" s="19" t="s">
        <v>40</v>
      </c>
      <c r="B7" s="15"/>
      <c r="C7" s="16"/>
      <c r="D7" s="17"/>
      <c r="E7" s="17"/>
      <c r="F7" s="17"/>
      <c r="G7" s="17"/>
      <c r="H7" s="17"/>
      <c r="I7" s="17"/>
      <c r="J7" s="17"/>
      <c r="K7" s="17"/>
      <c r="L7" s="17"/>
      <c r="M7" s="17"/>
      <c r="N7" s="17"/>
      <c r="O7" s="17"/>
      <c r="P7" s="49"/>
      <c r="Q7" s="18"/>
    </row>
    <row r="8" spans="1:17" s="3" customFormat="1" ht="48">
      <c r="A8" s="24" t="s">
        <v>41</v>
      </c>
      <c r="B8" s="27" t="s">
        <v>42</v>
      </c>
      <c r="C8" s="27" t="s">
        <v>43</v>
      </c>
      <c r="D8" s="45">
        <f>SUM(Andover!D8:Andover!D8)+SUM(Atlanta!D8:Atlanta!D8)+SUM(Austin!D8:Austin!D8)+SUM(Cincinnati!D8:Cincinnati!D8)+SUM(Fresno!D8:Fresno!D8)+SUM(KC!D8:KC!D8)+SUM(Ogden!D8:Ogden!D8)+SUM(Philadelphia!D8:Philadelphia!D8)</f>
        <v>153.027</v>
      </c>
      <c r="E8" s="45">
        <f>SUM(Andover!E8:Andover!E8)+SUM(Atlanta!E8:Atlanta!E8)+SUM(Austin!E8:Austin!E8)+SUM(Cincinnati!E8:Cincinnati!E8)+SUM(Fresno!E8:Fresno!E8)+SUM(KC!E8:KC!E8)+SUM(Ogden!E8:Ogden!E8)+SUM(Philadelphia!E8:Philadelphia!E8)</f>
        <v>131.0179</v>
      </c>
      <c r="F8" s="45">
        <f>SUM(Andover!F8:Andover!F8)+SUM(Atlanta!F8:Atlanta!F8)+SUM(Austin!F8:Austin!F8)+SUM(Cincinnati!F8:Cincinnati!F8)+SUM(Fresno!F8:Fresno!F8)+SUM(KC!F8:KC!F8)+SUM(Ogden!F8:Ogden!F8)+SUM(Philadelphia!F8:Philadelphia!F8)</f>
        <v>135.179</v>
      </c>
      <c r="G8" s="45">
        <f>SUM(Andover!G8:Andover!G8)+SUM(Atlanta!G8:Atlanta!G8)+SUM(Austin!G8:Austin!G8)+SUM(Cincinnati!G8:Cincinnati!G8)+SUM(Fresno!G8:Fresno!G8)+SUM(KC!G8:KC!G8)+SUM(Ogden!G8:Ogden!G8)+SUM(Philadelphia!G8:Philadelphia!G8)</f>
        <v>93.4934</v>
      </c>
      <c r="H8" s="45">
        <f>SUM(Andover!H8:Andover!H8)+SUM(Atlanta!H8:Atlanta!H8)+SUM(Austin!H8:Austin!H8)+SUM(Cincinnati!H8:Cincinnati!H8)+SUM(Fresno!H8:Fresno!H8)+SUM(KC!H8:KC!H8)+SUM(Ogden!H8:Ogden!H8)+SUM(Philadelphia!H8:Philadelphia!H8)</f>
        <v>71.4586</v>
      </c>
      <c r="I8" s="45">
        <f>SUM(Andover!I8:Andover!I8)+SUM(Atlanta!I8:Atlanta!I8)+SUM(Austin!I8:Austin!I8)+SUM(Cincinnati!I8:Cincinnati!I8)+SUM(Fresno!I8:Fresno!I8)+SUM(KC!I8:KC!I8)+SUM(Ogden!I8:Ogden!I8)+SUM(Philadelphia!I8:Philadelphia!I8)</f>
        <v>127.62449999999998</v>
      </c>
      <c r="J8" s="45">
        <f>SUM(Andover!J8:Andover!J8)+SUM(Atlanta!J8:Atlanta!J8)+SUM(Austin!J8:Austin!J8)+SUM(Cincinnati!J8:Cincinnati!J8)+SUM(Fresno!J8:Fresno!J8)+SUM(KC!J8:KC!J8)+SUM(Ogden!J8:Ogden!J8)+SUM(Philadelphia!J8:Philadelphia!J8)</f>
        <v>218.6014</v>
      </c>
      <c r="K8" s="45">
        <f>SUM(Andover!K8:Andover!K8)+SUM(Atlanta!K8:Atlanta!K8)+SUM(Austin!K8:Austin!K8)+SUM(Cincinnati!K8:Cincinnati!K8)+SUM(Fresno!K8:Fresno!K8)+SUM(KC!K8:KC!K8)+SUM(Ogden!K8:Ogden!K8)+SUM(Philadelphia!K8:Philadelphia!K8)</f>
        <v>639.1438999999999</v>
      </c>
      <c r="L8" s="45">
        <f>SUM(Andover!L8:Andover!L8)+SUM(Atlanta!L8:Atlanta!L8)+SUM(Austin!L8:Austin!L8)+SUM(Cincinnati!L8:Cincinnati!L8)+SUM(Fresno!L8:Fresno!L8)+SUM(KC!L8:KC!L8)+SUM(Ogden!L8:Ogden!L8)+SUM(Philadelphia!L8:Philadelphia!L8)</f>
        <v>880.7581999999999</v>
      </c>
      <c r="M8" s="45">
        <f>SUM(Andover!M8:Andover!M8)+SUM(Atlanta!M8:Atlanta!M8)+SUM(Austin!M8:Austin!M8)+SUM(Cincinnati!M8:Cincinnati!M8)+SUM(Fresno!M8:Fresno!M8)+SUM(KC!M8:KC!M8)+SUM(Ogden!M8:Ogden!M8)+SUM(Philadelphia!M8:Philadelphia!M8)</f>
        <v>349.20480000000003</v>
      </c>
      <c r="N8" s="45">
        <f>SUM(Andover!N8:Andover!N8)+SUM(Atlanta!N8:Atlanta!N8)+SUM(Austin!N8:Austin!N8)+SUM(Cincinnati!N8:Cincinnati!N8)+SUM(Fresno!N8:Fresno!N8)+SUM(KC!N8:KC!N8)+SUM(Ogden!N8:Ogden!N8)+SUM(Philadelphia!N8:Philadelphia!N8)</f>
        <v>177.99290000000002</v>
      </c>
      <c r="O8" s="45">
        <f>SUM(Andover!O8:Andover!O8)+SUM(Atlanta!O8:Atlanta!O8)+SUM(Austin!O8:Austin!O8)+SUM(Cincinnati!O8:Cincinnati!O8)+SUM(Fresno!O8:Fresno!O8)+SUM(KC!O8:KC!O8)+SUM(Ogden!O8:Ogden!O8)+SUM(Philadelphia!O8:Philadelphia!O8)</f>
        <v>186.553</v>
      </c>
      <c r="P8" s="45">
        <f>SUM(D8:O8)</f>
        <v>3164.0546</v>
      </c>
      <c r="Q8" s="38" t="s">
        <v>163</v>
      </c>
    </row>
    <row r="9" spans="1:17" s="3" customFormat="1" ht="12">
      <c r="A9" s="19" t="s">
        <v>245</v>
      </c>
      <c r="B9" s="15"/>
      <c r="C9" s="16"/>
      <c r="D9" s="17"/>
      <c r="E9" s="17"/>
      <c r="F9" s="17"/>
      <c r="G9" s="17"/>
      <c r="H9" s="17"/>
      <c r="I9" s="17"/>
      <c r="J9" s="17"/>
      <c r="K9" s="17"/>
      <c r="L9" s="17"/>
      <c r="M9" s="17"/>
      <c r="N9" s="17"/>
      <c r="O9" s="17"/>
      <c r="P9" s="49"/>
      <c r="Q9" s="18"/>
    </row>
    <row r="10" spans="1:17" s="3" customFormat="1" ht="24">
      <c r="A10" s="38">
        <v>5.2</v>
      </c>
      <c r="B10" s="27" t="s">
        <v>246</v>
      </c>
      <c r="C10" s="27" t="s">
        <v>240</v>
      </c>
      <c r="D10" s="45">
        <f>SUM(Andover!D10:Andover!D10)+SUM(Atlanta!D10:Atlanta!D10)+SUM(Austin!D10:Austin!D10)+SUM(Cincinnati!D10:Cincinnati!D10)+SUM(Fresno!D10:Fresno!D10)+SUM(KC!D10:KC!D10)+SUM(Ogden!D10:Ogden!D10)+SUM(Philadelphia!D10:Philadelphia!D10)</f>
        <v>6400</v>
      </c>
      <c r="E10" s="45">
        <f>SUM(Andover!E10:Andover!E10)+SUM(Atlanta!E10:Atlanta!E10)+SUM(Austin!E10:Austin!E10)+SUM(Cincinnati!E10:Cincinnati!E10)+SUM(Fresno!E10:Fresno!E10)+SUM(KC!E10:KC!E10)+SUM(Ogden!E10:Ogden!E10)+SUM(Philadelphia!E10:Philadelphia!E10)</f>
        <v>6400</v>
      </c>
      <c r="F10" s="45">
        <f>SUM(Andover!F10:Andover!F10)+SUM(Atlanta!F10:Atlanta!F10)+SUM(Austin!F10:Austin!F10)+SUM(Cincinnati!F10:Cincinnati!F10)+SUM(Fresno!F10:Fresno!F10)+SUM(KC!F10:KC!F10)+SUM(Ogden!F10:Ogden!F10)+SUM(Philadelphia!F10:Philadelphia!F10)</f>
        <v>7040</v>
      </c>
      <c r="G10" s="45">
        <f>SUM(Andover!G10:Andover!G10)+SUM(Atlanta!G10:Atlanta!G10)+SUM(Austin!G10:Austin!G10)+SUM(Cincinnati!G10:Cincinnati!G10)+SUM(Fresno!G10:Fresno!G10)+SUM(KC!G10:KC!G10)+SUM(Ogden!G10:Ogden!G10)+SUM(Philadelphia!G10:Philadelphia!G10)</f>
        <v>6080</v>
      </c>
      <c r="H10" s="45">
        <f>SUM(Andover!H10:Andover!H10)+SUM(Atlanta!H10:Atlanta!H10)+SUM(Austin!H10:Austin!H10)+SUM(Cincinnati!H10:Cincinnati!H10)+SUM(Fresno!H10:Fresno!H10)+SUM(KC!H10:KC!H10)+SUM(Ogden!H10:Ogden!H10)+SUM(Philadelphia!H10:Philadelphia!H10)</f>
        <v>6080</v>
      </c>
      <c r="I10" s="45">
        <f>SUM(Andover!I10:Andover!I10)+SUM(Atlanta!I10:Atlanta!I10)+SUM(Austin!I10:Austin!I10)+SUM(Cincinnati!I10:Cincinnati!I10)+SUM(Fresno!I10:Fresno!I10)+SUM(KC!I10:KC!I10)+SUM(Ogden!I10:Ogden!I10)+SUM(Philadelphia!I10:Philadelphia!I10)</f>
        <v>7360</v>
      </c>
      <c r="J10" s="45">
        <f>SUM(Andover!J10:Andover!J10)+SUM(Atlanta!J10:Atlanta!J10)+SUM(Austin!J10:Austin!J10)+SUM(Cincinnati!J10:Cincinnati!J10)+SUM(Fresno!J10:Fresno!J10)+SUM(KC!J10:KC!J10)+SUM(Ogden!J10:Ogden!J10)+SUM(Philadelphia!J10:Philadelphia!J10)</f>
        <v>6720</v>
      </c>
      <c r="K10" s="45">
        <f>SUM(Andover!K10:Andover!K10)+SUM(Atlanta!K10:Atlanta!K10)+SUM(Austin!K10:Austin!K10)+SUM(Cincinnati!K10:Cincinnati!K10)+SUM(Fresno!K10:Fresno!K10)+SUM(KC!K10:KC!K10)+SUM(Ogden!K10:Ogden!K10)+SUM(Philadelphia!K10:Philadelphia!K10)</f>
        <v>6720</v>
      </c>
      <c r="L10" s="45">
        <f>SUM(Andover!L10:Andover!L10)+SUM(Atlanta!L10:Atlanta!L10)+SUM(Austin!L10:Austin!L10)+SUM(Cincinnati!L10:Cincinnati!L10)+SUM(Fresno!L10:Fresno!L10)+SUM(KC!L10:KC!L10)+SUM(Ogden!L10:Ogden!L10)+SUM(Philadelphia!L10:Philadelphia!L10)</f>
        <v>7040</v>
      </c>
      <c r="M10" s="45">
        <f>SUM(Andover!M10:Andover!M10)+SUM(Atlanta!M10:Atlanta!M10)+SUM(Austin!M10:Austin!M10)+SUM(Cincinnati!M10:Cincinnati!M10)+SUM(Fresno!M10:Fresno!M10)+SUM(KC!M10:KC!M10)+SUM(Ogden!M10:Ogden!M10)+SUM(Philadelphia!M10:Philadelphia!M10)</f>
        <v>6400</v>
      </c>
      <c r="N10" s="45">
        <f>SUM(Andover!N10:Andover!N10)+SUM(Atlanta!N10:Atlanta!N10)+SUM(Austin!N10:Austin!N10)+SUM(Cincinnati!N10:Cincinnati!N10)+SUM(Fresno!N10:Fresno!N10)+SUM(KC!N10:KC!N10)+SUM(Ogden!N10:Ogden!N10)+SUM(Philadelphia!N10:Philadelphia!N10)</f>
        <v>7360</v>
      </c>
      <c r="O10" s="45">
        <f>SUM(Andover!O10:Andover!O10)+SUM(Atlanta!O10:Atlanta!O10)+SUM(Austin!O10:Austin!O10)+SUM(Cincinnati!O10:Cincinnati!O10)+SUM(Fresno!O10:Fresno!O10)+SUM(KC!O10:KC!O10)+SUM(Ogden!O10:Ogden!O10)+SUM(Philadelphia!O10:Philadelphia!O10)</f>
        <v>6720</v>
      </c>
      <c r="P10" s="45">
        <f>SUM(D10:O10)</f>
        <v>80320</v>
      </c>
      <c r="Q10" s="38" t="s">
        <v>320</v>
      </c>
    </row>
    <row r="11" spans="1:17" s="3" customFormat="1" ht="12">
      <c r="A11" s="19" t="s">
        <v>247</v>
      </c>
      <c r="B11" s="15"/>
      <c r="C11" s="16"/>
      <c r="D11" s="17"/>
      <c r="E11" s="17"/>
      <c r="F11" s="17"/>
      <c r="G11" s="17"/>
      <c r="H11" s="17"/>
      <c r="I11" s="17"/>
      <c r="J11" s="17"/>
      <c r="K11" s="17"/>
      <c r="L11" s="17"/>
      <c r="M11" s="17"/>
      <c r="N11" s="17"/>
      <c r="O11" s="17"/>
      <c r="P11" s="49"/>
      <c r="Q11" s="18"/>
    </row>
    <row r="12" spans="1:17" s="3" customFormat="1" ht="24">
      <c r="A12" s="24" t="s">
        <v>248</v>
      </c>
      <c r="B12" s="24" t="s">
        <v>148</v>
      </c>
      <c r="C12" s="24" t="s">
        <v>44</v>
      </c>
      <c r="D12" s="45">
        <f>SUM(Andover!D12:Andover!D12)+SUM(Atlanta!D12:Atlanta!D12)+SUM(Austin!D12:Austin!D12)+SUM(Cincinnati!D12:Cincinnati!D12)+SUM(Fresno!D12:Fresno!D12)+SUM(KC!D12:KC!D12)+SUM(Ogden!D12:Ogden!D12)+SUM(Philadelphia!D12:Philadelphia!D12)</f>
        <v>40</v>
      </c>
      <c r="E12" s="45">
        <f>SUM(Andover!E12:Andover!E12)+SUM(Atlanta!E12:Atlanta!E12)+SUM(Austin!E12:Austin!E12)+SUM(Cincinnati!E12:Cincinnati!E12)+SUM(Fresno!E12:Fresno!E12)+SUM(KC!E12:KC!E12)+SUM(Ogden!E12:Ogden!E12)+SUM(Philadelphia!E12:Philadelphia!E12)</f>
        <v>32</v>
      </c>
      <c r="F12" s="45">
        <f>SUM(Andover!F12:Andover!F12)+SUM(Atlanta!F12:Atlanta!F12)+SUM(Austin!F12:Austin!F12)+SUM(Cincinnati!F12:Cincinnati!F12)+SUM(Fresno!F12:Fresno!F12)+SUM(KC!F12:KC!F12)+SUM(Ogden!F12:Ogden!F12)+SUM(Philadelphia!F12:Philadelphia!F12)</f>
        <v>40</v>
      </c>
      <c r="G12" s="45">
        <f>SUM(Andover!G12:Andover!G12)+SUM(Atlanta!G12:Atlanta!G12)+SUM(Austin!G12:Austin!G12)+SUM(Cincinnati!G12:Cincinnati!G12)+SUM(Fresno!G12:Fresno!G12)+SUM(KC!G12:KC!G12)+SUM(Ogden!G12:Ogden!G12)+SUM(Philadelphia!G12:Philadelphia!G12)</f>
        <v>40</v>
      </c>
      <c r="H12" s="45">
        <f>SUM(Andover!H12:Andover!H12)+SUM(Atlanta!H12:Atlanta!H12)+SUM(Austin!H12:Austin!H12)+SUM(Cincinnati!H12:Cincinnati!H12)+SUM(Fresno!H12:Fresno!H12)+SUM(KC!H12:KC!H12)+SUM(Ogden!H12:Ogden!H12)+SUM(Philadelphia!H12:Philadelphia!H12)</f>
        <v>32</v>
      </c>
      <c r="I12" s="45">
        <f>SUM(Andover!I12:Andover!I12)+SUM(Atlanta!I12:Atlanta!I12)+SUM(Austin!I12:Austin!I12)+SUM(Cincinnati!I12:Cincinnati!I12)+SUM(Fresno!I12:Fresno!I12)+SUM(KC!I12:KC!I12)+SUM(Ogden!I12:Ogden!I12)+SUM(Philadelphia!I12:Philadelphia!I12)</f>
        <v>40</v>
      </c>
      <c r="J12" s="45">
        <f>SUM(Andover!J12:Andover!J12)+SUM(Atlanta!J12:Atlanta!J12)+SUM(Austin!J12:Austin!J12)+SUM(Cincinnati!J12:Cincinnati!J12)+SUM(Fresno!J12:Fresno!J12)+SUM(KC!J12:KC!J12)+SUM(Ogden!J12:Ogden!J12)+SUM(Philadelphia!J12:Philadelphia!J12)</f>
        <v>32</v>
      </c>
      <c r="K12" s="45">
        <f>SUM(Andover!K12:Andover!K12)+SUM(Atlanta!K12:Atlanta!K12)+SUM(Austin!K12:Austin!K12)+SUM(Cincinnati!K12:Cincinnati!K12)+SUM(Fresno!K12:Fresno!K12)+SUM(KC!K12:KC!K12)+SUM(Ogden!K12:Ogden!K12)+SUM(Philadelphia!K12:Philadelphia!K12)</f>
        <v>40</v>
      </c>
      <c r="L12" s="45">
        <f>SUM(Andover!L12:Andover!L12)+SUM(Atlanta!L12:Atlanta!L12)+SUM(Austin!L12:Austin!L12)+SUM(Cincinnati!L12:Cincinnati!L12)+SUM(Fresno!L12:Fresno!L12)+SUM(KC!L12:KC!L12)+SUM(Ogden!L12:Ogden!L12)+SUM(Philadelphia!L12:Philadelphia!L12)</f>
        <v>32</v>
      </c>
      <c r="M12" s="45">
        <f>SUM(Andover!M12:Andover!M12)+SUM(Atlanta!M12:Atlanta!M12)+SUM(Austin!M12:Austin!M12)+SUM(Cincinnati!M12:Cincinnati!M12)+SUM(Fresno!M12:Fresno!M12)+SUM(KC!M12:KC!M12)+SUM(Ogden!M12:Ogden!M12)+SUM(Philadelphia!M12:Philadelphia!M12)</f>
        <v>40</v>
      </c>
      <c r="N12" s="45">
        <f>SUM(Andover!N12:Andover!N12)+SUM(Atlanta!N12:Atlanta!N12)+SUM(Austin!N12:Austin!N12)+SUM(Cincinnati!N12:Cincinnati!N12)+SUM(Fresno!N12:Fresno!N12)+SUM(KC!N12:KC!N12)+SUM(Ogden!N12:Ogden!N12)+SUM(Philadelphia!N12:Philadelphia!N12)</f>
        <v>32</v>
      </c>
      <c r="O12" s="45">
        <f>SUM(Andover!O12:Andover!O12)+SUM(Atlanta!O12:Atlanta!O12)+SUM(Austin!O12:Austin!O12)+SUM(Cincinnati!O12:Cincinnati!O12)+SUM(Fresno!O12:Fresno!O12)+SUM(KC!O12:KC!O12)+SUM(Ogden!O12:Ogden!O12)+SUM(Philadelphia!O12:Philadelphia!O12)</f>
        <v>40</v>
      </c>
      <c r="P12" s="45">
        <f>SUM(D12:O12)</f>
        <v>440</v>
      </c>
      <c r="Q12" s="28" t="s">
        <v>79</v>
      </c>
    </row>
    <row r="13" spans="1:17" s="3" customFormat="1" ht="12">
      <c r="A13" s="24" t="s">
        <v>249</v>
      </c>
      <c r="B13" s="38" t="s">
        <v>62</v>
      </c>
      <c r="C13" s="24" t="s">
        <v>44</v>
      </c>
      <c r="D13" s="45">
        <f>SUM(Andover!D13:Andover!D13)+SUM(Atlanta!D13:Atlanta!D13)+SUM(Austin!D13:Austin!D13)+SUM(Cincinnati!D13:Cincinnati!D13)+SUM(Fresno!D13:Fresno!D13)+SUM(KC!D13:KC!D13)+SUM(Ogden!D13:Ogden!D13)+SUM(Philadelphia!D13:Philadelphia!D13)</f>
        <v>160</v>
      </c>
      <c r="E13" s="45">
        <f>SUM(Andover!E13:Andover!E13)+SUM(Atlanta!E13:Atlanta!E13)+SUM(Austin!E13:Austin!E13)+SUM(Cincinnati!E13:Cincinnati!E13)+SUM(Fresno!E13:Fresno!E13)+SUM(KC!E13:KC!E13)+SUM(Ogden!E13:Ogden!E13)+SUM(Philadelphia!E13:Philadelphia!E13)</f>
        <v>160</v>
      </c>
      <c r="F13" s="45">
        <f>SUM(Andover!F13:Andover!F13)+SUM(Atlanta!F13:Atlanta!F13)+SUM(Austin!F13:Austin!F13)+SUM(Cincinnati!F13:Cincinnati!F13)+SUM(Fresno!F13:Fresno!F13)+SUM(KC!F13:KC!F13)+SUM(Ogden!F13:Ogden!F13)+SUM(Philadelphia!F13:Philadelphia!F13)</f>
        <v>176</v>
      </c>
      <c r="G13" s="45">
        <f>SUM(Andover!G13:Andover!G13)+SUM(Atlanta!G13:Atlanta!G13)+SUM(Austin!G13:Austin!G13)+SUM(Cincinnati!G13:Cincinnati!G13)+SUM(Fresno!G13:Fresno!G13)+SUM(KC!G13:KC!G13)+SUM(Ogden!G13:Ogden!G13)+SUM(Philadelphia!G13:Philadelphia!G13)</f>
        <v>152</v>
      </c>
      <c r="H13" s="45">
        <f>SUM(Andover!H13:Andover!H13)+SUM(Atlanta!H13:Atlanta!H13)+SUM(Austin!H13:Austin!H13)+SUM(Cincinnati!H13:Cincinnati!H13)+SUM(Fresno!H13:Fresno!H13)+SUM(KC!H13:KC!H13)+SUM(Ogden!H13:Ogden!H13)+SUM(Philadelphia!H13:Philadelphia!H13)</f>
        <v>152</v>
      </c>
      <c r="I13" s="45">
        <f>SUM(Andover!I13:Andover!I13)+SUM(Atlanta!I13:Atlanta!I13)+SUM(Austin!I13:Austin!I13)+SUM(Cincinnati!I13:Cincinnati!I13)+SUM(Fresno!I13:Fresno!I13)+SUM(KC!I13:KC!I13)+SUM(Ogden!I13:Ogden!I13)+SUM(Philadelphia!I13:Philadelphia!I13)</f>
        <v>184</v>
      </c>
      <c r="J13" s="45">
        <f>SUM(Andover!J13:Andover!J13)+SUM(Atlanta!J13:Atlanta!J13)+SUM(Austin!J13:Austin!J13)+SUM(Cincinnati!J13:Cincinnati!J13)+SUM(Fresno!J13:Fresno!J13)+SUM(KC!J13:KC!J13)+SUM(Ogden!J13:Ogden!J13)+SUM(Philadelphia!J13:Philadelphia!J13)</f>
        <v>168</v>
      </c>
      <c r="K13" s="45">
        <f>SUM(Andover!K13:Andover!K13)+SUM(Atlanta!K13:Atlanta!K13)+SUM(Austin!K13:Austin!K13)+SUM(Cincinnati!K13:Cincinnati!K13)+SUM(Fresno!K13:Fresno!K13)+SUM(KC!K13:KC!K13)+SUM(Ogden!K13:Ogden!K13)+SUM(Philadelphia!K13:Philadelphia!K13)</f>
        <v>168</v>
      </c>
      <c r="L13" s="45">
        <f>SUM(Andover!L13:Andover!L13)+SUM(Atlanta!L13:Atlanta!L13)+SUM(Austin!L13:Austin!L13)+SUM(Cincinnati!L13:Cincinnati!L13)+SUM(Fresno!L13:Fresno!L13)+SUM(KC!L13:KC!L13)+SUM(Ogden!L13:Ogden!L13)+SUM(Philadelphia!L13:Philadelphia!L13)</f>
        <v>176</v>
      </c>
      <c r="M13" s="45">
        <f>SUM(Andover!M13:Andover!M13)+SUM(Atlanta!M13:Atlanta!M13)+SUM(Austin!M13:Austin!M13)+SUM(Cincinnati!M13:Cincinnati!M13)+SUM(Fresno!M13:Fresno!M13)+SUM(KC!M13:KC!M13)+SUM(Ogden!M13:Ogden!M13)+SUM(Philadelphia!M13:Philadelphia!M13)</f>
        <v>160</v>
      </c>
      <c r="N13" s="45">
        <f>SUM(Andover!N13:Andover!N13)+SUM(Atlanta!N13:Atlanta!N13)+SUM(Austin!N13:Austin!N13)+SUM(Cincinnati!N13:Cincinnati!N13)+SUM(Fresno!N13:Fresno!N13)+SUM(KC!N13:KC!N13)+SUM(Ogden!N13:Ogden!N13)+SUM(Philadelphia!N13:Philadelphia!N13)</f>
        <v>184</v>
      </c>
      <c r="O13" s="45">
        <f>SUM(Andover!O13:Andover!O13)+SUM(Atlanta!O13:Atlanta!O13)+SUM(Austin!O13:Austin!O13)+SUM(Cincinnati!O13:Cincinnati!O13)+SUM(Fresno!O13:Fresno!O13)+SUM(KC!O13:KC!O13)+SUM(Ogden!O13:Ogden!O13)+SUM(Philadelphia!O13:Philadelphia!O13)</f>
        <v>168</v>
      </c>
      <c r="P13" s="43">
        <f>SUM(D13:O13)</f>
        <v>2008</v>
      </c>
      <c r="Q13" s="28" t="s">
        <v>64</v>
      </c>
    </row>
    <row r="14" spans="1:17" s="3" customFormat="1" ht="12">
      <c r="A14" s="24" t="s">
        <v>250</v>
      </c>
      <c r="B14" s="38" t="s">
        <v>63</v>
      </c>
      <c r="C14" s="24" t="s">
        <v>44</v>
      </c>
      <c r="D14" s="45">
        <f>SUM(Andover!D14:Andover!D14)+SUM(Atlanta!D14:Atlanta!D14)+SUM(Austin!D14:Austin!D14)+SUM(Cincinnati!D14:Cincinnati!D14)+SUM(Fresno!D14:Fresno!D14)+SUM(KC!D14:KC!D14)+SUM(Ogden!D14:Ogden!D14)+SUM(Philadelphia!D14:Philadelphia!D14)</f>
        <v>0</v>
      </c>
      <c r="E14" s="45">
        <f>SUM(Andover!E14:Andover!E14)+SUM(Atlanta!E14:Atlanta!E14)+SUM(Austin!E14:Austin!E14)+SUM(Cincinnati!E14:Cincinnati!E14)+SUM(Fresno!E14:Fresno!E14)+SUM(KC!E14:KC!E14)+SUM(Ogden!E14:Ogden!E14)+SUM(Philadelphia!E14:Philadelphia!E14)</f>
        <v>0</v>
      </c>
      <c r="F14" s="45">
        <f>SUM(Andover!F14:Andover!F14)+SUM(Atlanta!F14:Atlanta!F14)+SUM(Austin!F14:Austin!F14)+SUM(Cincinnati!F14:Cincinnati!F14)+SUM(Fresno!F14:Fresno!F14)+SUM(KC!F14:KC!F14)+SUM(Ogden!F14:Ogden!F14)+SUM(Philadelphia!F14:Philadelphia!F14)</f>
        <v>8</v>
      </c>
      <c r="G14" s="45">
        <f>SUM(Andover!G14:Andover!G14)+SUM(Atlanta!G14:Atlanta!G14)+SUM(Austin!G14:Austin!G14)+SUM(Cincinnati!G14:Cincinnati!G14)+SUM(Fresno!G14:Fresno!G14)+SUM(KC!G14:KC!G14)+SUM(Ogden!G14:Ogden!G14)+SUM(Philadelphia!G14:Philadelphia!G14)</f>
        <v>0</v>
      </c>
      <c r="H14" s="45">
        <f>SUM(Andover!H14:Andover!H14)+SUM(Atlanta!H14:Atlanta!H14)+SUM(Austin!H14:Austin!H14)+SUM(Cincinnati!H14:Cincinnati!H14)+SUM(Fresno!H14:Fresno!H14)+SUM(KC!H14:KC!H14)+SUM(Ogden!H14:Ogden!H14)+SUM(Philadelphia!H14:Philadelphia!H14)</f>
        <v>0</v>
      </c>
      <c r="I14" s="45">
        <f>SUM(Andover!I14:Andover!I14)+SUM(Atlanta!I14:Atlanta!I14)+SUM(Austin!I14:Austin!I14)+SUM(Cincinnati!I14:Cincinnati!I14)+SUM(Fresno!I14:Fresno!I14)+SUM(KC!I14:KC!I14)+SUM(Ogden!I14:Ogden!I14)+SUM(Philadelphia!I14:Philadelphia!I14)</f>
        <v>8</v>
      </c>
      <c r="J14" s="45">
        <f>SUM(Andover!J14:Andover!J14)+SUM(Atlanta!J14:Atlanta!J14)+SUM(Austin!J14:Austin!J14)+SUM(Cincinnati!J14:Cincinnati!J14)+SUM(Fresno!J14:Fresno!J14)+SUM(KC!J14:KC!J14)+SUM(Ogden!J14:Ogden!J14)+SUM(Philadelphia!J14:Philadelphia!J14)</f>
        <v>0</v>
      </c>
      <c r="K14" s="45">
        <f>SUM(Andover!K14:Andover!K14)+SUM(Atlanta!K14:Atlanta!K14)+SUM(Austin!K14:Austin!K14)+SUM(Cincinnati!K14:Cincinnati!K14)+SUM(Fresno!K14:Fresno!K14)+SUM(KC!K14:KC!K14)+SUM(Ogden!K14:Ogden!K14)+SUM(Philadelphia!K14:Philadelphia!K14)</f>
        <v>0</v>
      </c>
      <c r="L14" s="45">
        <f>SUM(Andover!L14:Andover!L14)+SUM(Atlanta!L14:Atlanta!L14)+SUM(Austin!L14:Austin!L14)+SUM(Cincinnati!L14:Cincinnati!L14)+SUM(Fresno!L14:Fresno!L14)+SUM(KC!L14:KC!L14)+SUM(Ogden!L14:Ogden!L14)+SUM(Philadelphia!L14:Philadelphia!L14)</f>
        <v>8</v>
      </c>
      <c r="M14" s="45">
        <f>SUM(Andover!M14:Andover!M14)+SUM(Atlanta!M14:Atlanta!M14)+SUM(Austin!M14:Austin!M14)+SUM(Cincinnati!M14:Cincinnati!M14)+SUM(Fresno!M14:Fresno!M14)+SUM(KC!M14:KC!M14)+SUM(Ogden!M14:Ogden!M14)+SUM(Philadelphia!M14:Philadelphia!M14)</f>
        <v>0</v>
      </c>
      <c r="N14" s="45">
        <f>SUM(Andover!N14:Andover!N14)+SUM(Atlanta!N14:Atlanta!N14)+SUM(Austin!N14:Austin!N14)+SUM(Cincinnati!N14:Cincinnati!N14)+SUM(Fresno!N14:Fresno!N14)+SUM(KC!N14:KC!N14)+SUM(Ogden!N14:Ogden!N14)+SUM(Philadelphia!N14:Philadelphia!N14)</f>
        <v>0</v>
      </c>
      <c r="O14" s="45">
        <f>SUM(Andover!O14:Andover!O14)+SUM(Atlanta!O14:Atlanta!O14)+SUM(Austin!O14:Austin!O14)+SUM(Cincinnati!O14:Cincinnati!O14)+SUM(Fresno!O14:Fresno!O14)+SUM(KC!O14:KC!O14)+SUM(Ogden!O14:Ogden!O14)+SUM(Philadelphia!O14:Philadelphia!O14)</f>
        <v>8</v>
      </c>
      <c r="P14" s="43">
        <f>SUM(D14:O14)</f>
        <v>32</v>
      </c>
      <c r="Q14" s="28" t="s">
        <v>78</v>
      </c>
    </row>
    <row r="15" spans="1:17" s="3" customFormat="1" ht="12">
      <c r="A15" s="19" t="s">
        <v>251</v>
      </c>
      <c r="B15" s="15"/>
      <c r="C15" s="16"/>
      <c r="D15" s="17"/>
      <c r="E15" s="17"/>
      <c r="F15" s="17"/>
      <c r="G15" s="17"/>
      <c r="H15" s="17"/>
      <c r="I15" s="17"/>
      <c r="J15" s="17"/>
      <c r="K15" s="17"/>
      <c r="L15" s="17"/>
      <c r="M15" s="17"/>
      <c r="N15" s="17"/>
      <c r="O15" s="17"/>
      <c r="P15" s="49"/>
      <c r="Q15" s="66"/>
    </row>
    <row r="16" spans="1:17" s="85" customFormat="1" ht="89.25" customHeight="1">
      <c r="A16" s="84">
        <v>5.4</v>
      </c>
      <c r="B16" s="34" t="s">
        <v>45</v>
      </c>
      <c r="C16" s="27" t="s">
        <v>46</v>
      </c>
      <c r="D16" s="45">
        <f>SUM(Andover!D16:Andover!D16)+SUM(Atlanta!D16:Atlanta!D16)+SUM(Austin!D16:Austin!D16)+SUM(Cincinnati!D16:Cincinnati!D16)+SUM(Fresno!D16:Fresno!D16)+SUM(KC!D16:KC!D16)+SUM(Ogden!D16:Ogden!D16)+SUM(Philadelphia!D16:Philadelphia!D16)</f>
        <v>10610049.5966</v>
      </c>
      <c r="E16" s="45">
        <f>SUM(Andover!E16:Andover!E16)+SUM(Atlanta!E16:Atlanta!E16)+SUM(Austin!E16:Austin!E16)+SUM(Cincinnati!E16:Cincinnati!E16)+SUM(Fresno!E16:Fresno!E16)+SUM(KC!E16:KC!E16)+SUM(Ogden!E16:Ogden!E16)+SUM(Philadelphia!E16:Philadelphia!E16)</f>
        <v>7765134.5663</v>
      </c>
      <c r="F16" s="45">
        <f>SUM(Andover!F16:Andover!F16)+SUM(Atlanta!F16:Atlanta!F16)+SUM(Austin!F16:Austin!F16)+SUM(Cincinnati!F16:Cincinnati!F16)+SUM(Fresno!F16:Fresno!F16)+SUM(KC!F16:KC!F16)+SUM(Ogden!F16:Ogden!F16)+SUM(Philadelphia!F16:Philadelphia!F16)</f>
        <v>7803544.021399999</v>
      </c>
      <c r="G16" s="45">
        <f>SUM(Andover!G16:Andover!G16)+SUM(Atlanta!G16:Atlanta!G16)+SUM(Austin!G16:Austin!G16)+SUM(Cincinnati!G16:Cincinnati!G16)+SUM(Fresno!G16:Fresno!G16)+SUM(KC!G16:KC!G16)+SUM(Ogden!G16:Ogden!G16)+SUM(Philadelphia!G16:Philadelphia!G16)</f>
        <v>6907520.2984</v>
      </c>
      <c r="H16" s="45">
        <f>SUM(Andover!H16:Andover!H16)+SUM(Atlanta!H16:Atlanta!H16)+SUM(Austin!H16:Austin!H16)+SUM(Cincinnati!H16:Cincinnati!H16)+SUM(Fresno!H16:Fresno!H16)+SUM(KC!H16:KC!H16)+SUM(Ogden!H16:Ogden!H16)+SUM(Philadelphia!H16:Philadelphia!H16)</f>
        <v>6621472.4071</v>
      </c>
      <c r="I16" s="45">
        <f>SUM(Andover!I16:Andover!I16)+SUM(Atlanta!I16:Atlanta!I16)+SUM(Austin!I16:Austin!I16)+SUM(Cincinnati!I16:Cincinnati!I16)+SUM(Fresno!I16:Fresno!I16)+SUM(KC!I16:KC!I16)+SUM(Ogden!I16:Ogden!I16)+SUM(Philadelphia!I16:Philadelphia!I16)</f>
        <v>9276468.0624</v>
      </c>
      <c r="J16" s="45">
        <f>SUM(Andover!J16:Andover!J16)+SUM(Atlanta!J16:Atlanta!J16)+SUM(Austin!J16:Austin!J16)+SUM(Cincinnati!J16:Cincinnati!J16)+SUM(Fresno!J16:Fresno!J16)+SUM(KC!J16:KC!J16)+SUM(Ogden!J16:Ogden!J16)+SUM(Philadelphia!J16:Philadelphia!J16)</f>
        <v>10311687.516199999</v>
      </c>
      <c r="K16" s="45">
        <f>SUM(Andover!K16:Andover!K16)+SUM(Atlanta!K16:Atlanta!K16)+SUM(Austin!K16:Austin!K16)+SUM(Cincinnati!K16:Cincinnati!K16)+SUM(Fresno!K16:Fresno!K16)+SUM(KC!K16:KC!K16)+SUM(Ogden!K16:Ogden!K16)+SUM(Philadelphia!K16:Philadelphia!K16)</f>
        <v>13425082.245299999</v>
      </c>
      <c r="L16" s="45">
        <f>SUM(Andover!L16:Andover!L16)+SUM(Atlanta!L16:Atlanta!L16)+SUM(Austin!L16:Austin!L16)+SUM(Cincinnati!L16:Cincinnati!L16)+SUM(Fresno!L16:Fresno!L16)+SUM(KC!L16:KC!L16)+SUM(Ogden!L16:Ogden!L16)+SUM(Philadelphia!L16:Philadelphia!L16)</f>
        <v>10572288.521599999</v>
      </c>
      <c r="M16" s="45">
        <f>SUM(Andover!M16:Andover!M16)+SUM(Atlanta!M16:Atlanta!M16)+SUM(Austin!M16:Austin!M16)+SUM(Cincinnati!M16:Cincinnati!M16)+SUM(Fresno!M16:Fresno!M16)+SUM(KC!M16:KC!M16)+SUM(Ogden!M16:Ogden!M16)+SUM(Philadelphia!M16:Philadelphia!M16)</f>
        <v>10930181.981199998</v>
      </c>
      <c r="N16" s="45">
        <f>SUM(Andover!N16:Andover!N16)+SUM(Atlanta!N16:Atlanta!N16)+SUM(Austin!N16:Austin!N16)+SUM(Cincinnati!N16:Cincinnati!N16)+SUM(Fresno!N16:Fresno!N16)+SUM(KC!N16:KC!N16)+SUM(Ogden!N16:Ogden!N16)+SUM(Philadelphia!N16:Philadelphia!N16)</f>
        <v>8027167.809</v>
      </c>
      <c r="O16" s="45">
        <f>SUM(Andover!O16:Andover!O16)+SUM(Atlanta!O16:Atlanta!O16)+SUM(Austin!O16:Austin!O16)+SUM(Cincinnati!O16:Cincinnati!O16)+SUM(Fresno!O16:Fresno!O16)+SUM(KC!O16:KC!O16)+SUM(Ogden!O16:Ogden!O16)+SUM(Philadelphia!O16:Philadelphia!O16)</f>
        <v>7573590.270999999</v>
      </c>
      <c r="P16" s="45">
        <f>SUM(D16:O16)</f>
        <v>109824187.29649998</v>
      </c>
      <c r="Q16" s="7" t="s">
        <v>95</v>
      </c>
    </row>
    <row r="17" spans="1:17" s="3" customFormat="1" ht="12">
      <c r="A17" s="208" t="s">
        <v>252</v>
      </c>
      <c r="B17" s="209"/>
      <c r="C17" s="209"/>
      <c r="D17" s="209"/>
      <c r="E17" s="209"/>
      <c r="F17" s="209"/>
      <c r="G17" s="209"/>
      <c r="H17" s="209"/>
      <c r="I17" s="209"/>
      <c r="J17" s="209"/>
      <c r="K17" s="209"/>
      <c r="L17" s="209"/>
      <c r="M17" s="209"/>
      <c r="N17" s="209"/>
      <c r="O17" s="209"/>
      <c r="P17" s="209"/>
      <c r="Q17" s="210"/>
    </row>
    <row r="18" spans="1:17" s="2" customFormat="1" ht="12">
      <c r="A18" s="4" t="s">
        <v>21</v>
      </c>
      <c r="B18" s="5" t="s">
        <v>18</v>
      </c>
      <c r="C18" s="40"/>
      <c r="D18" s="41"/>
      <c r="E18" s="41"/>
      <c r="F18" s="41"/>
      <c r="G18" s="41"/>
      <c r="H18" s="41"/>
      <c r="I18" s="41"/>
      <c r="J18" s="41"/>
      <c r="K18" s="41"/>
      <c r="L18" s="41"/>
      <c r="M18" s="41"/>
      <c r="N18" s="41"/>
      <c r="O18" s="41"/>
      <c r="P18" s="50"/>
      <c r="Q18" s="40"/>
    </row>
    <row r="19" spans="1:17" s="2" customFormat="1" ht="12">
      <c r="A19" s="21" t="s">
        <v>253</v>
      </c>
      <c r="B19" s="5" t="s">
        <v>149</v>
      </c>
      <c r="C19" s="40"/>
      <c r="D19" s="40"/>
      <c r="E19" s="40"/>
      <c r="F19" s="40"/>
      <c r="G19" s="40"/>
      <c r="H19" s="40"/>
      <c r="I19" s="40"/>
      <c r="J19" s="40"/>
      <c r="K19" s="40"/>
      <c r="L19" s="40"/>
      <c r="M19" s="40"/>
      <c r="N19" s="40"/>
      <c r="O19" s="40"/>
      <c r="P19" s="40"/>
      <c r="Q19" s="40"/>
    </row>
    <row r="20" spans="1:17" s="2" customFormat="1" ht="94.5" customHeight="1">
      <c r="A20" s="23" t="s">
        <v>254</v>
      </c>
      <c r="B20" s="7" t="s">
        <v>110</v>
      </c>
      <c r="C20" s="27" t="s">
        <v>47</v>
      </c>
      <c r="D20" s="45">
        <f>SUM(Andover!D20:Andover!D20)+SUM(Atlanta!D20:Atlanta!D20)+SUM(Austin!D20:Austin!D20)+SUM(Cincinnati!D20:Cincinnati!D20)+SUM(Fresno!D20:Fresno!D20)+SUM(KC!D20:KC!D20)+SUM(Ogden!D20:Ogden!D20)+SUM(Philadelphia!D20:Philadelphia!D20)</f>
        <v>3512012.5025000004</v>
      </c>
      <c r="E20" s="45">
        <f>SUM(Andover!E20:Andover!E20)+SUM(Atlanta!E20:Atlanta!E20)+SUM(Austin!E20:Austin!E20)+SUM(Cincinnati!E20:Cincinnati!E20)+SUM(Fresno!E20:Fresno!E20)+SUM(KC!E20:KC!E20)+SUM(Ogden!E20:Ogden!E20)+SUM(Philadelphia!E20:Philadelphia!E20)</f>
        <v>1700204.6191000002</v>
      </c>
      <c r="F20" s="45">
        <f>SUM(Andover!F20:Andover!F20)+SUM(Atlanta!F20:Atlanta!F20)+SUM(Austin!F20:Austin!F20)+SUM(Cincinnati!F20:Cincinnati!F20)+SUM(Fresno!F20:Fresno!F20)+SUM(KC!F20:KC!F20)+SUM(Ogden!F20:Ogden!F20)+SUM(Philadelphia!F20:Philadelphia!F20)</f>
        <v>955150.5807999999</v>
      </c>
      <c r="G20" s="45">
        <f>SUM(Andover!G20:Andover!G20)+SUM(Atlanta!G20:Atlanta!G20)+SUM(Austin!G20:Austin!G20)+SUM(Cincinnati!G20:Cincinnati!G20)+SUM(Fresno!G20:Fresno!G20)+SUM(KC!G20:KC!G20)+SUM(Ogden!G20:Ogden!G20)+SUM(Philadelphia!G20:Philadelphia!G20)</f>
        <v>1898426.8874</v>
      </c>
      <c r="H20" s="45">
        <f>SUM(Andover!H20:Andover!H20)+SUM(Atlanta!H20:Atlanta!H20)+SUM(Austin!H20:Austin!H20)+SUM(Cincinnati!H20:Cincinnati!H20)+SUM(Fresno!H20:Fresno!H20)+SUM(KC!H20:KC!H20)+SUM(Ogden!H20:Ogden!H20)+SUM(Philadelphia!H20:Philadelphia!H20)</f>
        <v>5779705.9968</v>
      </c>
      <c r="I20" s="45">
        <f>SUM(Andover!I20:Andover!I20)+SUM(Atlanta!I20:Atlanta!I20)+SUM(Austin!I20:Austin!I20)+SUM(Cincinnati!I20:Cincinnati!I20)+SUM(Fresno!I20:Fresno!I20)+SUM(KC!I20:KC!I20)+SUM(Ogden!I20:Ogden!I20)+SUM(Philadelphia!I20:Philadelphia!I20)</f>
        <v>14274832.867500002</v>
      </c>
      <c r="J20" s="45">
        <f>SUM(Andover!J20:Andover!J20)+SUM(Atlanta!J20:Atlanta!J20)+SUM(Austin!J20:Austin!J20)+SUM(Cincinnati!J20:Cincinnati!J20)+SUM(Fresno!J20:Fresno!J20)+SUM(KC!J20:KC!J20)+SUM(Ogden!J20:Ogden!J20)+SUM(Philadelphia!J20:Philadelphia!J20)</f>
        <v>13166788.0577</v>
      </c>
      <c r="K20" s="45">
        <f>SUM(Andover!K20:Andover!K20)+SUM(Atlanta!K20:Atlanta!K20)+SUM(Austin!K20:Austin!K20)+SUM(Cincinnati!K20:Cincinnati!K20)+SUM(Fresno!K20:Fresno!K20)+SUM(KC!K20:KC!K20)+SUM(Ogden!K20:Ogden!K20)+SUM(Philadelphia!K20:Philadelphia!K20)</f>
        <v>31173206.8458</v>
      </c>
      <c r="L20" s="45">
        <f>SUM(Andover!L20:Andover!L20)+SUM(Atlanta!L20:Atlanta!L20)+SUM(Austin!L20:Austin!L20)+SUM(Cincinnati!L20:Cincinnati!L20)+SUM(Fresno!L20:Fresno!L20)+SUM(KC!L20:KC!L20)+SUM(Ogden!L20:Ogden!L20)+SUM(Philadelphia!L20:Philadelphia!L20)</f>
        <v>8914727.4537</v>
      </c>
      <c r="M20" s="45">
        <f>SUM(Andover!M20:Andover!M20)+SUM(Atlanta!M20:Atlanta!M20)+SUM(Austin!M20:Austin!M20)+SUM(Cincinnati!M20:Cincinnati!M20)+SUM(Fresno!M20:Fresno!M20)+SUM(KC!M20:KC!M20)+SUM(Ogden!M20:Ogden!M20)+SUM(Philadelphia!M20:Philadelphia!M20)</f>
        <v>3643914.3292999994</v>
      </c>
      <c r="N20" s="45">
        <f>SUM(Andover!N20:Andover!N20)+SUM(Atlanta!N20:Atlanta!N20)+SUM(Austin!N20:Austin!N20)+SUM(Cincinnati!N20:Cincinnati!N20)+SUM(Fresno!N20:Fresno!N20)+SUM(KC!N20:KC!N20)+SUM(Ogden!N20:Ogden!N20)+SUM(Philadelphia!N20:Philadelphia!N20)</f>
        <v>2251154.8044</v>
      </c>
      <c r="O20" s="45">
        <f>SUM(Andover!O20:Andover!O20)+SUM(Atlanta!O20:Atlanta!O20)+SUM(Austin!O20:Austin!O20)+SUM(Cincinnati!O20:Cincinnati!O20)+SUM(Fresno!O20:Fresno!O20)+SUM(KC!O20:KC!O20)+SUM(Ogden!O20:Ogden!O20)+SUM(Philadelphia!O20:Philadelphia!O20)</f>
        <v>9355286.012600001</v>
      </c>
      <c r="P20" s="57">
        <f aca="true" t="shared" si="0" ref="P20:P30">SUM(D20:O20)</f>
        <v>96625410.95760001</v>
      </c>
      <c r="Q20" s="7" t="s">
        <v>221</v>
      </c>
    </row>
    <row r="21" spans="1:17" s="11" customFormat="1" ht="96">
      <c r="A21" s="23" t="s">
        <v>254</v>
      </c>
      <c r="B21" s="7" t="s">
        <v>110</v>
      </c>
      <c r="C21" s="27" t="s">
        <v>48</v>
      </c>
      <c r="D21" s="45">
        <f>SUM(Andover!D21:Andover!D21)+SUM(Atlanta!D21:Atlanta!D21)+SUM(Austin!D21:Austin!D21)+SUM(Cincinnati!D21:Cincinnati!D21)+SUM(Fresno!D21:Fresno!D21)+SUM(KC!D21:KC!D21)+SUM(Ogden!D21:Ogden!D21)+SUM(Philadelphia!D21:Philadelphia!D21)</f>
        <v>3586332.9863</v>
      </c>
      <c r="E21" s="45">
        <f>SUM(Andover!E21:Andover!E21)+SUM(Atlanta!E21:Atlanta!E21)+SUM(Austin!E21:Austin!E21)+SUM(Cincinnati!E21:Cincinnati!E21)+SUM(Fresno!E21:Fresno!E21)+SUM(KC!E21:KC!E21)+SUM(Ogden!E21:Ogden!E21)+SUM(Philadelphia!E21:Philadelphia!E21)</f>
        <v>3719547.2359999996</v>
      </c>
      <c r="F21" s="45">
        <f>SUM(Andover!F21:Andover!F21)+SUM(Atlanta!F21:Atlanta!F21)+SUM(Austin!F21:Austin!F21)+SUM(Cincinnati!F21:Cincinnati!F21)+SUM(Fresno!F21:Fresno!F21)+SUM(KC!F21:KC!F21)+SUM(Ogden!F21:Ogden!F21)+SUM(Philadelphia!F21:Philadelphia!F21)</f>
        <v>2449575.8559</v>
      </c>
      <c r="G21" s="45">
        <f>SUM(Andover!G21:Andover!G21)+SUM(Atlanta!G21:Atlanta!G21)+SUM(Austin!G21:Austin!G21)+SUM(Cincinnati!G21:Cincinnati!G21)+SUM(Fresno!G21:Fresno!G21)+SUM(KC!G21:KC!G21)+SUM(Ogden!G21:Ogden!G21)+SUM(Philadelphia!G21:Philadelphia!G21)</f>
        <v>656479.3903</v>
      </c>
      <c r="H21" s="45">
        <f>SUM(Andover!H21:Andover!H21)+SUM(Atlanta!H21:Atlanta!H21)+SUM(Austin!H21:Austin!H21)+SUM(Cincinnati!H21:Cincinnati!H21)+SUM(Fresno!H21:Fresno!H21)+SUM(KC!H21:KC!H21)+SUM(Ogden!H21:Ogden!H21)+SUM(Philadelphia!H21:Philadelphia!H21)</f>
        <v>5494256.5155</v>
      </c>
      <c r="I21" s="45">
        <f>SUM(Andover!I21:Andover!I21)+SUM(Atlanta!I21:Atlanta!I21)+SUM(Austin!I21:Austin!I21)+SUM(Cincinnati!I21:Cincinnati!I21)+SUM(Fresno!I21:Fresno!I21)+SUM(KC!I21:KC!I21)+SUM(Ogden!I21:Ogden!I21)+SUM(Philadelphia!I21:Philadelphia!I21)</f>
        <v>8489779.7029</v>
      </c>
      <c r="J21" s="45">
        <f>SUM(Andover!J21:Andover!J21)+SUM(Atlanta!J21:Atlanta!J21)+SUM(Austin!J21:Austin!J21)+SUM(Cincinnati!J21:Cincinnati!J21)+SUM(Fresno!J21:Fresno!J21)+SUM(KC!J21:KC!J21)+SUM(Ogden!J21:Ogden!J21)+SUM(Philadelphia!J21:Philadelphia!J21)</f>
        <v>4602977.9338</v>
      </c>
      <c r="K21" s="45">
        <f>SUM(Andover!K21:Andover!K21)+SUM(Atlanta!K21:Atlanta!K21)+SUM(Austin!K21:Austin!K21)+SUM(Cincinnati!K21:Cincinnati!K21)+SUM(Fresno!K21:Fresno!K21)+SUM(KC!K21:KC!K21)+SUM(Ogden!K21:Ogden!K21)+SUM(Philadelphia!K21:Philadelphia!K21)</f>
        <v>6536147.5131</v>
      </c>
      <c r="L21" s="45">
        <f>SUM(Andover!L21:Andover!L21)+SUM(Atlanta!L21:Atlanta!L21)+SUM(Austin!L21:Austin!L21)+SUM(Cincinnati!L21:Cincinnati!L21)+SUM(Fresno!L21:Fresno!L21)+SUM(KC!L21:KC!L21)+SUM(Ogden!L21:Ogden!L21)+SUM(Philadelphia!L21:Philadelphia!L21)</f>
        <v>5663843.2226</v>
      </c>
      <c r="M21" s="45">
        <f>SUM(Andover!M21:Andover!M21)+SUM(Atlanta!M21:Atlanta!M21)+SUM(Austin!M21:Austin!M21)+SUM(Cincinnati!M21:Cincinnati!M21)+SUM(Fresno!M21:Fresno!M21)+SUM(KC!M21:KC!M21)+SUM(Ogden!M21:Ogden!M21)+SUM(Philadelphia!M21:Philadelphia!M21)</f>
        <v>3640427.5675999997</v>
      </c>
      <c r="N21" s="45">
        <f>SUM(Andover!N21:Andover!N21)+SUM(Atlanta!N21:Atlanta!N21)+SUM(Austin!N21:Austin!N21)+SUM(Cincinnati!N21:Cincinnati!N21)+SUM(Fresno!N21:Fresno!N21)+SUM(KC!N21:KC!N21)+SUM(Ogden!N21:Ogden!N21)+SUM(Philadelphia!N21:Philadelphia!N21)</f>
        <v>4026125.9121999997</v>
      </c>
      <c r="O21" s="45">
        <f>SUM(Andover!O21:Andover!O21)+SUM(Atlanta!O21:Atlanta!O21)+SUM(Austin!O21:Austin!O21)+SUM(Cincinnati!O21:Cincinnati!O21)+SUM(Fresno!O21:Fresno!O21)+SUM(KC!O21:KC!O21)+SUM(Ogden!O21:Ogden!O21)+SUM(Philadelphia!O21:Philadelphia!O21)</f>
        <v>2649447.4713</v>
      </c>
      <c r="P21" s="57">
        <f t="shared" si="0"/>
        <v>51514941.30749999</v>
      </c>
      <c r="Q21" s="7" t="s">
        <v>217</v>
      </c>
    </row>
    <row r="22" spans="1:17" s="2" customFormat="1" ht="123" customHeight="1">
      <c r="A22" s="23" t="s">
        <v>254</v>
      </c>
      <c r="B22" s="7" t="s">
        <v>110</v>
      </c>
      <c r="C22" s="27" t="s">
        <v>144</v>
      </c>
      <c r="D22" s="45">
        <f>SUM(Andover!D22:Andover!D22)+SUM(Atlanta!D22:Atlanta!D22)+SUM(Austin!D22:Austin!D22)+SUM(Cincinnati!D22:Cincinnati!D22)+SUM(Fresno!D22:Fresno!D22)+SUM(KC!D22:KC!D22)+SUM(Ogden!D22:Ogden!D22)+SUM(Philadelphia!D22:Philadelphia!D22)</f>
        <v>132853.45500000002</v>
      </c>
      <c r="E22" s="45">
        <f>SUM(Andover!E22:Andover!E22)+SUM(Atlanta!E22:Atlanta!E22)+SUM(Austin!E22:Austin!E22)+SUM(Cincinnati!E22:Cincinnati!E22)+SUM(Fresno!E22:Fresno!E22)+SUM(KC!E22:KC!E22)+SUM(Ogden!E22:Ogden!E22)+SUM(Philadelphia!E22:Philadelphia!E22)</f>
        <v>55338.0744</v>
      </c>
      <c r="F22" s="45">
        <f>SUM(Andover!F22:Andover!F22)+SUM(Atlanta!F22:Atlanta!F22)+SUM(Austin!F22:Austin!F22)+SUM(Cincinnati!F22:Cincinnati!F22)+SUM(Fresno!F22:Fresno!F22)+SUM(KC!F22:KC!F22)+SUM(Ogden!F22:Ogden!F22)+SUM(Philadelphia!F22:Philadelphia!F22)</f>
        <v>26833.814</v>
      </c>
      <c r="G22" s="45">
        <f>SUM(Andover!G22:Andover!G22)+SUM(Atlanta!G22:Atlanta!G22)+SUM(Austin!G22:Austin!G22)+SUM(Cincinnati!G22:Cincinnati!G22)+SUM(Fresno!G22:Fresno!G22)+SUM(KC!G22:KC!G22)+SUM(Ogden!G22:Ogden!G22)+SUM(Philadelphia!G22:Philadelphia!G22)</f>
        <v>47556.25</v>
      </c>
      <c r="H22" s="45">
        <f>SUM(Andover!H22:Andover!H22)+SUM(Atlanta!H22:Atlanta!H22)+SUM(Austin!H22:Austin!H22)+SUM(Cincinnati!H22:Cincinnati!H22)+SUM(Fresno!H22:Fresno!H22)+SUM(KC!H22:KC!H22)+SUM(Ogden!H22:Ogden!H22)+SUM(Philadelphia!H22:Philadelphia!H22)</f>
        <v>559737.304</v>
      </c>
      <c r="I22" s="45">
        <f>SUM(Andover!I22:Andover!I22)+SUM(Atlanta!I22:Atlanta!I22)+SUM(Austin!I22:Austin!I22)+SUM(Cincinnati!I22:Cincinnati!I22)+SUM(Fresno!I22:Fresno!I22)+SUM(KC!I22:KC!I22)+SUM(Ogden!I22:Ogden!I22)+SUM(Philadelphia!I22:Philadelphia!I22)</f>
        <v>6697991.3994</v>
      </c>
      <c r="J22" s="45">
        <f>SUM(Andover!J22:Andover!J22)+SUM(Atlanta!J22:Atlanta!J22)+SUM(Austin!J22:Austin!J22)+SUM(Cincinnati!J22:Cincinnati!J22)+SUM(Fresno!J22:Fresno!J22)+SUM(KC!J22:KC!J22)+SUM(Ogden!J22:Ogden!J22)+SUM(Philadelphia!J22:Philadelphia!J22)</f>
        <v>2726553.4632</v>
      </c>
      <c r="K22" s="45">
        <f>SUM(Andover!K22:Andover!K22)+SUM(Atlanta!K22:Atlanta!K22)+SUM(Austin!K22:Austin!K22)+SUM(Cincinnati!K22:Cincinnati!K22)+SUM(Fresno!K22:Fresno!K22)+SUM(KC!K22:KC!K22)+SUM(Ogden!K22:Ogden!K22)+SUM(Philadelphia!K22:Philadelphia!K22)</f>
        <v>4072393.7394000003</v>
      </c>
      <c r="L22" s="45">
        <f>SUM(Andover!L22:Andover!L22)+SUM(Atlanta!L22:Atlanta!L22)+SUM(Austin!L22:Austin!L22)+SUM(Cincinnati!L22:Cincinnati!L22)+SUM(Fresno!L22:Fresno!L22)+SUM(KC!L22:KC!L22)+SUM(Ogden!L22:Ogden!L22)+SUM(Philadelphia!L22:Philadelphia!L22)</f>
        <v>480559.0062</v>
      </c>
      <c r="M22" s="45">
        <f>SUM(Andover!M22:Andover!M22)+SUM(Atlanta!M22:Atlanta!M22)+SUM(Austin!M22:Austin!M22)+SUM(Cincinnati!M22:Cincinnati!M22)+SUM(Fresno!M22:Fresno!M22)+SUM(KC!M22:KC!M22)+SUM(Ogden!M22:Ogden!M22)+SUM(Philadelphia!M22:Philadelphia!M22)</f>
        <v>142543.338</v>
      </c>
      <c r="N22" s="45">
        <f>SUM(Andover!N22:Andover!N22)+SUM(Atlanta!N22:Atlanta!N22)+SUM(Austin!N22:Austin!N22)+SUM(Cincinnati!N22:Cincinnati!N22)+SUM(Fresno!N22:Fresno!N22)+SUM(KC!N22:KC!N22)+SUM(Ogden!N22:Ogden!N22)+SUM(Philadelphia!N22:Philadelphia!N22)</f>
        <v>347603.5822</v>
      </c>
      <c r="O22" s="45">
        <f>SUM(Andover!O22:Andover!O22)+SUM(Atlanta!O22:Atlanta!O22)+SUM(Austin!O22:Austin!O22)+SUM(Cincinnati!O22:Cincinnati!O22)+SUM(Fresno!O22:Fresno!O22)+SUM(KC!O22:KC!O22)+SUM(Ogden!O22:Ogden!O22)+SUM(Philadelphia!O22:Philadelphia!O22)</f>
        <v>317341.2046</v>
      </c>
      <c r="P22" s="45">
        <f t="shared" si="0"/>
        <v>15607304.630400002</v>
      </c>
      <c r="Q22" s="7" t="s">
        <v>192</v>
      </c>
    </row>
    <row r="23" spans="1:17" s="2" customFormat="1" ht="96">
      <c r="A23" s="23" t="s">
        <v>254</v>
      </c>
      <c r="B23" s="7" t="s">
        <v>110</v>
      </c>
      <c r="C23" s="27" t="s">
        <v>49</v>
      </c>
      <c r="D23" s="45">
        <f>SUM(Andover!D23:Andover!D23)+SUM(Atlanta!D23:Atlanta!D23)+SUM(Austin!D23:Austin!D23)+SUM(Cincinnati!D23:Cincinnati!D23)+SUM(Fresno!D23:Fresno!D23)+SUM(KC!D23:KC!D23)+SUM(Ogden!D23:Ogden!D23)+SUM(Philadelphia!D23:Philadelphia!D23)</f>
        <v>106194.39529999999</v>
      </c>
      <c r="E23" s="45">
        <f>SUM(Andover!E23:Andover!E23)+SUM(Atlanta!E23:Atlanta!E23)+SUM(Austin!E23:Austin!E23)+SUM(Cincinnati!E23:Cincinnati!E23)+SUM(Fresno!E23:Fresno!E23)+SUM(KC!E23:KC!E23)+SUM(Ogden!E23:Ogden!E23)+SUM(Philadelphia!E23:Philadelphia!E23)</f>
        <v>58813.795099999996</v>
      </c>
      <c r="F23" s="45">
        <f>SUM(Andover!F23:Andover!F23)+SUM(Atlanta!F23:Atlanta!F23)+SUM(Austin!F23:Austin!F23)+SUM(Cincinnati!F23:Cincinnati!F23)+SUM(Fresno!F23:Fresno!F23)+SUM(KC!F23:KC!F23)+SUM(Ogden!F23:Ogden!F23)+SUM(Philadelphia!F23:Philadelphia!F23)</f>
        <v>55450.1054</v>
      </c>
      <c r="G23" s="45">
        <f>SUM(Andover!G23:Andover!G23)+SUM(Atlanta!G23:Atlanta!G23)+SUM(Austin!G23:Austin!G23)+SUM(Cincinnati!G23:Cincinnati!G23)+SUM(Fresno!G23:Fresno!G23)+SUM(KC!G23:KC!G23)+SUM(Ogden!G23:Ogden!G23)+SUM(Philadelphia!G23:Philadelphia!G23)</f>
        <v>83567.7456</v>
      </c>
      <c r="H23" s="45">
        <f>SUM(Andover!H23:Andover!H23)+SUM(Atlanta!H23:Atlanta!H23)+SUM(Austin!H23:Austin!H23)+SUM(Cincinnati!H23:Cincinnati!H23)+SUM(Fresno!H23:Fresno!H23)+SUM(KC!H23:KC!H23)+SUM(Ogden!H23:Ogden!H23)+SUM(Philadelphia!H23:Philadelphia!H23)</f>
        <v>44275.4948</v>
      </c>
      <c r="I23" s="45">
        <f>SUM(Andover!I23:Andover!I23)+SUM(Atlanta!I23:Atlanta!I23)+SUM(Austin!I23:Austin!I23)+SUM(Cincinnati!I23:Cincinnati!I23)+SUM(Fresno!I23:Fresno!I23)+SUM(KC!I23:KC!I23)+SUM(Ogden!I23:Ogden!I23)+SUM(Philadelphia!I23:Philadelphia!I23)</f>
        <v>97724.9743</v>
      </c>
      <c r="J23" s="45">
        <f>SUM(Andover!J23:Andover!J23)+SUM(Atlanta!J23:Atlanta!J23)+SUM(Austin!J23:Austin!J23)+SUM(Cincinnati!J23:Cincinnati!J23)+SUM(Fresno!J23:Fresno!J23)+SUM(KC!J23:KC!J23)+SUM(Ogden!J23:Ogden!J23)+SUM(Philadelphia!J23:Philadelphia!J23)</f>
        <v>126172.38799999999</v>
      </c>
      <c r="K23" s="45">
        <f>SUM(Andover!K23:Andover!K23)+SUM(Atlanta!K23:Atlanta!K23)+SUM(Austin!K23:Austin!K23)+SUM(Cincinnati!K23:Cincinnati!K23)+SUM(Fresno!K23:Fresno!K23)+SUM(KC!K23:KC!K23)+SUM(Ogden!K23:Ogden!K23)+SUM(Philadelphia!K23:Philadelphia!K23)</f>
        <v>188606.3633</v>
      </c>
      <c r="L23" s="45">
        <f>SUM(Andover!L23:Andover!L23)+SUM(Atlanta!L23:Atlanta!L23)+SUM(Austin!L23:Austin!L23)+SUM(Cincinnati!L23:Cincinnati!L23)+SUM(Fresno!L23:Fresno!L23)+SUM(KC!L23:KC!L23)+SUM(Ogden!L23:Ogden!L23)+SUM(Philadelphia!L23:Philadelphia!L23)</f>
        <v>89096.4245</v>
      </c>
      <c r="M23" s="45">
        <f>SUM(Andover!M23:Andover!M23)+SUM(Atlanta!M23:Atlanta!M23)+SUM(Austin!M23:Austin!M23)+SUM(Cincinnati!M23:Cincinnati!M23)+SUM(Fresno!M23:Fresno!M23)+SUM(KC!M23:KC!M23)+SUM(Ogden!M23:Ogden!M23)+SUM(Philadelphia!M23:Philadelphia!M23)</f>
        <v>131120.0374</v>
      </c>
      <c r="N23" s="45">
        <f>SUM(Andover!N23:Andover!N23)+SUM(Atlanta!N23:Atlanta!N23)+SUM(Austin!N23:Austin!N23)+SUM(Cincinnati!N23:Cincinnati!N23)+SUM(Fresno!N23:Fresno!N23)+SUM(KC!N23:KC!N23)+SUM(Ogden!N23:Ogden!N23)+SUM(Philadelphia!N23:Philadelphia!N23)</f>
        <v>52488.425299999995</v>
      </c>
      <c r="O23" s="45">
        <f>SUM(Andover!O23:Andover!O23)+SUM(Atlanta!O23:Atlanta!O23)+SUM(Austin!O23:Austin!O23)+SUM(Cincinnati!O23:Cincinnati!O23)+SUM(Fresno!O23:Fresno!O23)+SUM(KC!O23:KC!O23)+SUM(Ogden!O23:Ogden!O23)+SUM(Philadelphia!O23:Philadelphia!O23)</f>
        <v>40272.1492</v>
      </c>
      <c r="P23" s="45">
        <f t="shared" si="0"/>
        <v>1073782.2982</v>
      </c>
      <c r="Q23" s="7" t="s">
        <v>212</v>
      </c>
    </row>
    <row r="24" spans="1:17" s="2" customFormat="1" ht="108">
      <c r="A24" s="23" t="s">
        <v>254</v>
      </c>
      <c r="B24" s="7" t="s">
        <v>110</v>
      </c>
      <c r="C24" s="27" t="s">
        <v>50</v>
      </c>
      <c r="D24" s="45">
        <f>SUM(Andover!D24:Andover!D24)+SUM(Atlanta!D24:Atlanta!D24)+SUM(Austin!D24:Austin!D24)+SUM(Cincinnati!D24:Cincinnati!D24)+SUM(Fresno!D24:Fresno!D24)+SUM(KC!D24:KC!D24)+SUM(Ogden!D24:Ogden!D24)+SUM(Philadelphia!D24:Philadelphia!D24)</f>
        <v>12706.2253</v>
      </c>
      <c r="E24" s="45">
        <f>SUM(Andover!E24:Andover!E24)+SUM(Atlanta!E24:Atlanta!E24)+SUM(Austin!E24:Austin!E24)+SUM(Cincinnati!E24:Cincinnati!E24)+SUM(Fresno!E24:Fresno!E24)+SUM(KC!E24:KC!E24)+SUM(Ogden!E24:Ogden!E24)+SUM(Philadelphia!E24:Philadelphia!E24)</f>
        <v>10588.346599999999</v>
      </c>
      <c r="F24" s="45">
        <f>SUM(Andover!F24:Andover!F24)+SUM(Atlanta!F24:Atlanta!F24)+SUM(Austin!F24:Austin!F24)+SUM(Cincinnati!F24:Cincinnati!F24)+SUM(Fresno!F24:Fresno!F24)+SUM(KC!F24:KC!F24)+SUM(Ogden!F24:Ogden!F24)+SUM(Philadelphia!F24:Philadelphia!F24)</f>
        <v>8003.550499999999</v>
      </c>
      <c r="G24" s="45">
        <f>SUM(Andover!G24:Andover!G24)+SUM(Atlanta!G24:Atlanta!G24)+SUM(Austin!G24:Austin!G24)+SUM(Cincinnati!G24:Cincinnati!G24)+SUM(Fresno!G24:Fresno!G24)+SUM(KC!G24:KC!G24)+SUM(Ogden!G24:Ogden!G24)+SUM(Philadelphia!G24:Philadelphia!G24)</f>
        <v>3582.4918</v>
      </c>
      <c r="H24" s="45">
        <f>SUM(Andover!H24:Andover!H24)+SUM(Atlanta!H24:Atlanta!H24)+SUM(Austin!H24:Austin!H24)+SUM(Cincinnati!H24:Cincinnati!H24)+SUM(Fresno!H24:Fresno!H24)+SUM(KC!H24:KC!H24)+SUM(Ogden!H24:Ogden!H24)+SUM(Philadelphia!H24:Philadelphia!H24)</f>
        <v>4029.5181</v>
      </c>
      <c r="I24" s="45">
        <f>SUM(Andover!I24:Andover!I24)+SUM(Atlanta!I24:Atlanta!I24)+SUM(Austin!I24:Austin!I24)+SUM(Cincinnati!I24:Cincinnati!I24)+SUM(Fresno!I24:Fresno!I24)+SUM(KC!I24:KC!I24)+SUM(Ogden!I24:Ogden!I24)+SUM(Philadelphia!I24:Philadelphia!I24)</f>
        <v>16533.6917</v>
      </c>
      <c r="J24" s="45">
        <f>SUM(Andover!J24:Andover!J24)+SUM(Atlanta!J24:Atlanta!J24)+SUM(Austin!J24:Austin!J24)+SUM(Cincinnati!J24:Cincinnati!J24)+SUM(Fresno!J24:Fresno!J24)+SUM(KC!J24:KC!J24)+SUM(Ogden!J24:Ogden!J24)+SUM(Philadelphia!J24:Philadelphia!J24)</f>
        <v>4359.2916</v>
      </c>
      <c r="K24" s="45">
        <f>SUM(Andover!K24:Andover!K24)+SUM(Atlanta!K24:Atlanta!K24)+SUM(Austin!K24:Austin!K24)+SUM(Cincinnati!K24:Cincinnati!K24)+SUM(Fresno!K24:Fresno!K24)+SUM(KC!K24:KC!K24)+SUM(Ogden!K24:Ogden!K24)+SUM(Philadelphia!K24:Philadelphia!K24)</f>
        <v>4408.4959</v>
      </c>
      <c r="L24" s="45">
        <f>SUM(Andover!L24:Andover!L24)+SUM(Atlanta!L24:Atlanta!L24)+SUM(Austin!L24:Austin!L24)+SUM(Cincinnati!L24:Cincinnati!L24)+SUM(Fresno!L24:Fresno!L24)+SUM(KC!L24:KC!L24)+SUM(Ogden!L24:Ogden!L24)+SUM(Philadelphia!L24:Philadelphia!L24)</f>
        <v>2764.8628999999996</v>
      </c>
      <c r="M24" s="45">
        <f>SUM(Andover!M24:Andover!M24)+SUM(Atlanta!M24:Atlanta!M24)+SUM(Austin!M24:Austin!M24)+SUM(Cincinnati!M24:Cincinnati!M24)+SUM(Fresno!M24:Fresno!M24)+SUM(KC!M24:KC!M24)+SUM(Ogden!M24:Ogden!M24)+SUM(Philadelphia!M24:Philadelphia!M24)</f>
        <v>7075.9971</v>
      </c>
      <c r="N24" s="45">
        <f>SUM(Andover!N24:Andover!N24)+SUM(Atlanta!N24:Atlanta!N24)+SUM(Austin!N24:Austin!N24)+SUM(Cincinnati!N24:Cincinnati!N24)+SUM(Fresno!N24:Fresno!N24)+SUM(KC!N24:KC!N24)+SUM(Ogden!N24:Ogden!N24)+SUM(Philadelphia!N24:Philadelphia!N24)</f>
        <v>1625.8356999999999</v>
      </c>
      <c r="O24" s="45">
        <f>SUM(Andover!O24:Andover!O24)+SUM(Atlanta!O24:Atlanta!O24)+SUM(Austin!O24:Austin!O24)+SUM(Cincinnati!O24:Cincinnati!O24)+SUM(Fresno!O24:Fresno!O24)+SUM(KC!O24:KC!O24)+SUM(Ogden!O24:Ogden!O24)+SUM(Philadelphia!O24:Philadelphia!O24)</f>
        <v>3635.8837</v>
      </c>
      <c r="P24" s="45">
        <f t="shared" si="0"/>
        <v>79314.19089999999</v>
      </c>
      <c r="Q24" s="24" t="s">
        <v>193</v>
      </c>
    </row>
    <row r="25" spans="1:17" s="2" customFormat="1" ht="132">
      <c r="A25" s="23" t="s">
        <v>254</v>
      </c>
      <c r="B25" s="7" t="s">
        <v>110</v>
      </c>
      <c r="C25" s="27" t="s">
        <v>51</v>
      </c>
      <c r="D25" s="45">
        <f>SUM(Andover!D25:Andover!D25)+SUM(Atlanta!D25:Atlanta!D25)+SUM(Austin!D25:Austin!D25)+SUM(Cincinnati!D25:Cincinnati!D25)+SUM(Fresno!D25:Fresno!D25)+SUM(KC!D25:KC!D25)+SUM(Ogden!D25:Ogden!D25)+SUM(Philadelphia!D25:Philadelphia!D25)</f>
        <v>1109.1892</v>
      </c>
      <c r="E25" s="45">
        <f>SUM(Andover!E25:Andover!E25)+SUM(Atlanta!E25:Atlanta!E25)+SUM(Austin!E25:Austin!E25)+SUM(Cincinnati!E25:Cincinnati!E25)+SUM(Fresno!E25:Fresno!E25)+SUM(KC!E25:KC!E25)+SUM(Ogden!E25:Ogden!E25)+SUM(Philadelphia!E25:Philadelphia!E25)</f>
        <v>2342.1162</v>
      </c>
      <c r="F25" s="45">
        <f>SUM(Andover!F25:Andover!F25)+SUM(Atlanta!F25:Atlanta!F25)+SUM(Austin!F25:Austin!F25)+SUM(Cincinnati!F25:Cincinnati!F25)+SUM(Fresno!F25:Fresno!F25)+SUM(KC!F25:KC!F25)+SUM(Ogden!F25:Ogden!F25)+SUM(Philadelphia!F25:Philadelphia!F25)</f>
        <v>264.3894</v>
      </c>
      <c r="G25" s="45">
        <f>SUM(Andover!G25:Andover!G25)+SUM(Atlanta!G25:Atlanta!G25)+SUM(Austin!G25:Austin!G25)+SUM(Cincinnati!G25:Cincinnati!G25)+SUM(Fresno!G25:Fresno!G25)+SUM(KC!G25:KC!G25)+SUM(Ogden!G25:Ogden!G25)+SUM(Philadelphia!G25:Philadelphia!G25)</f>
        <v>966.7572</v>
      </c>
      <c r="H25" s="45">
        <f>SUM(Andover!H25:Andover!H25)+SUM(Atlanta!H25:Atlanta!H25)+SUM(Austin!H25:Austin!H25)+SUM(Cincinnati!H25:Cincinnati!H25)+SUM(Fresno!H25:Fresno!H25)+SUM(KC!H25:KC!H25)+SUM(Ogden!H25:Ogden!H25)+SUM(Philadelphia!H25:Philadelphia!H25)</f>
        <v>0</v>
      </c>
      <c r="I25" s="45">
        <f>SUM(Andover!I25:Andover!I25)+SUM(Atlanta!I25:Atlanta!I25)+SUM(Austin!I25:Austin!I25)+SUM(Cincinnati!I25:Cincinnati!I25)+SUM(Fresno!I25:Fresno!I25)+SUM(KC!I25:KC!I25)+SUM(Ogden!I25:Ogden!I25)+SUM(Philadelphia!I25:Philadelphia!I25)</f>
        <v>1190.1974</v>
      </c>
      <c r="J25" s="45">
        <f>SUM(Andover!J25:Andover!J25)+SUM(Atlanta!J25:Atlanta!J25)+SUM(Austin!J25:Austin!J25)+SUM(Cincinnati!J25:Cincinnati!J25)+SUM(Fresno!J25:Fresno!J25)+SUM(KC!J25:KC!J25)+SUM(Ogden!J25:Ogden!J25)+SUM(Philadelphia!J25:Philadelphia!J25)</f>
        <v>390.7978</v>
      </c>
      <c r="K25" s="45">
        <f>SUM(Andover!K25:Andover!K25)+SUM(Atlanta!K25:Atlanta!K25)+SUM(Austin!K25:Austin!K25)+SUM(Cincinnati!K25:Cincinnati!K25)+SUM(Fresno!K25:Fresno!K25)+SUM(KC!K25:KC!K25)+SUM(Ogden!K25:Ogden!K25)+SUM(Philadelphia!K25:Philadelphia!K25)</f>
        <v>259.0482</v>
      </c>
      <c r="L25" s="45">
        <f>SUM(Andover!L25:Andover!L25)+SUM(Atlanta!L25:Atlanta!L25)+SUM(Austin!L25:Austin!L25)+SUM(Cincinnati!L25:Cincinnati!L25)+SUM(Fresno!L25:Fresno!L25)+SUM(KC!L25:KC!L25)+SUM(Ogden!L25:Ogden!L25)+SUM(Philadelphia!L25:Philadelphia!L25)</f>
        <v>517.2062</v>
      </c>
      <c r="M25" s="45">
        <f>SUM(Andover!M25:Andover!M25)+SUM(Atlanta!M25:Atlanta!M25)+SUM(Austin!M25:Austin!M25)+SUM(Cincinnati!M25:Cincinnati!M25)+SUM(Fresno!M25:Fresno!M25)+SUM(KC!M25:KC!M25)+SUM(Ogden!M25:Ogden!M25)+SUM(Philadelphia!M25:Philadelphia!M25)</f>
        <v>106.824</v>
      </c>
      <c r="N25" s="45">
        <f>SUM(Andover!N25:Andover!N25)+SUM(Atlanta!N25:Atlanta!N25)+SUM(Austin!N25:Austin!N25)+SUM(Cincinnati!N25:Cincinnati!N25)+SUM(Fresno!N25:Fresno!N25)+SUM(KC!N25:KC!N25)+SUM(Ogden!N25:Ogden!N25)+SUM(Philadelphia!N25:Philadelphia!N25)</f>
        <v>460.2334</v>
      </c>
      <c r="O25" s="45">
        <f>SUM(Andover!O25:Andover!O25)+SUM(Atlanta!O25:Atlanta!O25)+SUM(Austin!O25:Austin!O25)+SUM(Cincinnati!O25:Cincinnati!O25)+SUM(Fresno!O25:Fresno!O25)+SUM(KC!O25:KC!O25)+SUM(Ogden!O25:Ogden!O25)+SUM(Philadelphia!O25:Philadelphia!O25)</f>
        <v>147.7732</v>
      </c>
      <c r="P25" s="45">
        <f t="shared" si="0"/>
        <v>7754.5322</v>
      </c>
      <c r="Q25" s="24" t="s">
        <v>194</v>
      </c>
    </row>
    <row r="26" spans="1:17" s="2" customFormat="1" ht="96">
      <c r="A26" s="23" t="s">
        <v>254</v>
      </c>
      <c r="B26" s="7" t="s">
        <v>110</v>
      </c>
      <c r="C26" s="27" t="s">
        <v>75</v>
      </c>
      <c r="D26" s="45">
        <f>SUM(Andover!D26:Andover!D26)+SUM(Atlanta!D26:Atlanta!D26)+SUM(Austin!D26:Austin!D26)+SUM(Cincinnati!D26:Cincinnati!D26)+SUM(Fresno!D26:Fresno!D26)+SUM(KC!D26:KC!D26)+SUM(Ogden!D26:Ogden!D26)+SUM(Philadelphia!D26:Philadelphia!D26)</f>
        <v>4046214.2865</v>
      </c>
      <c r="E26" s="45">
        <f>SUM(Andover!E26:Andover!E26)+SUM(Atlanta!E26:Atlanta!E26)+SUM(Austin!E26:Austin!E26)+SUM(Cincinnati!E26:Cincinnati!E26)+SUM(Fresno!E26:Fresno!E26)+SUM(KC!E26:KC!E26)+SUM(Ogden!E26:Ogden!E26)+SUM(Philadelphia!E26:Philadelphia!E26)</f>
        <v>2298569.5782999997</v>
      </c>
      <c r="F26" s="45">
        <f>SUM(Andover!F26:Andover!F26)+SUM(Atlanta!F26:Atlanta!F26)+SUM(Austin!F26:Austin!F26)+SUM(Cincinnati!F26:Cincinnati!F26)+SUM(Fresno!F26:Fresno!F26)+SUM(KC!F26:KC!F26)+SUM(Ogden!F26:Ogden!F26)+SUM(Philadelphia!F26:Philadelphia!F26)</f>
        <v>1061615.7751</v>
      </c>
      <c r="G26" s="45">
        <f>SUM(Andover!G26:Andover!G26)+SUM(Atlanta!G26:Atlanta!G26)+SUM(Austin!G26:Austin!G26)+SUM(Cincinnati!G26:Cincinnati!G26)+SUM(Fresno!G26:Fresno!G26)+SUM(KC!G26:KC!G26)+SUM(Ogden!G26:Ogden!G26)+SUM(Philadelphia!G26:Philadelphia!G26)</f>
        <v>666752.6566</v>
      </c>
      <c r="H26" s="45">
        <f>SUM(Andover!H26:Andover!H26)+SUM(Atlanta!H26:Atlanta!H26)+SUM(Austin!H26:Austin!H26)+SUM(Cincinnati!H26:Cincinnati!H26)+SUM(Fresno!H26:Fresno!H26)+SUM(KC!H26:KC!H26)+SUM(Ogden!H26:Ogden!H26)+SUM(Philadelphia!H26:Philadelphia!H26)</f>
        <v>352295.4495</v>
      </c>
      <c r="I26" s="45">
        <f>SUM(Andover!I26:Andover!I26)+SUM(Atlanta!I26:Atlanta!I26)+SUM(Austin!I26:Austin!I26)+SUM(Cincinnati!I26:Cincinnati!I26)+SUM(Fresno!I26:Fresno!I26)+SUM(KC!I26:KC!I26)+SUM(Ogden!I26:Ogden!I26)+SUM(Philadelphia!I26:Philadelphia!I26)</f>
        <v>879904.8152999999</v>
      </c>
      <c r="J26" s="45">
        <f>SUM(Andover!J26:Andover!J26)+SUM(Atlanta!J26:Atlanta!J26)+SUM(Austin!J26:Austin!J26)+SUM(Cincinnati!J26:Cincinnati!J26)+SUM(Fresno!J26:Fresno!J26)+SUM(KC!J26:KC!J26)+SUM(Ogden!J26:Ogden!J26)+SUM(Philadelphia!J26:Philadelphia!J26)</f>
        <v>896709.4293</v>
      </c>
      <c r="K26" s="45">
        <f>SUM(Andover!K26:Andover!K26)+SUM(Atlanta!K26:Atlanta!K26)+SUM(Austin!K26:Austin!K26)+SUM(Cincinnati!K26:Cincinnati!K26)+SUM(Fresno!K26:Fresno!K26)+SUM(KC!K26:KC!K26)+SUM(Ogden!K26:Ogden!K26)+SUM(Philadelphia!K26:Philadelphia!K26)</f>
        <v>468136.18639999995</v>
      </c>
      <c r="L26" s="45">
        <f>SUM(Andover!L26:Andover!L26)+SUM(Atlanta!L26:Atlanta!L26)+SUM(Austin!L26:Austin!L26)+SUM(Cincinnati!L26:Cincinnati!L26)+SUM(Fresno!L26:Fresno!L26)+SUM(KC!L26:KC!L26)+SUM(Ogden!L26:Ogden!L26)+SUM(Philadelphia!L26:Philadelphia!L26)</f>
        <v>226126.73249999998</v>
      </c>
      <c r="M26" s="45">
        <f>SUM(Andover!M26:Andover!M26)+SUM(Atlanta!M26:Atlanta!M26)+SUM(Austin!M26:Austin!M26)+SUM(Cincinnati!M26:Cincinnati!M26)+SUM(Fresno!M26:Fresno!M26)+SUM(KC!M26:KC!M26)+SUM(Ogden!M26:Ogden!M26)+SUM(Philadelphia!M26:Philadelphia!M26)</f>
        <v>3501096.6118</v>
      </c>
      <c r="N26" s="45">
        <f>SUM(Andover!N26:Andover!N26)+SUM(Atlanta!N26:Atlanta!N26)+SUM(Austin!N26:Austin!N26)+SUM(Cincinnati!N26:Cincinnati!N26)+SUM(Fresno!N26:Fresno!N26)+SUM(KC!N26:KC!N26)+SUM(Ogden!N26:Ogden!N26)+SUM(Philadelphia!N26:Philadelphia!N26)</f>
        <v>3435027.8366999994</v>
      </c>
      <c r="O26" s="45">
        <f>SUM(Andover!O26:Andover!O26)+SUM(Atlanta!O26:Atlanta!O26)+SUM(Austin!O26:Austin!O26)+SUM(Cincinnati!O26:Cincinnati!O26)+SUM(Fresno!O26:Fresno!O26)+SUM(KC!O26:KC!O26)+SUM(Ogden!O26:Ogden!O26)+SUM(Philadelphia!O26:Philadelphia!O26)</f>
        <v>3661011.6544000003</v>
      </c>
      <c r="P26" s="45">
        <f t="shared" si="0"/>
        <v>21493461.012399994</v>
      </c>
      <c r="Q26" s="24" t="s">
        <v>195</v>
      </c>
    </row>
    <row r="27" spans="1:17" s="2" customFormat="1" ht="36">
      <c r="A27" s="109" t="s">
        <v>255</v>
      </c>
      <c r="B27" s="110"/>
      <c r="C27" s="111"/>
      <c r="D27" s="113">
        <f aca="true" t="shared" si="1" ref="D27:O27">SUM(D20:D26)</f>
        <v>11397423.0401</v>
      </c>
      <c r="E27" s="113">
        <f t="shared" si="1"/>
        <v>7845403.765699999</v>
      </c>
      <c r="F27" s="113">
        <f t="shared" si="1"/>
        <v>4556894.071099999</v>
      </c>
      <c r="G27" s="113">
        <f t="shared" si="1"/>
        <v>3357332.1788999997</v>
      </c>
      <c r="H27" s="113">
        <f t="shared" si="1"/>
        <v>12234300.2787</v>
      </c>
      <c r="I27" s="113">
        <f t="shared" si="1"/>
        <v>30457957.6485</v>
      </c>
      <c r="J27" s="113">
        <f t="shared" si="1"/>
        <v>21523951.3614</v>
      </c>
      <c r="K27" s="113">
        <f t="shared" si="1"/>
        <v>42443158.192099996</v>
      </c>
      <c r="L27" s="113">
        <f t="shared" si="1"/>
        <v>15377634.9086</v>
      </c>
      <c r="M27" s="113">
        <f t="shared" si="1"/>
        <v>11066284.7052</v>
      </c>
      <c r="N27" s="113">
        <f t="shared" si="1"/>
        <v>10114486.6299</v>
      </c>
      <c r="O27" s="113">
        <f t="shared" si="1"/>
        <v>16027142.149000002</v>
      </c>
      <c r="P27" s="114">
        <f t="shared" si="0"/>
        <v>186401968.92919996</v>
      </c>
      <c r="Q27" s="111" t="s">
        <v>277</v>
      </c>
    </row>
    <row r="28" spans="1:17" s="2" customFormat="1" ht="48">
      <c r="A28" s="21" t="s">
        <v>256</v>
      </c>
      <c r="B28" s="5" t="s">
        <v>30</v>
      </c>
      <c r="C28" s="5" t="s">
        <v>99</v>
      </c>
      <c r="D28" s="45">
        <f>SUM(Andover!D28:Andover!D28)+SUM(Atlanta!D28:Atlanta!D28)+SUM(Austin!D28:Austin!D28)+SUM(Cincinnati!D28:Cincinnati!D28)+SUM(Fresno!D28:Fresno!D28)+SUM(KC!D28:KC!D28)+SUM(Ogden!D28:Ogden!D28)+SUM(Philadelphia!D28:Philadelphia!D28)</f>
        <v>0</v>
      </c>
      <c r="E28" s="45">
        <f>SUM(Andover!E28:Andover!E28)+SUM(Atlanta!E28:Atlanta!E28)+SUM(Austin!E28:Austin!E28)+SUM(Cincinnati!E28:Cincinnati!E28)+SUM(Fresno!E28:Fresno!E28)+SUM(KC!E28:KC!E28)+SUM(Ogden!E28:Ogden!E28)+SUM(Philadelphia!E28:Philadelphia!E28)</f>
        <v>0</v>
      </c>
      <c r="F28" s="45">
        <f>SUM(Andover!F28:Andover!F28)+SUM(Atlanta!F28:Atlanta!F28)+SUM(Austin!F28:Austin!F28)+SUM(Cincinnati!F28:Cincinnati!F28)+SUM(Fresno!F28:Fresno!F28)+SUM(KC!F28:KC!F28)+SUM(Ogden!F28:Ogden!F28)+SUM(Philadelphia!F28:Philadelphia!F28)</f>
        <v>0</v>
      </c>
      <c r="G28" s="45">
        <f>SUM(Andover!G28:Andover!G28)+SUM(Atlanta!G28:Atlanta!G28)+SUM(Austin!G28:Austin!G28)+SUM(Cincinnati!G28:Cincinnati!G28)+SUM(Fresno!G28:Fresno!G28)+SUM(KC!G28:KC!G28)+SUM(Ogden!G28:Ogden!G28)+SUM(Philadelphia!G28:Philadelphia!G28)</f>
        <v>0</v>
      </c>
      <c r="H28" s="45">
        <f>SUM(Andover!H28:Andover!H28)+SUM(Atlanta!H28:Atlanta!H28)+SUM(Austin!H28:Austin!H28)+SUM(Cincinnati!H28:Cincinnati!H28)+SUM(Fresno!H28:Fresno!H28)+SUM(KC!H28:KC!H28)+SUM(Ogden!H28:Ogden!H28)+SUM(Philadelphia!H28:Philadelphia!H28)</f>
        <v>0</v>
      </c>
      <c r="I28" s="45">
        <f>SUM(Andover!I28:Andover!I28)+SUM(Atlanta!I28:Atlanta!I28)+SUM(Austin!I28:Austin!I28)+SUM(Cincinnati!I28:Cincinnati!I28)+SUM(Fresno!I28:Fresno!I28)+SUM(KC!I28:KC!I28)+SUM(Ogden!I28:Ogden!I28)+SUM(Philadelphia!I28:Philadelphia!I28)</f>
        <v>0</v>
      </c>
      <c r="J28" s="45">
        <f>SUM(Andover!J28:Andover!J28)+SUM(Atlanta!J28:Atlanta!J28)+SUM(Austin!J28:Austin!J28)+SUM(Cincinnati!J28:Cincinnati!J28)+SUM(Fresno!J28:Fresno!J28)+SUM(KC!J28:KC!J28)+SUM(Ogden!J28:Ogden!J28)+SUM(Philadelphia!J28:Philadelphia!J28)</f>
        <v>0</v>
      </c>
      <c r="K28" s="45">
        <f>SUM(Andover!K28:Andover!K28)+SUM(Atlanta!K28:Atlanta!K28)+SUM(Austin!K28:Austin!K28)+SUM(Cincinnati!K28:Cincinnati!K28)+SUM(Fresno!K28:Fresno!K28)+SUM(KC!K28:KC!K28)+SUM(Ogden!K28:Ogden!K28)+SUM(Philadelphia!K28:Philadelphia!K28)</f>
        <v>0</v>
      </c>
      <c r="L28" s="45">
        <f>SUM(Andover!L28:Andover!L28)+SUM(Atlanta!L28:Atlanta!L28)+SUM(Austin!L28:Austin!L28)+SUM(Cincinnati!L28:Cincinnati!L28)+SUM(Fresno!L28:Fresno!L28)+SUM(KC!L28:KC!L28)+SUM(Ogden!L28:Ogden!L28)+SUM(Philadelphia!L28:Philadelphia!L28)</f>
        <v>0</v>
      </c>
      <c r="M28" s="45">
        <f>SUM(Andover!M28:Andover!M28)+SUM(Atlanta!M28:Atlanta!M28)+SUM(Austin!M28:Austin!M28)+SUM(Cincinnati!M28:Cincinnati!M28)+SUM(Fresno!M28:Fresno!M28)+SUM(KC!M28:KC!M28)+SUM(Ogden!M28:Ogden!M28)+SUM(Philadelphia!M28:Philadelphia!M28)</f>
        <v>0</v>
      </c>
      <c r="N28" s="45">
        <f>SUM(Andover!N28:Andover!N28)+SUM(Atlanta!N28:Atlanta!N28)+SUM(Austin!N28:Austin!N28)+SUM(Cincinnati!N28:Cincinnati!N28)+SUM(Fresno!N28:Fresno!N28)+SUM(KC!N28:KC!N28)+SUM(Ogden!N28:Ogden!N28)+SUM(Philadelphia!N28:Philadelphia!N28)</f>
        <v>0</v>
      </c>
      <c r="O28" s="45">
        <f>SUM(Andover!O28:Andover!O28)+SUM(Atlanta!O28:Atlanta!O28)+SUM(Austin!O28:Austin!O28)+SUM(Cincinnati!O28:Cincinnati!O28)+SUM(Fresno!O28:Fresno!O28)+SUM(KC!O28:KC!O28)+SUM(Ogden!O28:Ogden!O28)+SUM(Philadelphia!O28:Philadelphia!O28)</f>
        <v>0</v>
      </c>
      <c r="P28" s="45">
        <f t="shared" si="0"/>
        <v>0</v>
      </c>
      <c r="Q28" s="7" t="s">
        <v>358</v>
      </c>
    </row>
    <row r="29" spans="1:17" s="11" customFormat="1" ht="36" customHeight="1">
      <c r="A29" s="23" t="s">
        <v>257</v>
      </c>
      <c r="B29" s="7" t="s">
        <v>111</v>
      </c>
      <c r="C29" s="34" t="s">
        <v>61</v>
      </c>
      <c r="D29" s="45">
        <f>SUM(Andover!D29:Andover!D29)+SUM(Atlanta!D29:Atlanta!D29)+SUM(Austin!D29:Austin!D29)+SUM(Cincinnati!D29:Cincinnati!D29)+SUM(Fresno!D29:Fresno!D29)+SUM(KC!D29:KC!D29)+SUM(Ogden!D29:Ogden!D29)+SUM(Philadelphia!D29:Philadelphia!D29)</f>
        <v>429.5722</v>
      </c>
      <c r="E29" s="45">
        <f>SUM(Andover!E29:Andover!E29)+SUM(Atlanta!E29:Atlanta!E29)+SUM(Austin!E29:Austin!E29)+SUM(Cincinnati!E29:Cincinnati!E29)+SUM(Fresno!E29:Fresno!E29)+SUM(KC!E29:KC!E29)+SUM(Ogden!E29:Ogden!E29)+SUM(Philadelphia!E29:Philadelphia!E29)</f>
        <v>479.72799999999995</v>
      </c>
      <c r="F29" s="45">
        <f>SUM(Andover!F29:Andover!F29)+SUM(Atlanta!F29:Atlanta!F29)+SUM(Austin!F29:Austin!F29)+SUM(Cincinnati!F29:Cincinnati!F29)+SUM(Fresno!F29:Fresno!F29)+SUM(KC!F29:KC!F29)+SUM(Ogden!F29:Ogden!F29)+SUM(Philadelphia!F29:Philadelphia!F29)</f>
        <v>435.9761</v>
      </c>
      <c r="G29" s="45">
        <f>SUM(Andover!G29:Andover!G29)+SUM(Atlanta!G29:Atlanta!G29)+SUM(Austin!G29:Austin!G29)+SUM(Cincinnati!G29:Cincinnati!G29)+SUM(Fresno!G29:Fresno!G29)+SUM(KC!G29:KC!G29)+SUM(Ogden!G29:Ogden!G29)+SUM(Philadelphia!G29:Philadelphia!G29)</f>
        <v>310.9356</v>
      </c>
      <c r="H29" s="45">
        <f>SUM(Andover!H29:Andover!H29)+SUM(Atlanta!H29:Atlanta!H29)+SUM(Austin!H29:Austin!H29)+SUM(Cincinnati!H29:Cincinnati!H29)+SUM(Fresno!H29:Fresno!H29)+SUM(KC!H29:KC!H29)+SUM(Ogden!H29:Ogden!H29)+SUM(Philadelphia!H29:Philadelphia!H29)</f>
        <v>238.06609999999998</v>
      </c>
      <c r="I29" s="45">
        <f>SUM(Andover!I29:Andover!I29)+SUM(Atlanta!I29:Atlanta!I29)+SUM(Austin!I29:Austin!I29)+SUM(Cincinnati!I29:Cincinnati!I29)+SUM(Fresno!I29:Fresno!I29)+SUM(KC!I29:KC!I29)+SUM(Ogden!I29:Ogden!I29)+SUM(Philadelphia!I29:Philadelphia!I29)</f>
        <v>374.3901</v>
      </c>
      <c r="J29" s="45">
        <f>SUM(Andover!J29:Andover!J29)+SUM(Atlanta!J29:Atlanta!J29)+SUM(Austin!J29:Austin!J29)+SUM(Cincinnati!J29:Cincinnati!J29)+SUM(Fresno!J29:Fresno!J29)+SUM(KC!J29:KC!J29)+SUM(Ogden!J29:Ogden!J29)+SUM(Philadelphia!J29:Philadelphia!J29)</f>
        <v>261.79229999999995</v>
      </c>
      <c r="K29" s="45">
        <f>SUM(Andover!K29:Andover!K29)+SUM(Atlanta!K29:Atlanta!K29)+SUM(Austin!K29:Austin!K29)+SUM(Cincinnati!K29:Cincinnati!K29)+SUM(Fresno!K29:Fresno!K29)+SUM(KC!K29:KC!K29)+SUM(Ogden!K29:Ogden!K29)+SUM(Philadelphia!K29:Philadelphia!K29)</f>
        <v>508.1377</v>
      </c>
      <c r="L29" s="45">
        <f>SUM(Andover!L29:Andover!L29)+SUM(Atlanta!L29:Atlanta!L29)+SUM(Austin!L29:Austin!L29)+SUM(Cincinnati!L29:Cincinnati!L29)+SUM(Fresno!L29:Fresno!L29)+SUM(KC!L29:KC!L29)+SUM(Ogden!L29:Ogden!L29)+SUM(Philadelphia!L29:Philadelphia!L29)</f>
        <v>471.3414</v>
      </c>
      <c r="M29" s="45">
        <f>SUM(Andover!M29:Andover!M29)+SUM(Atlanta!M29:Atlanta!M29)+SUM(Austin!M29:Austin!M29)+SUM(Cincinnati!M29:Cincinnati!M29)+SUM(Fresno!M29:Fresno!M29)+SUM(KC!M29:KC!M29)+SUM(Ogden!M29:Ogden!M29)+SUM(Philadelphia!M29:Philadelphia!M29)</f>
        <v>194.3084</v>
      </c>
      <c r="N29" s="45">
        <f>SUM(Andover!N29:Andover!N29)+SUM(Atlanta!N29:Atlanta!N29)+SUM(Austin!N29:Austin!N29)+SUM(Cincinnati!N29:Cincinnati!N29)+SUM(Fresno!N29:Fresno!N29)+SUM(KC!N29:KC!N29)+SUM(Ogden!N29:Ogden!N29)+SUM(Philadelphia!N29:Philadelphia!N29)</f>
        <v>281.838</v>
      </c>
      <c r="O29" s="45">
        <f>SUM(Andover!O29:Andover!O29)+SUM(Atlanta!O29:Atlanta!O29)+SUM(Austin!O29:Austin!O29)+SUM(Cincinnati!O29:Cincinnati!O29)+SUM(Fresno!O29:Fresno!O29)+SUM(KC!O29:KC!O29)+SUM(Ogden!O29:Ogden!O29)+SUM(Philadelphia!O29:Philadelphia!O29)</f>
        <v>589.0185</v>
      </c>
      <c r="P29" s="45">
        <f t="shared" si="0"/>
        <v>4575.1044</v>
      </c>
      <c r="Q29" s="7" t="s">
        <v>168</v>
      </c>
    </row>
    <row r="30" spans="1:17" s="2" customFormat="1" ht="60" customHeight="1">
      <c r="A30" s="4" t="s">
        <v>23</v>
      </c>
      <c r="B30" s="5" t="s">
        <v>19</v>
      </c>
      <c r="C30" s="26" t="s">
        <v>52</v>
      </c>
      <c r="D30" s="45">
        <f>SUM(Andover!D30:Andover!D30)+SUM(Atlanta!D30:Atlanta!D30)+SUM(Austin!D30:Austin!D30)+SUM(Cincinnati!D30:Cincinnati!D30)+SUM(Fresno!D30:Fresno!D30)+SUM(KC!D30:KC!D30)+SUM(Ogden!D30:Ogden!D30)+SUM(Philadelphia!D30:Philadelphia!D30)</f>
        <v>10418158.092100002</v>
      </c>
      <c r="E30" s="45">
        <f>SUM(Andover!E30:Andover!E30)+SUM(Atlanta!E30:Atlanta!E30)+SUM(Austin!E30:Austin!E30)+SUM(Cincinnati!E30:Cincinnati!E30)+SUM(Fresno!E30:Fresno!E30)+SUM(KC!E30:KC!E30)+SUM(Ogden!E30:Ogden!E30)+SUM(Philadelphia!E30:Philadelphia!E30)</f>
        <v>6986448.984300001</v>
      </c>
      <c r="F30" s="45">
        <f>SUM(Andover!F30:Andover!F30)+SUM(Atlanta!F30:Atlanta!F30)+SUM(Austin!F30:Austin!F30)+SUM(Cincinnati!F30:Cincinnati!F30)+SUM(Fresno!F30:Fresno!F30)+SUM(KC!F30:KC!F30)+SUM(Ogden!F30:Ogden!F30)+SUM(Philadelphia!F30:Philadelphia!F30)</f>
        <v>4180061.1764999996</v>
      </c>
      <c r="G30" s="45">
        <f>SUM(Andover!G30:Andover!G30)+SUM(Atlanta!G30:Atlanta!G30)+SUM(Austin!G30:Austin!G30)+SUM(Cincinnati!G30:Cincinnati!G30)+SUM(Fresno!G30:Fresno!G30)+SUM(KC!G30:KC!G30)+SUM(Ogden!G30:Ogden!G30)+SUM(Philadelphia!G30:Philadelphia!G30)</f>
        <v>2723030.6743</v>
      </c>
      <c r="H30" s="45">
        <f>SUM(Andover!H30:Andover!H30)+SUM(Atlanta!H30:Atlanta!H30)+SUM(Austin!H30:Austin!H30)+SUM(Cincinnati!H30:Cincinnati!H30)+SUM(Fresno!H30:Fresno!H30)+SUM(KC!H30:KC!H30)+SUM(Ogden!H30:Ogden!H30)+SUM(Philadelphia!H30:Philadelphia!H30)</f>
        <v>10242635.1479</v>
      </c>
      <c r="I30" s="45">
        <f>SUM(Andover!I30:Andover!I30)+SUM(Atlanta!I30:Atlanta!I30)+SUM(Austin!I30:Austin!I30)+SUM(Cincinnati!I30:Cincinnati!I30)+SUM(Fresno!I30:Fresno!I30)+SUM(KC!I30:KC!I30)+SUM(Ogden!I30:Ogden!I30)+SUM(Philadelphia!I30:Philadelphia!I30)</f>
        <v>22216931.5127</v>
      </c>
      <c r="J30" s="45">
        <f>SUM(Andover!J30:Andover!J30)+SUM(Atlanta!J30:Atlanta!J30)+SUM(Austin!J30:Austin!J30)+SUM(Cincinnati!J30:Cincinnati!J30)+SUM(Fresno!J30:Fresno!J30)+SUM(KC!J30:KC!J30)+SUM(Ogden!J30:Ogden!J30)+SUM(Philadelphia!J30:Philadelphia!J30)</f>
        <v>16169498.518200003</v>
      </c>
      <c r="K30" s="45">
        <f>SUM(Andover!K30:Andover!K30)+SUM(Atlanta!K30:Atlanta!K30)+SUM(Austin!K30:Austin!K30)+SUM(Cincinnati!K30:Cincinnati!K30)+SUM(Fresno!K30:Fresno!K30)+SUM(KC!K30:KC!K30)+SUM(Ogden!K30:Ogden!K30)+SUM(Philadelphia!K30:Philadelphia!K30)</f>
        <v>30871267.5599</v>
      </c>
      <c r="L30" s="45">
        <f>SUM(Andover!L30:Andover!L30)+SUM(Atlanta!L30:Atlanta!L30)+SUM(Austin!L30:Austin!L30)+SUM(Cincinnati!L30:Cincinnati!L30)+SUM(Fresno!L30:Fresno!L30)+SUM(KC!L30:KC!L30)+SUM(Ogden!L30:Ogden!L30)+SUM(Philadelphia!L30:Philadelphia!L30)</f>
        <v>12671033.8954</v>
      </c>
      <c r="M30" s="45">
        <f>SUM(Andover!M30:Andover!M30)+SUM(Atlanta!M30:Atlanta!M30)+SUM(Austin!M30:Austin!M30)+SUM(Cincinnati!M30:Cincinnati!M30)+SUM(Fresno!M30:Fresno!M30)+SUM(KC!M30:KC!M30)+SUM(Ogden!M30:Ogden!M30)+SUM(Philadelphia!M30:Philadelphia!M30)</f>
        <v>9801925.009599999</v>
      </c>
      <c r="N30" s="45">
        <f>SUM(Andover!N30:Andover!N30)+SUM(Atlanta!N30:Atlanta!N30)+SUM(Austin!N30:Austin!N30)+SUM(Cincinnati!N30:Cincinnati!N30)+SUM(Fresno!N30:Fresno!N30)+SUM(KC!N30:KC!N30)+SUM(Ogden!N30:Ogden!N30)+SUM(Philadelphia!N30:Philadelphia!N30)</f>
        <v>9117255.4615</v>
      </c>
      <c r="O30" s="45">
        <f>SUM(Andover!O30:Andover!O30)+SUM(Atlanta!O30:Atlanta!O30)+SUM(Austin!O30:Austin!O30)+SUM(Cincinnati!O30:Cincinnati!O30)+SUM(Fresno!O30:Fresno!O30)+SUM(KC!O30:KC!O30)+SUM(Ogden!O30:Ogden!O30)+SUM(Philadelphia!O30:Philadelphia!O30)</f>
        <v>12764927.183999998</v>
      </c>
      <c r="P30" s="45">
        <f t="shared" si="0"/>
        <v>148163173.2164</v>
      </c>
      <c r="Q30" s="7"/>
    </row>
    <row r="31" spans="1:17" s="3" customFormat="1" ht="12">
      <c r="A31" s="208" t="s">
        <v>258</v>
      </c>
      <c r="B31" s="209"/>
      <c r="C31" s="209"/>
      <c r="D31" s="209"/>
      <c r="E31" s="209"/>
      <c r="F31" s="209"/>
      <c r="G31" s="209"/>
      <c r="H31" s="209"/>
      <c r="I31" s="209"/>
      <c r="J31" s="209"/>
      <c r="K31" s="209"/>
      <c r="L31" s="209"/>
      <c r="M31" s="209"/>
      <c r="N31" s="209"/>
      <c r="O31" s="209"/>
      <c r="P31" s="209"/>
      <c r="Q31" s="210"/>
    </row>
    <row r="32" spans="1:17" s="59" customFormat="1" ht="99" customHeight="1">
      <c r="A32" s="32" t="s">
        <v>24</v>
      </c>
      <c r="B32" s="27" t="s">
        <v>112</v>
      </c>
      <c r="C32" s="27" t="s">
        <v>53</v>
      </c>
      <c r="D32" s="45">
        <f>SUM(Andover!D32:Andover!D32)+SUM(Atlanta!D32:Atlanta!D32)+SUM(Austin!D32:Austin!D32)+SUM(Cincinnati!D32:Cincinnati!D32)+SUM(Fresno!D32:Fresno!D32)+SUM(KC!D32:KC!D32)+SUM(Ogden!D32:Ogden!D32)+SUM(Philadelphia!D32:Philadelphia!D32)</f>
        <v>11397423.0401</v>
      </c>
      <c r="E32" s="45">
        <f>SUM(Andover!E32:Andover!E32)+SUM(Atlanta!E32:Atlanta!E32)+SUM(Austin!E32:Austin!E32)+SUM(Cincinnati!E32:Cincinnati!E32)+SUM(Fresno!E32:Fresno!E32)+SUM(KC!E32:KC!E32)+SUM(Ogden!E32:Ogden!E32)+SUM(Philadelphia!E32:Philadelphia!E32)</f>
        <v>7845403.7657</v>
      </c>
      <c r="F32" s="45">
        <f>SUM(Andover!F32:Andover!F32)+SUM(Atlanta!F32:Atlanta!F32)+SUM(Austin!F32:Austin!F32)+SUM(Cincinnati!F32:Cincinnati!F32)+SUM(Fresno!F32:Fresno!F32)+SUM(KC!F32:KC!F32)+SUM(Ogden!F32:Ogden!F32)+SUM(Philadelphia!F32:Philadelphia!F32)</f>
        <v>4556894.071099999</v>
      </c>
      <c r="G32" s="45">
        <f>SUM(Andover!G32:Andover!G32)+SUM(Atlanta!G32:Atlanta!G32)+SUM(Austin!G32:Austin!G32)+SUM(Cincinnati!G32:Cincinnati!G32)+SUM(Fresno!G32:Fresno!G32)+SUM(KC!G32:KC!G32)+SUM(Ogden!G32:Ogden!G32)+SUM(Philadelphia!G32:Philadelphia!G32)</f>
        <v>3357332.1789</v>
      </c>
      <c r="H32" s="45">
        <f>SUM(Andover!H32:Andover!H32)+SUM(Atlanta!H32:Atlanta!H32)+SUM(Austin!H32:Austin!H32)+SUM(Cincinnati!H32:Cincinnati!H32)+SUM(Fresno!H32:Fresno!H32)+SUM(KC!H32:KC!H32)+SUM(Ogden!H32:Ogden!H32)+SUM(Philadelphia!H32:Philadelphia!H32)</f>
        <v>12234300.2787</v>
      </c>
      <c r="I32" s="45">
        <f>SUM(Andover!I32:Andover!I32)+SUM(Atlanta!I32:Atlanta!I32)+SUM(Austin!I32:Austin!I32)+SUM(Cincinnati!I32:Cincinnati!I32)+SUM(Fresno!I32:Fresno!I32)+SUM(KC!I32:KC!I32)+SUM(Ogden!I32:Ogden!I32)+SUM(Philadelphia!I32:Philadelphia!I32)</f>
        <v>30457957.6485</v>
      </c>
      <c r="J32" s="45">
        <f>SUM(Andover!J32:Andover!J32)+SUM(Atlanta!J32:Atlanta!J32)+SUM(Austin!J32:Austin!J32)+SUM(Cincinnati!J32:Cincinnati!J32)+SUM(Fresno!J32:Fresno!J32)+SUM(KC!J32:KC!J32)+SUM(Ogden!J32:Ogden!J32)+SUM(Philadelphia!J32:Philadelphia!J32)</f>
        <v>21523951.3614</v>
      </c>
      <c r="K32" s="45">
        <f>SUM(Andover!K32:Andover!K32)+SUM(Atlanta!K32:Atlanta!K32)+SUM(Austin!K32:Austin!K32)+SUM(Cincinnati!K32:Cincinnati!K32)+SUM(Fresno!K32:Fresno!K32)+SUM(KC!K32:KC!K32)+SUM(Ogden!K32:Ogden!K32)+SUM(Philadelphia!K32:Philadelphia!K32)</f>
        <v>42443158.1921</v>
      </c>
      <c r="L32" s="45">
        <f>SUM(Andover!L32:Andover!L32)+SUM(Atlanta!L32:Atlanta!L32)+SUM(Austin!L32:Austin!L32)+SUM(Cincinnati!L32:Cincinnati!L32)+SUM(Fresno!L32:Fresno!L32)+SUM(KC!L32:KC!L32)+SUM(Ogden!L32:Ogden!L32)+SUM(Philadelphia!L32:Philadelphia!L32)</f>
        <v>15377634.9086</v>
      </c>
      <c r="M32" s="45">
        <f>SUM(Andover!M32:Andover!M32)+SUM(Atlanta!M32:Atlanta!M32)+SUM(Austin!M32:Austin!M32)+SUM(Cincinnati!M32:Cincinnati!M32)+SUM(Fresno!M32:Fresno!M32)+SUM(KC!M32:KC!M32)+SUM(Ogden!M32:Ogden!M32)+SUM(Philadelphia!M32:Philadelphia!M32)</f>
        <v>11066284.7052</v>
      </c>
      <c r="N32" s="45">
        <f>SUM(Andover!N32:Andover!N32)+SUM(Atlanta!N32:Atlanta!N32)+SUM(Austin!N32:Austin!N32)+SUM(Cincinnati!N32:Cincinnati!N32)+SUM(Fresno!N32:Fresno!N32)+SUM(KC!N32:KC!N32)+SUM(Ogden!N32:Ogden!N32)+SUM(Philadelphia!N32:Philadelphia!N32)</f>
        <v>10114486.629900001</v>
      </c>
      <c r="O32" s="45">
        <f>SUM(Andover!O32:Andover!O32)+SUM(Atlanta!O32:Atlanta!O32)+SUM(Austin!O32:Austin!O32)+SUM(Cincinnati!O32:Cincinnati!O32)+SUM(Fresno!O32:Fresno!O32)+SUM(KC!O32:KC!O32)+SUM(Ogden!O32:Ogden!O32)+SUM(Philadelphia!O32:Philadelphia!O32)</f>
        <v>16027142.148999998</v>
      </c>
      <c r="P32" s="45">
        <f>SUM(D32:O32)</f>
        <v>186401968.92919996</v>
      </c>
      <c r="Q32" s="27" t="s">
        <v>278</v>
      </c>
    </row>
    <row r="33" spans="1:17" s="59" customFormat="1" ht="36">
      <c r="A33" s="32" t="s">
        <v>114</v>
      </c>
      <c r="B33" s="27" t="s">
        <v>113</v>
      </c>
      <c r="C33" s="27" t="s">
        <v>171</v>
      </c>
      <c r="D33" s="45">
        <f>SUM(Andover!D33:Andover!D33)+SUM(Atlanta!D33:Atlanta!D33)+SUM(Austin!D33:Austin!D33)+SUM(Cincinnati!D33:Cincinnati!D33)+SUM(Fresno!D33:Fresno!D33)+SUM(KC!D33:KC!D33)+SUM(Ogden!D33:Ogden!D33)+SUM(Philadelphia!D33:Philadelphia!D33)</f>
        <v>0</v>
      </c>
      <c r="E33" s="45">
        <f>SUM(Andover!E33:Andover!E33)+SUM(Atlanta!E33:Atlanta!E33)+SUM(Austin!E33:Austin!E33)+SUM(Cincinnati!E33:Cincinnati!E33)+SUM(Fresno!E33:Fresno!E33)+SUM(KC!E33:KC!E33)+SUM(Ogden!E33:Ogden!E33)+SUM(Philadelphia!E33:Philadelphia!E33)</f>
        <v>0</v>
      </c>
      <c r="F33" s="45">
        <f>SUM(Andover!F33:Andover!F33)+SUM(Atlanta!F33:Atlanta!F33)+SUM(Austin!F33:Austin!F33)+SUM(Cincinnati!F33:Cincinnati!F33)+SUM(Fresno!F33:Fresno!F33)+SUM(KC!F33:KC!F33)+SUM(Ogden!F33:Ogden!F33)+SUM(Philadelphia!F33:Philadelphia!F33)</f>
        <v>0</v>
      </c>
      <c r="G33" s="45">
        <f>SUM(Andover!G33:Andover!G33)+SUM(Atlanta!G33:Atlanta!G33)+SUM(Austin!G33:Austin!G33)+SUM(Cincinnati!G33:Cincinnati!G33)+SUM(Fresno!G33:Fresno!G33)+SUM(KC!G33:KC!G33)+SUM(Ogden!G33:Ogden!G33)+SUM(Philadelphia!G33:Philadelphia!G33)</f>
        <v>0</v>
      </c>
      <c r="H33" s="45">
        <f>SUM(Andover!H33:Andover!H33)+SUM(Atlanta!H33:Atlanta!H33)+SUM(Austin!H33:Austin!H33)+SUM(Cincinnati!H33:Cincinnati!H33)+SUM(Fresno!H33:Fresno!H33)+SUM(KC!H33:KC!H33)+SUM(Ogden!H33:Ogden!H33)+SUM(Philadelphia!H33:Philadelphia!H33)</f>
        <v>0</v>
      </c>
      <c r="I33" s="45">
        <f>SUM(Andover!I33:Andover!I33)+SUM(Atlanta!I33:Atlanta!I33)+SUM(Austin!I33:Austin!I33)+SUM(Cincinnati!I33:Cincinnati!I33)+SUM(Fresno!I33:Fresno!I33)+SUM(KC!I33:KC!I33)+SUM(Ogden!I33:Ogden!I33)+SUM(Philadelphia!I33:Philadelphia!I33)</f>
        <v>0</v>
      </c>
      <c r="J33" s="45">
        <f>SUM(Andover!J33:Andover!J33)+SUM(Atlanta!J33:Atlanta!J33)+SUM(Austin!J33:Austin!J33)+SUM(Cincinnati!J33:Cincinnati!J33)+SUM(Fresno!J33:Fresno!J33)+SUM(KC!J33:KC!J33)+SUM(Ogden!J33:Ogden!J33)+SUM(Philadelphia!J33:Philadelphia!J33)</f>
        <v>0</v>
      </c>
      <c r="K33" s="45">
        <f>SUM(Andover!K33:Andover!K33)+SUM(Atlanta!K33:Atlanta!K33)+SUM(Austin!K33:Austin!K33)+SUM(Cincinnati!K33:Cincinnati!K33)+SUM(Fresno!K33:Fresno!K33)+SUM(KC!K33:KC!K33)+SUM(Ogden!K33:Ogden!K33)+SUM(Philadelphia!K33:Philadelphia!K33)</f>
        <v>0</v>
      </c>
      <c r="L33" s="45">
        <f>SUM(Andover!L33:Andover!L33)+SUM(Atlanta!L33:Atlanta!L33)+SUM(Austin!L33:Austin!L33)+SUM(Cincinnati!L33:Cincinnati!L33)+SUM(Fresno!L33:Fresno!L33)+SUM(KC!L33:KC!L33)+SUM(Ogden!L33:Ogden!L33)+SUM(Philadelphia!L33:Philadelphia!L33)</f>
        <v>0</v>
      </c>
      <c r="M33" s="45">
        <f>SUM(Andover!M33:Andover!M33)+SUM(Atlanta!M33:Atlanta!M33)+SUM(Austin!M33:Austin!M33)+SUM(Cincinnati!M33:Cincinnati!M33)+SUM(Fresno!M33:Fresno!M33)+SUM(KC!M33:KC!M33)+SUM(Ogden!M33:Ogden!M33)+SUM(Philadelphia!M33:Philadelphia!M33)</f>
        <v>0</v>
      </c>
      <c r="N33" s="45">
        <f>SUM(Andover!N33:Andover!N33)+SUM(Atlanta!N33:Atlanta!N33)+SUM(Austin!N33:Austin!N33)+SUM(Cincinnati!N33:Cincinnati!N33)+SUM(Fresno!N33:Fresno!N33)+SUM(KC!N33:KC!N33)+SUM(Ogden!N33:Ogden!N33)+SUM(Philadelphia!N33:Philadelphia!N33)</f>
        <v>0</v>
      </c>
      <c r="O33" s="45">
        <f>SUM(Andover!O33:Andover!O33)+SUM(Atlanta!O33:Atlanta!O33)+SUM(Austin!O33:Austin!O33)+SUM(Cincinnati!O33:Cincinnati!O33)+SUM(Fresno!O33:Fresno!O33)+SUM(KC!O33:KC!O33)+SUM(Ogden!O33:Ogden!O33)+SUM(Philadelphia!O33:Philadelphia!O33)</f>
        <v>0</v>
      </c>
      <c r="P33" s="45">
        <f>SUM(D33:O33)</f>
        <v>0</v>
      </c>
      <c r="Q33" s="27" t="s">
        <v>172</v>
      </c>
    </row>
    <row r="34" spans="1:17" s="2" customFormat="1" ht="13.5" customHeight="1">
      <c r="A34" s="4" t="s">
        <v>115</v>
      </c>
      <c r="B34" s="5" t="s">
        <v>20</v>
      </c>
      <c r="C34" s="40"/>
      <c r="D34" s="41"/>
      <c r="E34" s="41"/>
      <c r="F34" s="41"/>
      <c r="G34" s="41"/>
      <c r="H34" s="41"/>
      <c r="I34" s="41"/>
      <c r="J34" s="41"/>
      <c r="K34" s="41"/>
      <c r="L34" s="41"/>
      <c r="M34" s="41"/>
      <c r="N34" s="41"/>
      <c r="O34" s="41"/>
      <c r="P34" s="50"/>
      <c r="Q34" s="40"/>
    </row>
    <row r="35" spans="1:17" s="2" customFormat="1" ht="36">
      <c r="A35" s="22" t="s">
        <v>259</v>
      </c>
      <c r="B35" s="5" t="s">
        <v>66</v>
      </c>
      <c r="C35" s="27" t="s">
        <v>150</v>
      </c>
      <c r="D35" s="45">
        <f>SUM(Andover!D35:Andover!D35)+SUM(Atlanta!D35:Atlanta!D35)+SUM(Austin!D35:Austin!D35)+SUM(Cincinnati!D35:Cincinnati!D35)+SUM(Fresno!D35:Fresno!D35)+SUM(KC!D35:KC!D35)+SUM(Ogden!D35:Ogden!D35)+SUM(Philadelphia!D35:Philadelphia!D35)</f>
        <v>6890.742499999999</v>
      </c>
      <c r="E35" s="45">
        <f>SUM(Andover!E35:Andover!E35)+SUM(Atlanta!E35:Atlanta!E35)+SUM(Austin!E35:Austin!E35)+SUM(Cincinnati!E35:Cincinnati!E35)+SUM(Fresno!E35:Fresno!E35)+SUM(KC!E35:KC!E35)+SUM(Ogden!E35:Ogden!E35)+SUM(Philadelphia!E35:Philadelphia!E35)</f>
        <v>1296.7852</v>
      </c>
      <c r="F35" s="45">
        <f>SUM(Andover!F35:Andover!F35)+SUM(Atlanta!F35:Atlanta!F35)+SUM(Austin!F35:Austin!F35)+SUM(Cincinnati!F35:Cincinnati!F35)+SUM(Fresno!F35:Fresno!F35)+SUM(KC!F35:KC!F35)+SUM(Ogden!F35:Ogden!F35)+SUM(Philadelphia!F35:Philadelphia!F35)</f>
        <v>2276.2826999999997</v>
      </c>
      <c r="G35" s="45">
        <f>SUM(Andover!G35:Andover!G35)+SUM(Atlanta!G35:Atlanta!G35)+SUM(Austin!G35:Austin!G35)+SUM(Cincinnati!G35:Cincinnati!G35)+SUM(Fresno!G35:Fresno!G35)+SUM(KC!G35:KC!G35)+SUM(Ogden!G35:Ogden!G35)+SUM(Philadelphia!G35:Philadelphia!G35)</f>
        <v>1212.0745</v>
      </c>
      <c r="H35" s="45">
        <f>SUM(Andover!H35:Andover!H35)+SUM(Atlanta!H35:Atlanta!H35)+SUM(Austin!H35:Austin!H35)+SUM(Cincinnati!H35:Cincinnati!H35)+SUM(Fresno!H35:Fresno!H35)+SUM(KC!H35:KC!H35)+SUM(Ogden!H35:Ogden!H35)+SUM(Philadelphia!H35:Philadelphia!H35)</f>
        <v>1747.922</v>
      </c>
      <c r="I35" s="45">
        <f>SUM(Andover!I35:Andover!I35)+SUM(Atlanta!I35:Atlanta!I35)+SUM(Austin!I35:Austin!I35)+SUM(Cincinnati!I35:Cincinnati!I35)+SUM(Fresno!I35:Fresno!I35)+SUM(KC!I35:KC!I35)+SUM(Ogden!I35:Ogden!I35)+SUM(Philadelphia!I35:Philadelphia!I35)</f>
        <v>1533.2844</v>
      </c>
      <c r="J35" s="45">
        <f>SUM(Andover!J35:Andover!J35)+SUM(Atlanta!J35:Atlanta!J35)+SUM(Austin!J35:Austin!J35)+SUM(Cincinnati!J35:Cincinnati!J35)+SUM(Fresno!J35:Fresno!J35)+SUM(KC!J35:KC!J35)+SUM(Ogden!J35:Ogden!J35)+SUM(Philadelphia!J35:Philadelphia!J35)</f>
        <v>1610.1444</v>
      </c>
      <c r="K35" s="45">
        <f>SUM(Andover!K35:Andover!K35)+SUM(Atlanta!K35:Atlanta!K35)+SUM(Austin!K35:Austin!K35)+SUM(Cincinnati!K35:Cincinnati!K35)+SUM(Fresno!K35:Fresno!K35)+SUM(KC!K35:KC!K35)+SUM(Ogden!K35:Ogden!K35)+SUM(Philadelphia!K35:Philadelphia!K35)</f>
        <v>1760.6289</v>
      </c>
      <c r="L35" s="45">
        <f>SUM(Andover!L35:Andover!L35)+SUM(Atlanta!L35:Atlanta!L35)+SUM(Austin!L35:Austin!L35)+SUM(Cincinnati!L35:Cincinnati!L35)+SUM(Fresno!L35:Fresno!L35)+SUM(KC!L35:KC!L35)+SUM(Ogden!L35:Ogden!L35)+SUM(Philadelphia!L35:Philadelphia!L35)</f>
        <v>1322.6155</v>
      </c>
      <c r="M35" s="45">
        <f>SUM(Andover!M35:Andover!M35)+SUM(Atlanta!M35:Atlanta!M35)+SUM(Austin!M35:Austin!M35)+SUM(Cincinnati!M35:Cincinnati!M35)+SUM(Fresno!M35:Fresno!M35)+SUM(KC!M35:KC!M35)+SUM(Ogden!M35:Ogden!M35)+SUM(Philadelphia!M35:Philadelphia!M35)</f>
        <v>2894.3505</v>
      </c>
      <c r="N35" s="45">
        <f>SUM(Andover!N35:Andover!N35)+SUM(Atlanta!N35:Atlanta!N35)+SUM(Austin!N35:Austin!N35)+SUM(Cincinnati!N35:Cincinnati!N35)+SUM(Fresno!N35:Fresno!N35)+SUM(KC!N35:KC!N35)+SUM(Ogden!N35:Ogden!N35)+SUM(Philadelphia!N35:Philadelphia!N35)</f>
        <v>2059.2336999999998</v>
      </c>
      <c r="O35" s="45">
        <f>SUM(Andover!O35:Andover!O35)+SUM(Atlanta!O35:Atlanta!O35)+SUM(Austin!O35:Austin!O35)+SUM(Cincinnati!O35:Cincinnati!O35)+SUM(Fresno!O35:Fresno!O35)+SUM(KC!O35:KC!O35)+SUM(Ogden!O35:Ogden!O35)+SUM(Philadelphia!O35:Philadelphia!O35)</f>
        <v>6176.521599999999</v>
      </c>
      <c r="P35" s="45">
        <f aca="true" t="shared" si="2" ref="P35:P42">SUM(D35:O35)</f>
        <v>30780.585900000002</v>
      </c>
      <c r="Q35" s="67" t="s">
        <v>73</v>
      </c>
    </row>
    <row r="36" spans="1:17" s="2" customFormat="1" ht="36">
      <c r="A36" s="22" t="s">
        <v>259</v>
      </c>
      <c r="B36" s="5" t="s">
        <v>66</v>
      </c>
      <c r="C36" s="27" t="s">
        <v>181</v>
      </c>
      <c r="D36" s="45">
        <f>SUM(Andover!D36:Andover!D36)+SUM(Atlanta!D36:Atlanta!D36)+SUM(Austin!D36:Austin!D36)+SUM(Cincinnati!D36:Cincinnati!D36)+SUM(Fresno!D36:Fresno!D36)+SUM(KC!D36:KC!D36)+SUM(Ogden!D36:Ogden!D36)+SUM(Philadelphia!D36:Philadelphia!D36)</f>
        <v>665446.7810000001</v>
      </c>
      <c r="E36" s="45">
        <f>SUM(Andover!E36:Andover!E36)+SUM(Atlanta!E36:Atlanta!E36)+SUM(Austin!E36:Austin!E36)+SUM(Cincinnati!E36:Cincinnati!E36)+SUM(Fresno!E36:Fresno!E36)+SUM(KC!E36:KC!E36)+SUM(Ogden!E36:Ogden!E36)+SUM(Philadelphia!E36:Philadelphia!E36)</f>
        <v>679157.9024999999</v>
      </c>
      <c r="F36" s="45">
        <f>SUM(Andover!F36:Andover!F36)+SUM(Atlanta!F36:Atlanta!F36)+SUM(Austin!F36:Austin!F36)+SUM(Cincinnati!F36:Cincinnati!F36)+SUM(Fresno!F36:Fresno!F36)+SUM(KC!F36:KC!F36)+SUM(Ogden!F36:Ogden!F36)+SUM(Philadelphia!F36:Philadelphia!F36)</f>
        <v>549486.0477</v>
      </c>
      <c r="G36" s="45">
        <f>SUM(Andover!G36:Andover!G36)+SUM(Atlanta!G36:Atlanta!G36)+SUM(Austin!G36:Austin!G36)+SUM(Cincinnati!G36:Cincinnati!G36)+SUM(Fresno!G36:Fresno!G36)+SUM(KC!G36:KC!G36)+SUM(Ogden!G36:Ogden!G36)+SUM(Philadelphia!G36:Philadelphia!G36)</f>
        <v>456396.09789999994</v>
      </c>
      <c r="H36" s="45">
        <f>SUM(Andover!H36:Andover!H36)+SUM(Atlanta!H36:Atlanta!H36)+SUM(Austin!H36:Austin!H36)+SUM(Cincinnati!H36:Cincinnati!H36)+SUM(Fresno!H36:Fresno!H36)+SUM(KC!H36:KC!H36)+SUM(Ogden!H36:Ogden!H36)+SUM(Philadelphia!H36:Philadelphia!H36)</f>
        <v>506281.81419999996</v>
      </c>
      <c r="I36" s="45">
        <f>SUM(Andover!I36:Andover!I36)+SUM(Atlanta!I36:Atlanta!I36)+SUM(Austin!I36:Austin!I36)+SUM(Cincinnati!I36:Cincinnati!I36)+SUM(Fresno!I36:Fresno!I36)+SUM(KC!I36:KC!I36)+SUM(Ogden!I36:Ogden!I36)+SUM(Philadelphia!I36:Philadelphia!I36)</f>
        <v>1019981.6291</v>
      </c>
      <c r="J36" s="45">
        <f>SUM(Andover!J36:Andover!J36)+SUM(Atlanta!J36:Atlanta!J36)+SUM(Austin!J36:Austin!J36)+SUM(Cincinnati!J36:Cincinnati!J36)+SUM(Fresno!J36:Fresno!J36)+SUM(KC!J36:KC!J36)+SUM(Ogden!J36:Ogden!J36)+SUM(Philadelphia!J36:Philadelphia!J36)</f>
        <v>1095237.5181</v>
      </c>
      <c r="K36" s="45">
        <f>SUM(Andover!K36:Andover!K36)+SUM(Atlanta!K36:Atlanta!K36)+SUM(Austin!K36:Austin!K36)+SUM(Cincinnati!K36:Cincinnati!K36)+SUM(Fresno!K36:Fresno!K36)+SUM(KC!K36:KC!K36)+SUM(Ogden!K36:Ogden!K36)+SUM(Philadelphia!K36:Philadelphia!K36)</f>
        <v>1596590.1173999999</v>
      </c>
      <c r="L36" s="45">
        <f>SUM(Andover!L36:Andover!L36)+SUM(Atlanta!L36:Atlanta!L36)+SUM(Austin!L36:Austin!L36)+SUM(Cincinnati!L36:Cincinnati!L36)+SUM(Fresno!L36:Fresno!L36)+SUM(KC!L36:KC!L36)+SUM(Ogden!L36:Ogden!L36)+SUM(Philadelphia!L36:Philadelphia!L36)</f>
        <v>1231115.7949999997</v>
      </c>
      <c r="M36" s="45">
        <f>SUM(Andover!M36:Andover!M36)+SUM(Atlanta!M36:Atlanta!M36)+SUM(Austin!M36:Austin!M36)+SUM(Cincinnati!M36:Cincinnati!M36)+SUM(Fresno!M36:Fresno!M36)+SUM(KC!M36:KC!M36)+SUM(Ogden!M36:Ogden!M36)+SUM(Philadelphia!M36:Philadelphia!M36)</f>
        <v>854446.2342000001</v>
      </c>
      <c r="N36" s="45">
        <f>SUM(Andover!N36:Andover!N36)+SUM(Atlanta!N36:Atlanta!N36)+SUM(Austin!N36:Austin!N36)+SUM(Cincinnati!N36:Cincinnati!N36)+SUM(Fresno!N36:Fresno!N36)+SUM(KC!N36:KC!N36)+SUM(Ogden!N36:Ogden!N36)+SUM(Philadelphia!N36:Philadelphia!N36)</f>
        <v>582616.4039</v>
      </c>
      <c r="O36" s="45">
        <f>SUM(Andover!O36:Andover!O36)+SUM(Atlanta!O36:Atlanta!O36)+SUM(Austin!O36:Austin!O36)+SUM(Cincinnati!O36:Cincinnati!O36)+SUM(Fresno!O36:Fresno!O36)+SUM(KC!O36:KC!O36)+SUM(Ogden!O36:Ogden!O36)+SUM(Philadelphia!O36:Philadelphia!O36)</f>
        <v>612843.2361</v>
      </c>
      <c r="P36" s="51">
        <f t="shared" si="2"/>
        <v>9849599.5771</v>
      </c>
      <c r="Q36" s="35" t="s">
        <v>211</v>
      </c>
    </row>
    <row r="37" spans="1:17" s="2" customFormat="1" ht="36">
      <c r="A37" s="22" t="s">
        <v>259</v>
      </c>
      <c r="B37" s="5" t="s">
        <v>66</v>
      </c>
      <c r="C37" s="5" t="s">
        <v>182</v>
      </c>
      <c r="D37" s="45">
        <f>SUM(Andover!D37:Andover!D37)+SUM(Atlanta!D37:Atlanta!D37)+SUM(Austin!D37:Austin!D37)+SUM(Cincinnati!D37:Cincinnati!D37)+SUM(Fresno!D37:Fresno!D37)+SUM(KC!D37:KC!D37)+SUM(Ogden!D37:Ogden!D37)+SUM(Philadelphia!D37:Philadelphia!D37)</f>
        <v>3294.669</v>
      </c>
      <c r="E37" s="45">
        <f>SUM(Andover!E37:Andover!E37)+SUM(Atlanta!E37:Atlanta!E37)+SUM(Austin!E37:Austin!E37)+SUM(Cincinnati!E37:Cincinnati!E37)+SUM(Fresno!E37:Fresno!E37)+SUM(KC!E37:KC!E37)+SUM(Ogden!E37:Ogden!E37)+SUM(Philadelphia!E37:Philadelphia!E37)</f>
        <v>6091.316000000001</v>
      </c>
      <c r="F37" s="45">
        <f>SUM(Andover!F37:Andover!F37)+SUM(Atlanta!F37:Atlanta!F37)+SUM(Austin!F37:Austin!F37)+SUM(Cincinnati!F37:Cincinnati!F37)+SUM(Fresno!F37:Fresno!F37)+SUM(KC!F37:KC!F37)+SUM(Ogden!F37:Ogden!F37)+SUM(Philadelphia!F37:Philadelphia!F37)</f>
        <v>8823.9704</v>
      </c>
      <c r="G37" s="45">
        <f>SUM(Andover!G37:Andover!G37)+SUM(Atlanta!G37:Atlanta!G37)+SUM(Austin!G37:Austin!G37)+SUM(Cincinnati!G37:Cincinnati!G37)+SUM(Fresno!G37:Fresno!G37)+SUM(KC!G37:KC!G37)+SUM(Ogden!G37:Ogden!G37)+SUM(Philadelphia!G37:Philadelphia!G37)</f>
        <v>851.1636000000001</v>
      </c>
      <c r="H37" s="45">
        <f>SUM(Andover!H37:Andover!H37)+SUM(Atlanta!H37:Atlanta!H37)+SUM(Austin!H37:Austin!H37)+SUM(Cincinnati!H37:Cincinnati!H37)+SUM(Fresno!H37:Fresno!H37)+SUM(KC!H37:KC!H37)+SUM(Ogden!H37:Ogden!H37)+SUM(Philadelphia!H37:Philadelphia!H37)</f>
        <v>2254.4564</v>
      </c>
      <c r="I37" s="45">
        <f>SUM(Andover!I37:Andover!I37)+SUM(Atlanta!I37:Atlanta!I37)+SUM(Austin!I37:Austin!I37)+SUM(Cincinnati!I37:Cincinnati!I37)+SUM(Fresno!I37:Fresno!I37)+SUM(KC!I37:KC!I37)+SUM(Ogden!I37:Ogden!I37)+SUM(Philadelphia!I37:Philadelphia!I37)</f>
        <v>65669.1154</v>
      </c>
      <c r="J37" s="45">
        <f>SUM(Andover!J37:Andover!J37)+SUM(Atlanta!J37:Atlanta!J37)+SUM(Austin!J37:Austin!J37)+SUM(Cincinnati!J37:Cincinnati!J37)+SUM(Fresno!J37:Fresno!J37)+SUM(KC!J37:KC!J37)+SUM(Ogden!J37:Ogden!J37)+SUM(Philadelphia!J37:Philadelphia!J37)</f>
        <v>127212.029</v>
      </c>
      <c r="K37" s="45">
        <f>SUM(Andover!K37:Andover!K37)+SUM(Atlanta!K37:Atlanta!K37)+SUM(Austin!K37:Austin!K37)+SUM(Cincinnati!K37:Cincinnati!K37)+SUM(Fresno!K37:Fresno!K37)+SUM(KC!K37:KC!K37)+SUM(Ogden!K37:Ogden!K37)+SUM(Philadelphia!K37:Philadelphia!K37)</f>
        <v>35614.063799999996</v>
      </c>
      <c r="L37" s="45">
        <f>SUM(Andover!L37:Andover!L37)+SUM(Atlanta!L37:Atlanta!L37)+SUM(Austin!L37:Austin!L37)+SUM(Cincinnati!L37:Cincinnati!L37)+SUM(Fresno!L37:Fresno!L37)+SUM(KC!L37:KC!L37)+SUM(Ogden!L37:Ogden!L37)+SUM(Philadelphia!L37:Philadelphia!L37)</f>
        <v>68413.6614</v>
      </c>
      <c r="M37" s="45">
        <f>SUM(Andover!M37:Andover!M37)+SUM(Atlanta!M37:Atlanta!M37)+SUM(Austin!M37:Austin!M37)+SUM(Cincinnati!M37:Cincinnati!M37)+SUM(Fresno!M37:Fresno!M37)+SUM(KC!M37:KC!M37)+SUM(Ogden!M37:Ogden!M37)+SUM(Philadelphia!M37:Philadelphia!M37)</f>
        <v>13653.110799999999</v>
      </c>
      <c r="N37" s="45">
        <f>SUM(Andover!N37:Andover!N37)+SUM(Atlanta!N37:Atlanta!N37)+SUM(Austin!N37:Austin!N37)+SUM(Cincinnati!N37:Cincinnati!N37)+SUM(Fresno!N37:Fresno!N37)+SUM(KC!N37:KC!N37)+SUM(Ogden!N37:Ogden!N37)+SUM(Philadelphia!N37:Philadelphia!N37)</f>
        <v>19308.849</v>
      </c>
      <c r="O37" s="45">
        <f>SUM(Andover!O37:Andover!O37)+SUM(Atlanta!O37:Atlanta!O37)+SUM(Austin!O37:Austin!O37)+SUM(Cincinnati!O37:Cincinnati!O37)+SUM(Fresno!O37:Fresno!O37)+SUM(KC!O37:KC!O37)+SUM(Ogden!O37:Ogden!O37)+SUM(Philadelphia!O37:Philadelphia!O37)</f>
        <v>13119.622599999999</v>
      </c>
      <c r="P37" s="51">
        <f t="shared" si="2"/>
        <v>364306.0274</v>
      </c>
      <c r="Q37" s="5" t="s">
        <v>213</v>
      </c>
    </row>
    <row r="38" spans="1:17" s="2" customFormat="1" ht="36">
      <c r="A38" s="22" t="s">
        <v>259</v>
      </c>
      <c r="B38" s="5" t="s">
        <v>66</v>
      </c>
      <c r="C38" s="5" t="s">
        <v>183</v>
      </c>
      <c r="D38" s="45">
        <f>SUM(Andover!D38:Andover!D38)+SUM(Atlanta!D38:Atlanta!D38)+SUM(Austin!D38:Austin!D38)+SUM(Cincinnati!D38:Cincinnati!D38)+SUM(Fresno!D38:Fresno!D38)+SUM(KC!D38:KC!D38)+SUM(Ogden!D38:Ogden!D38)+SUM(Philadelphia!D38:Philadelphia!D38)</f>
        <v>24274.4872</v>
      </c>
      <c r="E38" s="45">
        <f>SUM(Andover!E38:Andover!E38)+SUM(Atlanta!E38:Atlanta!E38)+SUM(Austin!E38:Austin!E38)+SUM(Cincinnati!E38:Cincinnati!E38)+SUM(Fresno!E38:Fresno!E38)+SUM(KC!E38:KC!E38)+SUM(Ogden!E38:Ogden!E38)+SUM(Philadelphia!E38:Philadelphia!E38)</f>
        <v>43460.8402</v>
      </c>
      <c r="F38" s="45">
        <f>SUM(Andover!F38:Andover!F38)+SUM(Atlanta!F38:Atlanta!F38)+SUM(Austin!F38:Austin!F38)+SUM(Cincinnati!F38:Cincinnati!F38)+SUM(Fresno!F38:Fresno!F38)+SUM(KC!F38:KC!F38)+SUM(Ogden!F38:Ogden!F38)+SUM(Philadelphia!F38:Philadelphia!F38)</f>
        <v>7151.5984</v>
      </c>
      <c r="G38" s="45">
        <f>SUM(Andover!G38:Andover!G38)+SUM(Atlanta!G38:Atlanta!G38)+SUM(Austin!G38:Austin!G38)+SUM(Cincinnati!G38:Cincinnati!G38)+SUM(Fresno!G38:Fresno!G38)+SUM(KC!G38:KC!G38)+SUM(Ogden!G38:Ogden!G38)+SUM(Philadelphia!G38:Philadelphia!G38)</f>
        <v>6392.7815</v>
      </c>
      <c r="H38" s="45">
        <f>SUM(Andover!H38:Andover!H38)+SUM(Atlanta!H38:Atlanta!H38)+SUM(Austin!H38:Austin!H38)+SUM(Cincinnati!H38:Cincinnati!H38)+SUM(Fresno!H38:Fresno!H38)+SUM(KC!H38:KC!H38)+SUM(Ogden!H38:Ogden!H38)+SUM(Philadelphia!H38:Philadelphia!H38)</f>
        <v>16980.662099999998</v>
      </c>
      <c r="I38" s="45">
        <f>SUM(Andover!I38:Andover!I38)+SUM(Atlanta!I38:Atlanta!I38)+SUM(Austin!I38:Austin!I38)+SUM(Cincinnati!I38:Cincinnati!I38)+SUM(Fresno!I38:Fresno!I38)+SUM(KC!I38:KC!I38)+SUM(Ogden!I38:Ogden!I38)+SUM(Philadelphia!I38:Philadelphia!I38)</f>
        <v>28031.261400000003</v>
      </c>
      <c r="J38" s="45">
        <f>SUM(Andover!J38:Andover!J38)+SUM(Atlanta!J38:Atlanta!J38)+SUM(Austin!J38:Austin!J38)+SUM(Cincinnati!J38:Cincinnati!J38)+SUM(Fresno!J38:Fresno!J38)+SUM(KC!J38:KC!J38)+SUM(Ogden!J38:Ogden!J38)+SUM(Philadelphia!J38:Philadelphia!J38)</f>
        <v>24389.335400000004</v>
      </c>
      <c r="K38" s="45">
        <f>SUM(Andover!K38:Andover!K38)+SUM(Atlanta!K38:Atlanta!K38)+SUM(Austin!K38:Austin!K38)+SUM(Cincinnati!K38:Cincinnati!K38)+SUM(Fresno!K38:Fresno!K38)+SUM(KC!K38:KC!K38)+SUM(Ogden!K38:Ogden!K38)+SUM(Philadelphia!K38:Philadelphia!K38)</f>
        <v>27184.8638</v>
      </c>
      <c r="L38" s="45">
        <f>SUM(Andover!L38:Andover!L38)+SUM(Atlanta!L38:Atlanta!L38)+SUM(Austin!L38:Austin!L38)+SUM(Cincinnati!L38:Cincinnati!L38)+SUM(Fresno!L38:Fresno!L38)+SUM(KC!L38:KC!L38)+SUM(Ogden!L38:Ogden!L38)+SUM(Philadelphia!L38:Philadelphia!L38)</f>
        <v>5313.7581</v>
      </c>
      <c r="M38" s="45">
        <f>SUM(Andover!M38:Andover!M38)+SUM(Atlanta!M38:Atlanta!M38)+SUM(Austin!M38:Austin!M38)+SUM(Cincinnati!M38:Cincinnati!M38)+SUM(Fresno!M38:Fresno!M38)+SUM(KC!M38:KC!M38)+SUM(Ogden!M38:Ogden!M38)+SUM(Philadelphia!M38:Philadelphia!M38)</f>
        <v>4211.2963</v>
      </c>
      <c r="N38" s="45">
        <f>SUM(Andover!N38:Andover!N38)+SUM(Atlanta!N38:Atlanta!N38)+SUM(Austin!N38:Austin!N38)+SUM(Cincinnati!N38:Cincinnati!N38)+SUM(Fresno!N38:Fresno!N38)+SUM(KC!N38:KC!N38)+SUM(Ogden!N38:Ogden!N38)+SUM(Philadelphia!N38:Philadelphia!N38)</f>
        <v>3235.2500999999993</v>
      </c>
      <c r="O38" s="45">
        <f>SUM(Andover!O38:Andover!O38)+SUM(Atlanta!O38:Atlanta!O38)+SUM(Austin!O38:Austin!O38)+SUM(Cincinnati!O38:Cincinnati!O38)+SUM(Fresno!O38:Fresno!O38)+SUM(KC!O38:KC!O38)+SUM(Ogden!O38:Ogden!O38)+SUM(Philadelphia!O38:Philadelphia!O38)</f>
        <v>3415.3388999999997</v>
      </c>
      <c r="P38" s="51">
        <f t="shared" si="2"/>
        <v>194041.4734</v>
      </c>
      <c r="Q38" s="5" t="s">
        <v>83</v>
      </c>
    </row>
    <row r="39" spans="1:17" s="2" customFormat="1" ht="36">
      <c r="A39" s="22" t="s">
        <v>259</v>
      </c>
      <c r="B39" s="5" t="s">
        <v>66</v>
      </c>
      <c r="C39" s="26" t="s">
        <v>184</v>
      </c>
      <c r="D39" s="45">
        <f>SUM(Andover!D39:Andover!D39)+SUM(Atlanta!D39:Atlanta!D39)+SUM(Austin!D39:Austin!D39)+SUM(Cincinnati!D39:Cincinnati!D39)+SUM(Fresno!D39:Fresno!D39)+SUM(KC!D39:KC!D39)+SUM(Ogden!D39:Ogden!D39)+SUM(Philadelphia!D39:Philadelphia!D39)</f>
        <v>8123.9439999999995</v>
      </c>
      <c r="E39" s="45">
        <f>SUM(Andover!E39:Andover!E39)+SUM(Atlanta!E39:Atlanta!E39)+SUM(Austin!E39:Austin!E39)+SUM(Cincinnati!E39:Cincinnati!E39)+SUM(Fresno!E39:Fresno!E39)+SUM(KC!E39:KC!E39)+SUM(Ogden!E39:Ogden!E39)+SUM(Philadelphia!E39:Philadelphia!E39)</f>
        <v>8387.7628</v>
      </c>
      <c r="F39" s="45">
        <f>SUM(Andover!F39:Andover!F39)+SUM(Atlanta!F39:Atlanta!F39)+SUM(Austin!F39:Austin!F39)+SUM(Cincinnati!F39:Cincinnati!F39)+SUM(Fresno!F39:Fresno!F39)+SUM(KC!F39:KC!F39)+SUM(Ogden!F39:Ogden!F39)+SUM(Philadelphia!F39:Philadelphia!F39)</f>
        <v>6258.3682</v>
      </c>
      <c r="G39" s="45">
        <f>SUM(Andover!G39:Andover!G39)+SUM(Atlanta!G39:Atlanta!G39)+SUM(Austin!G39:Austin!G39)+SUM(Cincinnati!G39:Cincinnati!G39)+SUM(Fresno!G39:Fresno!G39)+SUM(KC!G39:KC!G39)+SUM(Ogden!G39:Ogden!G39)+SUM(Philadelphia!G39:Philadelphia!G39)</f>
        <v>2512.56</v>
      </c>
      <c r="H39" s="45">
        <f>SUM(Andover!H39:Andover!H39)+SUM(Atlanta!H39:Atlanta!H39)+SUM(Austin!H39:Austin!H39)+SUM(Cincinnati!H39:Cincinnati!H39)+SUM(Fresno!H39:Fresno!H39)+SUM(KC!H39:KC!H39)+SUM(Ogden!H39:Ogden!H39)+SUM(Philadelphia!H39:Philadelphia!H39)</f>
        <v>1330.6099</v>
      </c>
      <c r="I39" s="45">
        <f>SUM(Andover!I39:Andover!I39)+SUM(Atlanta!I39:Atlanta!I39)+SUM(Austin!I39:Austin!I39)+SUM(Cincinnati!I39:Cincinnati!I39)+SUM(Fresno!I39:Fresno!I39)+SUM(KC!I39:KC!I39)+SUM(Ogden!I39:Ogden!I39)+SUM(Philadelphia!I39:Philadelphia!I39)</f>
        <v>1087.7291</v>
      </c>
      <c r="J39" s="45">
        <f>SUM(Andover!J39:Andover!J39)+SUM(Atlanta!J39:Atlanta!J39)+SUM(Austin!J39:Austin!J39)+SUM(Cincinnati!J39:Cincinnati!J39)+SUM(Fresno!J39:Fresno!J39)+SUM(KC!J39:KC!J39)+SUM(Ogden!J39:Ogden!J39)+SUM(Philadelphia!J39:Philadelphia!J39)</f>
        <v>1364.1107</v>
      </c>
      <c r="K39" s="45">
        <f>SUM(Andover!K39:Andover!K39)+SUM(Atlanta!K39:Atlanta!K39)+SUM(Austin!K39:Austin!K39)+SUM(Cincinnati!K39:Cincinnati!K39)+SUM(Fresno!K39:Fresno!K39)+SUM(KC!K39:KC!K39)+SUM(Ogden!K39:Ogden!K39)+SUM(Philadelphia!K39:Philadelphia!K39)</f>
        <v>3972.9855</v>
      </c>
      <c r="L39" s="45">
        <f>SUM(Andover!L39:Andover!L39)+SUM(Atlanta!L39:Atlanta!L39)+SUM(Austin!L39:Austin!L39)+SUM(Cincinnati!L39:Cincinnati!L39)+SUM(Fresno!L39:Fresno!L39)+SUM(KC!L39:KC!L39)+SUM(Ogden!L39:Ogden!L39)+SUM(Philadelphia!L39:Philadelphia!L39)</f>
        <v>1440.5344</v>
      </c>
      <c r="M39" s="45">
        <f>SUM(Andover!M39:Andover!M39)+SUM(Atlanta!M39:Atlanta!M39)+SUM(Austin!M39:Austin!M39)+SUM(Cincinnati!M39:Cincinnati!M39)+SUM(Fresno!M39:Fresno!M39)+SUM(KC!M39:KC!M39)+SUM(Ogden!M39:Ogden!M39)+SUM(Philadelphia!M39:Philadelphia!M39)</f>
        <v>1031.1965</v>
      </c>
      <c r="N39" s="45">
        <f>SUM(Andover!N39:Andover!N39)+SUM(Atlanta!N39:Atlanta!N39)+SUM(Austin!N39:Austin!N39)+SUM(Cincinnati!N39:Cincinnati!N39)+SUM(Fresno!N39:Fresno!N39)+SUM(KC!N39:KC!N39)+SUM(Ogden!N39:Ogden!N39)+SUM(Philadelphia!N39:Philadelphia!N39)</f>
        <v>512.981</v>
      </c>
      <c r="O39" s="45">
        <f>SUM(Andover!O39:Andover!O39)+SUM(Atlanta!O39:Atlanta!O39)+SUM(Austin!O39:Austin!O39)+SUM(Cincinnati!O39:Cincinnati!O39)+SUM(Fresno!O39:Fresno!O39)+SUM(KC!O39:KC!O39)+SUM(Ogden!O39:Ogden!O39)+SUM(Philadelphia!O39:Philadelphia!O39)</f>
        <v>370.6026</v>
      </c>
      <c r="P39" s="51">
        <f t="shared" si="2"/>
        <v>36393.384699999995</v>
      </c>
      <c r="Q39" s="5" t="s">
        <v>86</v>
      </c>
    </row>
    <row r="40" spans="1:17" s="2" customFormat="1" ht="36">
      <c r="A40" s="22" t="s">
        <v>259</v>
      </c>
      <c r="B40" s="5" t="s">
        <v>66</v>
      </c>
      <c r="C40" s="26" t="s">
        <v>185</v>
      </c>
      <c r="D40" s="45">
        <f>SUM(Andover!D40:Andover!D40)+SUM(Atlanta!D40:Atlanta!D40)+SUM(Austin!D40:Austin!D40)+SUM(Cincinnati!D40:Cincinnati!D40)+SUM(Fresno!D40:Fresno!D40)+SUM(KC!D40:KC!D40)+SUM(Ogden!D40:Ogden!D40)+SUM(Philadelphia!D40:Philadelphia!D40)</f>
        <v>17262.5762</v>
      </c>
      <c r="E40" s="45">
        <f>SUM(Andover!E40:Andover!E40)+SUM(Atlanta!E40:Atlanta!E40)+SUM(Austin!E40:Austin!E40)+SUM(Cincinnati!E40:Cincinnati!E40)+SUM(Fresno!E40:Fresno!E40)+SUM(KC!E40:KC!E40)+SUM(Ogden!E40:Ogden!E40)+SUM(Philadelphia!E40:Philadelphia!E40)</f>
        <v>13905.363899999998</v>
      </c>
      <c r="F40" s="45">
        <f>SUM(Andover!F40:Andover!F40)+SUM(Atlanta!F40:Atlanta!F40)+SUM(Austin!F40:Austin!F40)+SUM(Cincinnati!F40:Cincinnati!F40)+SUM(Fresno!F40:Fresno!F40)+SUM(KC!F40:KC!F40)+SUM(Ogden!F40:Ogden!F40)+SUM(Philadelphia!F40:Philadelphia!F40)</f>
        <v>12968.829899999999</v>
      </c>
      <c r="G40" s="45">
        <f>SUM(Andover!G40:Andover!G40)+SUM(Atlanta!G40:Atlanta!G40)+SUM(Austin!G40:Austin!G40)+SUM(Cincinnati!G40:Cincinnati!G40)+SUM(Fresno!G40:Fresno!G40)+SUM(KC!G40:KC!G40)+SUM(Ogden!G40:Ogden!G40)+SUM(Philadelphia!G40:Philadelphia!G40)</f>
        <v>15280.565799999998</v>
      </c>
      <c r="H40" s="45">
        <f>SUM(Andover!H40:Andover!H40)+SUM(Atlanta!H40:Atlanta!H40)+SUM(Austin!H40:Austin!H40)+SUM(Cincinnati!H40:Cincinnati!H40)+SUM(Fresno!H40:Fresno!H40)+SUM(KC!H40:KC!H40)+SUM(Ogden!H40:Ogden!H40)+SUM(Philadelphia!H40:Philadelphia!H40)</f>
        <v>14805.818699999998</v>
      </c>
      <c r="I40" s="45">
        <f>SUM(Andover!I40:Andover!I40)+SUM(Atlanta!I40:Atlanta!I40)+SUM(Austin!I40:Austin!I40)+SUM(Cincinnati!I40:Cincinnati!I40)+SUM(Fresno!I40:Fresno!I40)+SUM(KC!I40:KC!I40)+SUM(Ogden!I40:Ogden!I40)+SUM(Philadelphia!I40:Philadelphia!I40)</f>
        <v>14606.343399999998</v>
      </c>
      <c r="J40" s="45">
        <f>SUM(Andover!J40:Andover!J40)+SUM(Atlanta!J40:Atlanta!J40)+SUM(Austin!J40:Austin!J40)+SUM(Cincinnati!J40:Cincinnati!J40)+SUM(Fresno!J40:Fresno!J40)+SUM(KC!J40:KC!J40)+SUM(Ogden!J40:Ogden!J40)+SUM(Philadelphia!J40:Philadelphia!J40)</f>
        <v>15612.857899999999</v>
      </c>
      <c r="K40" s="45">
        <f>SUM(Andover!K40:Andover!K40)+SUM(Atlanta!K40:Atlanta!K40)+SUM(Austin!K40:Austin!K40)+SUM(Cincinnati!K40:Cincinnati!K40)+SUM(Fresno!K40:Fresno!K40)+SUM(KC!K40:KC!K40)+SUM(Ogden!K40:Ogden!K40)+SUM(Philadelphia!K40:Philadelphia!K40)</f>
        <v>19593.659099999997</v>
      </c>
      <c r="L40" s="45">
        <f>SUM(Andover!L40:Andover!L40)+SUM(Atlanta!L40:Atlanta!L40)+SUM(Austin!L40:Austin!L40)+SUM(Cincinnati!L40:Cincinnati!L40)+SUM(Fresno!L40:Fresno!L40)+SUM(KC!L40:KC!L40)+SUM(Ogden!L40:Ogden!L40)+SUM(Philadelphia!L40:Philadelphia!L40)</f>
        <v>17016.1147</v>
      </c>
      <c r="M40" s="45">
        <f>SUM(Andover!M40:Andover!M40)+SUM(Atlanta!M40:Atlanta!M40)+SUM(Austin!M40:Austin!M40)+SUM(Cincinnati!M40:Cincinnati!M40)+SUM(Fresno!M40:Fresno!M40)+SUM(KC!M40:KC!M40)+SUM(Ogden!M40:Ogden!M40)+SUM(Philadelphia!M40:Philadelphia!M40)</f>
        <v>18879.102</v>
      </c>
      <c r="N40" s="45">
        <f>SUM(Andover!N40:Andover!N40)+SUM(Atlanta!N40:Atlanta!N40)+SUM(Austin!N40:Austin!N40)+SUM(Cincinnati!N40:Cincinnati!N40)+SUM(Fresno!N40:Fresno!N40)+SUM(KC!N40:KC!N40)+SUM(Ogden!N40:Ogden!N40)+SUM(Philadelphia!N40:Philadelphia!N40)</f>
        <v>15988.9049</v>
      </c>
      <c r="O40" s="45">
        <f>SUM(Andover!O40:Andover!O40)+SUM(Atlanta!O40:Atlanta!O40)+SUM(Austin!O40:Austin!O40)+SUM(Cincinnati!O40:Cincinnati!O40)+SUM(Fresno!O40:Fresno!O40)+SUM(KC!O40:KC!O40)+SUM(Ogden!O40:Ogden!O40)+SUM(Philadelphia!O40:Philadelphia!O40)</f>
        <v>17420.510299999998</v>
      </c>
      <c r="P40" s="45">
        <f t="shared" si="2"/>
        <v>193340.6468</v>
      </c>
      <c r="Q40" s="5" t="s">
        <v>219</v>
      </c>
    </row>
    <row r="41" spans="1:17" s="2" customFormat="1" ht="63.75" customHeight="1">
      <c r="A41" s="22" t="s">
        <v>259</v>
      </c>
      <c r="B41" s="5" t="s">
        <v>66</v>
      </c>
      <c r="C41" s="26" t="s">
        <v>186</v>
      </c>
      <c r="D41" s="45">
        <f>SUM(Andover!D41:Andover!D41)+SUM(Atlanta!D41:Atlanta!D41)+SUM(Austin!D41:Austin!D41)+SUM(Cincinnati!D41:Cincinnati!D41)+SUM(Fresno!D41:Fresno!D41)+SUM(KC!D41:KC!D41)+SUM(Ogden!D41:Ogden!D41)+SUM(Philadelphia!D41:Philadelphia!D41)</f>
        <v>30.6356</v>
      </c>
      <c r="E41" s="45">
        <f>SUM(Andover!E41:Andover!E41)+SUM(Atlanta!E41:Atlanta!E41)+SUM(Austin!E41:Austin!E41)+SUM(Cincinnati!E41:Cincinnati!E41)+SUM(Fresno!E41:Fresno!E41)+SUM(KC!E41:KC!E41)+SUM(Ogden!E41:Ogden!E41)+SUM(Philadelphia!E41:Philadelphia!E41)</f>
        <v>20.0716</v>
      </c>
      <c r="F41" s="45">
        <f>SUM(Andover!F41:Andover!F41)+SUM(Atlanta!F41:Atlanta!F41)+SUM(Austin!F41:Austin!F41)+SUM(Cincinnati!F41:Cincinnati!F41)+SUM(Fresno!F41:Fresno!F41)+SUM(KC!F41:KC!F41)+SUM(Ogden!F41:Ogden!F41)+SUM(Philadelphia!F41:Philadelphia!F41)</f>
        <v>19.0152</v>
      </c>
      <c r="G41" s="45">
        <f>SUM(Andover!G41:Andover!G41)+SUM(Atlanta!G41:Atlanta!G41)+SUM(Austin!G41:Austin!G41)+SUM(Cincinnati!G41:Cincinnati!G41)+SUM(Fresno!G41:Fresno!G41)+SUM(KC!G41:KC!G41)+SUM(Ogden!G41:Ogden!G41)+SUM(Philadelphia!G41:Philadelphia!G41)</f>
        <v>26.41</v>
      </c>
      <c r="H41" s="45">
        <f>SUM(Andover!H41:Andover!H41)+SUM(Atlanta!H41:Atlanta!H41)+SUM(Austin!H41:Austin!H41)+SUM(Cincinnati!H41:Cincinnati!H41)+SUM(Fresno!H41:Fresno!H41)+SUM(KC!H41:KC!H41)+SUM(Ogden!H41:Ogden!H41)+SUM(Philadelphia!H41:Philadelphia!H41)</f>
        <v>13.7332</v>
      </c>
      <c r="I41" s="45">
        <f>SUM(Andover!I41:Andover!I41)+SUM(Atlanta!I41:Atlanta!I41)+SUM(Austin!I41:Austin!I41)+SUM(Cincinnati!I41:Cincinnati!I41)+SUM(Fresno!I41:Fresno!I41)+SUM(KC!I41:KC!I41)+SUM(Ogden!I41:Ogden!I41)+SUM(Philadelphia!I41:Philadelphia!I41)</f>
        <v>54.9328</v>
      </c>
      <c r="J41" s="45">
        <f>SUM(Andover!J41:Andover!J41)+SUM(Atlanta!J41:Atlanta!J41)+SUM(Austin!J41:Austin!J41)+SUM(Cincinnati!J41:Cincinnati!J41)+SUM(Fresno!J41:Fresno!J41)+SUM(KC!J41:KC!J41)+SUM(Ogden!J41:Ogden!J41)+SUM(Philadelphia!J41:Philadelphia!J41)</f>
        <v>105.64</v>
      </c>
      <c r="K41" s="45">
        <f>SUM(Andover!K41:Andover!K41)+SUM(Atlanta!K41:Atlanta!K41)+SUM(Austin!K41:Austin!K41)+SUM(Cincinnati!K41:Cincinnati!K41)+SUM(Fresno!K41:Fresno!K41)+SUM(KC!K41:KC!K41)+SUM(Ogden!K41:Ogden!K41)+SUM(Philadelphia!K41:Philadelphia!K41)</f>
        <v>115.1476</v>
      </c>
      <c r="L41" s="45">
        <f>SUM(Andover!L41:Andover!L41)+SUM(Atlanta!L41:Atlanta!L41)+SUM(Austin!L41:Austin!L41)+SUM(Cincinnati!L41:Cincinnati!L41)+SUM(Fresno!L41:Fresno!L41)+SUM(KC!L41:KC!L41)+SUM(Ogden!L41:Ogden!L41)+SUM(Philadelphia!L41:Philadelphia!L41)</f>
        <v>115.1476</v>
      </c>
      <c r="M41" s="45">
        <f>SUM(Andover!M41:Andover!M41)+SUM(Atlanta!M41:Atlanta!M41)+SUM(Austin!M41:Austin!M41)+SUM(Cincinnati!M41:Cincinnati!M41)+SUM(Fresno!M41:Fresno!M41)+SUM(KC!M41:KC!M41)+SUM(Ogden!M41:Ogden!M41)+SUM(Philadelphia!M41:Philadelphia!M41)</f>
        <v>91.9068</v>
      </c>
      <c r="N41" s="45">
        <f>SUM(Andover!N41:Andover!N41)+SUM(Atlanta!N41:Atlanta!N41)+SUM(Austin!N41:Austin!N41)+SUM(Cincinnati!N41:Cincinnati!N41)+SUM(Fresno!N41:Fresno!N41)+SUM(KC!N41:KC!N41)+SUM(Ogden!N41:Ogden!N41)+SUM(Philadelphia!N41:Philadelphia!N41)</f>
        <v>32.748400000000004</v>
      </c>
      <c r="O41" s="45">
        <f>SUM(Andover!O41:Andover!O41)+SUM(Atlanta!O41:Atlanta!O41)+SUM(Austin!O41:Austin!O41)+SUM(Cincinnati!O41:Cincinnati!O41)+SUM(Fresno!O41:Fresno!O41)+SUM(KC!O41:KC!O41)+SUM(Ogden!O41:Ogden!O41)+SUM(Philadelphia!O41:Philadelphia!O41)</f>
        <v>53.876400000000004</v>
      </c>
      <c r="P41" s="43">
        <f t="shared" si="2"/>
        <v>679.2651999999999</v>
      </c>
      <c r="Q41" s="5" t="s">
        <v>97</v>
      </c>
    </row>
    <row r="42" spans="1:17" s="11" customFormat="1" ht="101.25" customHeight="1">
      <c r="A42" s="22" t="s">
        <v>259</v>
      </c>
      <c r="B42" s="7" t="s">
        <v>66</v>
      </c>
      <c r="C42" s="27" t="s">
        <v>187</v>
      </c>
      <c r="D42" s="45">
        <f>SUM(Andover!D42:Andover!D42)+SUM(Atlanta!D42:Atlanta!D42)+SUM(Austin!D42:Austin!D42)+SUM(Cincinnati!D42:Cincinnati!D42)+SUM(Fresno!D42:Fresno!D42)+SUM(KC!D42:KC!D42)+SUM(Ogden!D42:Ogden!D42)+SUM(Philadelphia!D42:Philadelphia!D42)</f>
        <v>4498.5302</v>
      </c>
      <c r="E42" s="45">
        <f>SUM(Andover!E42:Andover!E42)+SUM(Atlanta!E42:Atlanta!E42)+SUM(Austin!E42:Austin!E42)+SUM(Cincinnati!E42:Cincinnati!E42)+SUM(Fresno!E42:Fresno!E42)+SUM(KC!E42:KC!E42)+SUM(Ogden!E42:Ogden!E42)+SUM(Philadelphia!E42:Philadelphia!E42)</f>
        <v>14049.671699999999</v>
      </c>
      <c r="F42" s="45">
        <f>SUM(Andover!F42:Andover!F42)+SUM(Atlanta!F42:Atlanta!F42)+SUM(Austin!F42:Austin!F42)+SUM(Cincinnati!F42:Cincinnati!F42)+SUM(Fresno!F42:Fresno!F42)+SUM(KC!F42:KC!F42)+SUM(Ogden!F42:Ogden!F42)+SUM(Philadelphia!F42:Philadelphia!F42)</f>
        <v>1465.4112999999998</v>
      </c>
      <c r="G42" s="45">
        <f>SUM(Andover!G42:Andover!G42)+SUM(Atlanta!G42:Atlanta!G42)+SUM(Austin!G42:Austin!G42)+SUM(Cincinnati!G42:Cincinnati!G42)+SUM(Fresno!G42:Fresno!G42)+SUM(KC!G42:KC!G42)+SUM(Ogden!G42:Ogden!G42)+SUM(Philadelphia!G42:Philadelphia!G42)</f>
        <v>466.28549999999996</v>
      </c>
      <c r="H42" s="45">
        <f>SUM(Andover!H42:Andover!H42)+SUM(Atlanta!H42:Atlanta!H42)+SUM(Austin!H42:Austin!H42)+SUM(Cincinnati!H42:Cincinnati!H42)+SUM(Fresno!H42:Fresno!H42)+SUM(KC!H42:KC!H42)+SUM(Ogden!H42:Ogden!H42)+SUM(Philadelphia!H42:Philadelphia!H42)</f>
        <v>1257.7618</v>
      </c>
      <c r="I42" s="45">
        <f>SUM(Andover!I42:Andover!I42)+SUM(Atlanta!I42:Atlanta!I42)+SUM(Austin!I42:Austin!I42)+SUM(Cincinnati!I42:Cincinnati!I42)+SUM(Fresno!I42:Fresno!I42)+SUM(KC!I42:KC!I42)+SUM(Ogden!I42:Ogden!I42)+SUM(Philadelphia!I42:Philadelphia!I42)</f>
        <v>4619.236599999999</v>
      </c>
      <c r="J42" s="45">
        <f>SUM(Andover!J42:Andover!J42)+SUM(Atlanta!J42:Atlanta!J42)+SUM(Austin!J42:Austin!J42)+SUM(Cincinnati!J42:Cincinnati!J42)+SUM(Fresno!J42:Fresno!J42)+SUM(KC!J42:KC!J42)+SUM(Ogden!J42:Ogden!J42)+SUM(Philadelphia!J42:Philadelphia!J42)</f>
        <v>8339.0242</v>
      </c>
      <c r="K42" s="45">
        <f>SUM(Andover!K42:Andover!K42)+SUM(Atlanta!K42:Atlanta!K42)+SUM(Austin!K42:Austin!K42)+SUM(Cincinnati!K42:Cincinnati!K42)+SUM(Fresno!K42:Fresno!K42)+SUM(KC!K42:KC!K42)+SUM(Ogden!K42:Ogden!K42)+SUM(Philadelphia!K42:Philadelphia!K42)</f>
        <v>19404.6812</v>
      </c>
      <c r="L42" s="45">
        <f>SUM(Andover!L42:Andover!L42)+SUM(Atlanta!L42:Atlanta!L42)+SUM(Austin!L42:Austin!L42)+SUM(Cincinnati!L42:Cincinnati!L42)+SUM(Fresno!L42:Fresno!L42)+SUM(KC!L42:KC!L42)+SUM(Ogden!L42:Ogden!L42)+SUM(Philadelphia!L42:Philadelphia!L42)</f>
        <v>13060.8995</v>
      </c>
      <c r="M42" s="45">
        <f>SUM(Andover!M42:Andover!M42)+SUM(Atlanta!M42:Atlanta!M42)+SUM(Austin!M42:Austin!M42)+SUM(Cincinnati!M42:Cincinnati!M42)+SUM(Fresno!M42:Fresno!M42)+SUM(KC!M42:KC!M42)+SUM(Ogden!M42:Ogden!M42)+SUM(Philadelphia!M42:Philadelphia!M42)</f>
        <v>8126.9257</v>
      </c>
      <c r="N42" s="45">
        <f>SUM(Andover!N42:Andover!N42)+SUM(Atlanta!N42:Atlanta!N42)+SUM(Austin!N42:Austin!N42)+SUM(Cincinnati!N42:Cincinnati!N42)+SUM(Fresno!N42:Fresno!N42)+SUM(KC!N42:KC!N42)+SUM(Ogden!N42:Ogden!N42)+SUM(Philadelphia!N42:Philadelphia!N42)</f>
        <v>2536.2527</v>
      </c>
      <c r="O42" s="45">
        <f>SUM(Andover!O42:Andover!O42)+SUM(Atlanta!O42:Atlanta!O42)+SUM(Austin!O42:Austin!O42)+SUM(Cincinnati!O42:Cincinnati!O42)+SUM(Fresno!O42:Fresno!O42)+SUM(KC!O42:KC!O42)+SUM(Ogden!O42:Ogden!O42)+SUM(Philadelphia!O42:Philadelphia!O42)</f>
        <v>4372.0021</v>
      </c>
      <c r="P42" s="43">
        <f t="shared" si="2"/>
        <v>82196.6825</v>
      </c>
      <c r="Q42" s="7" t="s">
        <v>279</v>
      </c>
    </row>
    <row r="43" spans="1:17" s="2" customFormat="1" ht="108">
      <c r="A43" s="109" t="s">
        <v>260</v>
      </c>
      <c r="B43" s="110"/>
      <c r="C43" s="111"/>
      <c r="D43" s="113">
        <f aca="true" t="shared" si="3" ref="D43:O43">SUM(D35:D42)</f>
        <v>729822.3657000002</v>
      </c>
      <c r="E43" s="113">
        <f t="shared" si="3"/>
        <v>766369.7138999999</v>
      </c>
      <c r="F43" s="113">
        <f t="shared" si="3"/>
        <v>588449.5238000001</v>
      </c>
      <c r="G43" s="113">
        <f t="shared" si="3"/>
        <v>483137.9387999999</v>
      </c>
      <c r="H43" s="113">
        <f t="shared" si="3"/>
        <v>544672.7783</v>
      </c>
      <c r="I43" s="113">
        <f t="shared" si="3"/>
        <v>1135583.5322</v>
      </c>
      <c r="J43" s="113">
        <f t="shared" si="3"/>
        <v>1273870.6597000002</v>
      </c>
      <c r="K43" s="113">
        <f t="shared" si="3"/>
        <v>1704236.1472999996</v>
      </c>
      <c r="L43" s="113">
        <f t="shared" si="3"/>
        <v>1337798.5262</v>
      </c>
      <c r="M43" s="113">
        <f t="shared" si="3"/>
        <v>903334.1228</v>
      </c>
      <c r="N43" s="113">
        <f t="shared" si="3"/>
        <v>626290.6237</v>
      </c>
      <c r="O43" s="113">
        <f t="shared" si="3"/>
        <v>657771.7105999999</v>
      </c>
      <c r="P43" s="114">
        <f aca="true" t="shared" si="4" ref="P43:P50">SUM(D43:O43)</f>
        <v>10751337.643</v>
      </c>
      <c r="Q43" s="111" t="s">
        <v>322</v>
      </c>
    </row>
    <row r="44" spans="1:17" s="2" customFormat="1" ht="36">
      <c r="A44" s="22" t="s">
        <v>259</v>
      </c>
      <c r="B44" s="7" t="s">
        <v>66</v>
      </c>
      <c r="C44" s="27" t="s">
        <v>244</v>
      </c>
      <c r="D44" s="45">
        <f>SUM(Andover!D44:Andover!D44)+SUM(Atlanta!D44:Atlanta!D44)+SUM(Austin!D44:Austin!D44)+SUM(Cincinnati!D44:Cincinnati!D44)+SUM(Fresno!D44:Fresno!D44)+SUM(KC!D44:KC!D44)+SUM(Ogden!D44:Ogden!D44)+SUM(Philadelphia!D44:Philadelphia!D44)</f>
        <v>36559.962799999994</v>
      </c>
      <c r="E44" s="45">
        <f>SUM(Andover!E44:Andover!E44)+SUM(Atlanta!E44:Atlanta!E44)+SUM(Austin!E44:Austin!E44)+SUM(Cincinnati!E44:Cincinnati!E44)+SUM(Fresno!E44:Fresno!E44)+SUM(KC!E44:KC!E44)+SUM(Ogden!E44:Ogden!E44)+SUM(Philadelphia!E44:Philadelphia!E44)</f>
        <v>105032.637</v>
      </c>
      <c r="F44" s="45">
        <f>SUM(Andover!F44:Andover!F44)+SUM(Atlanta!F44:Atlanta!F44)+SUM(Austin!F44:Austin!F44)+SUM(Cincinnati!F44:Cincinnati!F44)+SUM(Fresno!F44:Fresno!F44)+SUM(KC!F44:KC!F44)+SUM(Ogden!F44:Ogden!F44)+SUM(Philadelphia!F44:Philadelphia!F44)</f>
        <v>20959.4748</v>
      </c>
      <c r="G44" s="45">
        <f>SUM(Andover!G44:Andover!G44)+SUM(Atlanta!G44:Atlanta!G44)+SUM(Austin!G44:Austin!G44)+SUM(Cincinnati!G44:Cincinnati!G44)+SUM(Fresno!G44:Fresno!G44)+SUM(KC!G44:KC!G44)+SUM(Ogden!G44:Ogden!G44)+SUM(Philadelphia!G44:Philadelphia!G44)</f>
        <v>26342.383</v>
      </c>
      <c r="H44" s="45">
        <f>SUM(Andover!H44:Andover!H44)+SUM(Atlanta!H44:Atlanta!H44)+SUM(Austin!H44:Austin!H44)+SUM(Cincinnati!H44:Cincinnati!H44)+SUM(Fresno!H44:Fresno!H44)+SUM(KC!H44:KC!H44)+SUM(Ogden!H44:Ogden!H44)+SUM(Philadelphia!H44:Philadelphia!H44)</f>
        <v>16571.0541</v>
      </c>
      <c r="I44" s="45">
        <f>SUM(Andover!I44:Andover!I44)+SUM(Atlanta!I44:Atlanta!I44)+SUM(Austin!I44:Austin!I44)+SUM(Cincinnati!I44:Cincinnati!I44)+SUM(Fresno!I44:Fresno!I44)+SUM(KC!I44:KC!I44)+SUM(Ogden!I44:Ogden!I44)+SUM(Philadelphia!I44:Philadelphia!I44)</f>
        <v>28646.137199999997</v>
      </c>
      <c r="J44" s="45">
        <f>SUM(Andover!J44:Andover!J44)+SUM(Atlanta!J44:Atlanta!J44)+SUM(Austin!J44:Austin!J44)+SUM(Cincinnati!J44:Cincinnati!J44)+SUM(Fresno!J44:Fresno!J44)+SUM(KC!J44:KC!J44)+SUM(Ogden!J44:Ogden!J44)+SUM(Philadelphia!J44:Philadelphia!J44)</f>
        <v>25864.293999999998</v>
      </c>
      <c r="K44" s="45">
        <f>SUM(Andover!K44:Andover!K44)+SUM(Atlanta!K44:Atlanta!K44)+SUM(Austin!K44:Austin!K44)+SUM(Cincinnati!K44:Cincinnati!K44)+SUM(Fresno!K44:Fresno!K44)+SUM(KC!K44:KC!K44)+SUM(Ogden!K44:Ogden!K44)+SUM(Philadelphia!K44:Philadelphia!K44)</f>
        <v>39956.825</v>
      </c>
      <c r="L44" s="45">
        <f>SUM(Andover!L44:Andover!L44)+SUM(Atlanta!L44:Atlanta!L44)+SUM(Austin!L44:Austin!L44)+SUM(Cincinnati!L44:Cincinnati!L44)+SUM(Fresno!L44:Fresno!L44)+SUM(KC!L44:KC!L44)+SUM(Ogden!L44:Ogden!L44)+SUM(Philadelphia!L44:Philadelphia!L44)</f>
        <v>30191.564899999998</v>
      </c>
      <c r="M44" s="45">
        <f>SUM(Andover!M44:Andover!M44)+SUM(Atlanta!M44:Atlanta!M44)+SUM(Austin!M44:Austin!M44)+SUM(Cincinnati!M44:Cincinnati!M44)+SUM(Fresno!M44:Fresno!M44)+SUM(KC!M44:KC!M44)+SUM(Ogden!M44:Ogden!M44)+SUM(Philadelphia!M44:Philadelphia!M44)</f>
        <v>29820.666400000002</v>
      </c>
      <c r="N44" s="45">
        <f>SUM(Andover!N44:Andover!N44)+SUM(Atlanta!N44:Atlanta!N44)+SUM(Austin!N44:Austin!N44)+SUM(Cincinnati!N44:Cincinnati!N44)+SUM(Fresno!N44:Fresno!N44)+SUM(KC!N44:KC!N44)+SUM(Ogden!N44:Ogden!N44)+SUM(Philadelphia!N44:Philadelphia!N44)</f>
        <v>32522.210399999996</v>
      </c>
      <c r="O44" s="45">
        <f>SUM(Andover!O44:Andover!O44)+SUM(Atlanta!O44:Atlanta!O44)+SUM(Austin!O44:Austin!O44)+SUM(Cincinnati!O44:Cincinnati!O44)+SUM(Fresno!O44:Fresno!O44)+SUM(KC!O44:KC!O44)+SUM(Ogden!O44:Ogden!O44)+SUM(Philadelphia!O44:Philadelphia!O44)</f>
        <v>36907.5058</v>
      </c>
      <c r="P44" s="43">
        <f t="shared" si="4"/>
        <v>429374.7153999999</v>
      </c>
      <c r="Q44" s="27" t="s">
        <v>243</v>
      </c>
    </row>
    <row r="45" spans="1:17" s="59" customFormat="1" ht="113.25" customHeight="1">
      <c r="A45" s="105" t="s">
        <v>261</v>
      </c>
      <c r="B45" s="27" t="s">
        <v>32</v>
      </c>
      <c r="C45" s="27" t="s">
        <v>67</v>
      </c>
      <c r="D45" s="45">
        <f aca="true" t="shared" si="5" ref="D45:O45">SUM(D36:D42)</f>
        <v>722931.6232000001</v>
      </c>
      <c r="E45" s="45">
        <f t="shared" si="5"/>
        <v>765072.9286999998</v>
      </c>
      <c r="F45" s="45">
        <f t="shared" si="5"/>
        <v>586173.2411000001</v>
      </c>
      <c r="G45" s="45">
        <f t="shared" si="5"/>
        <v>481925.8642999999</v>
      </c>
      <c r="H45" s="45">
        <f t="shared" si="5"/>
        <v>542924.8563</v>
      </c>
      <c r="I45" s="45">
        <f t="shared" si="5"/>
        <v>1134050.2478</v>
      </c>
      <c r="J45" s="45">
        <f t="shared" si="5"/>
        <v>1272260.5153</v>
      </c>
      <c r="K45" s="45">
        <f t="shared" si="5"/>
        <v>1702475.5183999997</v>
      </c>
      <c r="L45" s="45">
        <f t="shared" si="5"/>
        <v>1336475.9107</v>
      </c>
      <c r="M45" s="45">
        <f t="shared" si="5"/>
        <v>900439.7723000001</v>
      </c>
      <c r="N45" s="45">
        <f t="shared" si="5"/>
        <v>624231.39</v>
      </c>
      <c r="O45" s="45">
        <f t="shared" si="5"/>
        <v>651595.1889999999</v>
      </c>
      <c r="P45" s="45">
        <f t="shared" si="4"/>
        <v>10720557.0571</v>
      </c>
      <c r="Q45" s="27" t="s">
        <v>218</v>
      </c>
    </row>
    <row r="46" spans="1:17" s="59" customFormat="1" ht="76.5" customHeight="1">
      <c r="A46" s="105" t="s">
        <v>261</v>
      </c>
      <c r="B46" s="27" t="s">
        <v>32</v>
      </c>
      <c r="C46" s="27" t="s">
        <v>68</v>
      </c>
      <c r="D46" s="45">
        <f>D35</f>
        <v>6890.742499999999</v>
      </c>
      <c r="E46" s="45">
        <f aca="true" t="shared" si="6" ref="E46:O46">E35</f>
        <v>1296.7852</v>
      </c>
      <c r="F46" s="45">
        <f t="shared" si="6"/>
        <v>2276.2826999999997</v>
      </c>
      <c r="G46" s="45">
        <f t="shared" si="6"/>
        <v>1212.0745</v>
      </c>
      <c r="H46" s="45">
        <f t="shared" si="6"/>
        <v>1747.922</v>
      </c>
      <c r="I46" s="45">
        <f t="shared" si="6"/>
        <v>1533.2844</v>
      </c>
      <c r="J46" s="45">
        <f t="shared" si="6"/>
        <v>1610.1444</v>
      </c>
      <c r="K46" s="45">
        <f t="shared" si="6"/>
        <v>1760.6289</v>
      </c>
      <c r="L46" s="45">
        <f t="shared" si="6"/>
        <v>1322.6155</v>
      </c>
      <c r="M46" s="45">
        <f t="shared" si="6"/>
        <v>2894.3505</v>
      </c>
      <c r="N46" s="45">
        <f t="shared" si="6"/>
        <v>2059.2336999999998</v>
      </c>
      <c r="O46" s="45">
        <f t="shared" si="6"/>
        <v>6176.521599999999</v>
      </c>
      <c r="P46" s="45">
        <f t="shared" si="4"/>
        <v>30780.585900000002</v>
      </c>
      <c r="Q46" s="27" t="s">
        <v>94</v>
      </c>
    </row>
    <row r="47" spans="1:17" s="2" customFormat="1" ht="36">
      <c r="A47" s="109" t="s">
        <v>262</v>
      </c>
      <c r="B47" s="110"/>
      <c r="C47" s="111"/>
      <c r="D47" s="112">
        <f aca="true" t="shared" si="7" ref="D47:O47">SUM(D45:D46)</f>
        <v>729822.3657000002</v>
      </c>
      <c r="E47" s="112">
        <f t="shared" si="7"/>
        <v>766369.7138999999</v>
      </c>
      <c r="F47" s="112">
        <f t="shared" si="7"/>
        <v>588449.5238000001</v>
      </c>
      <c r="G47" s="112">
        <f t="shared" si="7"/>
        <v>483137.9387999999</v>
      </c>
      <c r="H47" s="112">
        <f t="shared" si="7"/>
        <v>544672.7783</v>
      </c>
      <c r="I47" s="112">
        <f t="shared" si="7"/>
        <v>1135583.5322</v>
      </c>
      <c r="J47" s="112">
        <f t="shared" si="7"/>
        <v>1273870.6597000002</v>
      </c>
      <c r="K47" s="112">
        <f t="shared" si="7"/>
        <v>1704236.1472999996</v>
      </c>
      <c r="L47" s="112">
        <f t="shared" si="7"/>
        <v>1337798.5262</v>
      </c>
      <c r="M47" s="112">
        <f t="shared" si="7"/>
        <v>903334.1228</v>
      </c>
      <c r="N47" s="112">
        <f t="shared" si="7"/>
        <v>626290.6237</v>
      </c>
      <c r="O47" s="112">
        <f t="shared" si="7"/>
        <v>657771.7105999999</v>
      </c>
      <c r="P47" s="143">
        <f t="shared" si="4"/>
        <v>10751337.643</v>
      </c>
      <c r="Q47" s="111" t="s">
        <v>280</v>
      </c>
    </row>
    <row r="48" spans="1:17" s="2" customFormat="1" ht="102" customHeight="1">
      <c r="A48" s="6" t="s">
        <v>263</v>
      </c>
      <c r="B48" s="7" t="s">
        <v>126</v>
      </c>
      <c r="C48" s="27" t="s">
        <v>206</v>
      </c>
      <c r="D48" s="45">
        <f>SUM(Andover!D48:Andover!D48)+SUM(Atlanta!D48:Atlanta!D48)+SUM(Austin!D48:Austin!D48)+SUM(Cincinnati!D48:Cincinnati!D48)+SUM(Fresno!D48:Fresno!D48)+SUM(KC!D48:KC!D48)+SUM(Ogden!D48:Ogden!D48)+SUM(Philadelphia!D48:Philadelphia!D48)</f>
        <v>545888.9480999999</v>
      </c>
      <c r="E48" s="45">
        <f>SUM(Andover!E48:Andover!E48)+SUM(Atlanta!E48:Atlanta!E48)+SUM(Austin!E48:Austin!E48)+SUM(Cincinnati!E48:Cincinnati!E48)+SUM(Fresno!E48:Fresno!E48)+SUM(KC!E48:KC!E48)+SUM(Ogden!E48:Ogden!E48)+SUM(Philadelphia!E48:Philadelphia!E48)</f>
        <v>362412.74639999995</v>
      </c>
      <c r="F48" s="45">
        <f>SUM(Andover!F48:Andover!F48)+SUM(Atlanta!F48:Atlanta!F48)+SUM(Austin!F48:Austin!F48)+SUM(Cincinnati!F48:Cincinnati!F48)+SUM(Fresno!F48:Fresno!F48)+SUM(KC!F48:KC!F48)+SUM(Ogden!F48:Ogden!F48)+SUM(Philadelphia!F48:Philadelphia!F48)</f>
        <v>262895.7146</v>
      </c>
      <c r="G48" s="45">
        <f>SUM(Andover!G48:Andover!G48)+SUM(Atlanta!G48:Atlanta!G48)+SUM(Austin!G48:Austin!G48)+SUM(Cincinnati!G48:Cincinnati!G48)+SUM(Fresno!G48:Fresno!G48)+SUM(KC!G48:KC!G48)+SUM(Ogden!G48:Ogden!G48)+SUM(Philadelphia!G48:Philadelphia!G48)</f>
        <v>350297.30960000004</v>
      </c>
      <c r="H48" s="45">
        <f>SUM(Andover!H48:Andover!H48)+SUM(Atlanta!H48:Atlanta!H48)+SUM(Austin!H48:Austin!H48)+SUM(Cincinnati!H48:Cincinnati!H48)+SUM(Fresno!H48:Fresno!H48)+SUM(KC!H48:KC!H48)+SUM(Ogden!H48:Ogden!H48)+SUM(Philadelphia!H48:Philadelphia!H48)</f>
        <v>366570.1891</v>
      </c>
      <c r="I48" s="45">
        <f>SUM(Andover!I48:Andover!I48)+SUM(Atlanta!I48:Atlanta!I48)+SUM(Austin!I48:Austin!I48)+SUM(Cincinnati!I48:Cincinnati!I48)+SUM(Fresno!I48:Fresno!I48)+SUM(KC!I48:KC!I48)+SUM(Ogden!I48:Ogden!I48)+SUM(Philadelphia!I48:Philadelphia!I48)</f>
        <v>613846.4666</v>
      </c>
      <c r="J48" s="45">
        <f>SUM(Andover!J48:Andover!J48)+SUM(Atlanta!J48:Atlanta!J48)+SUM(Austin!J48:Austin!J48)+SUM(Cincinnati!J48:Cincinnati!J48)+SUM(Fresno!J48:Fresno!J48)+SUM(KC!J48:KC!J48)+SUM(Ogden!J48:Ogden!J48)+SUM(Philadelphia!J48:Philadelphia!J48)</f>
        <v>749291.2346999999</v>
      </c>
      <c r="K48" s="45">
        <f>SUM(Andover!K48:Andover!K48)+SUM(Atlanta!K48:Atlanta!K48)+SUM(Austin!K48:Austin!K48)+SUM(Cincinnati!K48:Cincinnati!K48)+SUM(Fresno!K48:Fresno!K48)+SUM(KC!K48:KC!K48)+SUM(Ogden!K48:Ogden!K48)+SUM(Philadelphia!K48:Philadelphia!K48)</f>
        <v>927004.1703000001</v>
      </c>
      <c r="L48" s="45">
        <f>SUM(Andover!L48:Andover!L48)+SUM(Atlanta!L48:Atlanta!L48)+SUM(Austin!L48:Austin!L48)+SUM(Cincinnati!L48:Cincinnati!L48)+SUM(Fresno!L48:Fresno!L48)+SUM(KC!L48:KC!L48)+SUM(Ogden!L48:Ogden!L48)+SUM(Philadelphia!L48:Philadelphia!L48)</f>
        <v>1029829.6143</v>
      </c>
      <c r="M48" s="45">
        <f>SUM(Andover!M48:Andover!M48)+SUM(Atlanta!M48:Atlanta!M48)+SUM(Austin!M48:Austin!M48)+SUM(Cincinnati!M48:Cincinnati!M48)+SUM(Fresno!M48:Fresno!M48)+SUM(KC!M48:KC!M48)+SUM(Ogden!M48:Ogden!M48)+SUM(Philadelphia!M48:Philadelphia!M48)</f>
        <v>912719.5782000001</v>
      </c>
      <c r="N48" s="45">
        <f>SUM(Andover!N48:Andover!N48)+SUM(Atlanta!N48:Atlanta!N48)+SUM(Austin!N48:Austin!N48)+SUM(Cincinnati!N48:Cincinnati!N48)+SUM(Fresno!N48:Fresno!N48)+SUM(KC!N48:KC!N48)+SUM(Ogden!N48:Ogden!N48)+SUM(Philadelphia!N48:Philadelphia!N48)</f>
        <v>505696.71859999996</v>
      </c>
      <c r="O48" s="45">
        <f>SUM(Andover!O48:Andover!O48)+SUM(Atlanta!O48:Atlanta!O48)+SUM(Austin!O48:Austin!O48)+SUM(Cincinnati!O48:Cincinnati!O48)+SUM(Fresno!O48:Fresno!O48)+SUM(KC!O48:KC!O48)+SUM(Ogden!O48:Ogden!O48)+SUM(Philadelphia!O48:Philadelphia!O48)</f>
        <v>336451.20519999997</v>
      </c>
      <c r="P48" s="57">
        <f t="shared" si="4"/>
        <v>6962903.8957</v>
      </c>
      <c r="Q48" s="35" t="s">
        <v>209</v>
      </c>
    </row>
    <row r="49" spans="1:17" s="2" customFormat="1" ht="36">
      <c r="A49" s="6" t="s">
        <v>263</v>
      </c>
      <c r="B49" s="7" t="s">
        <v>126</v>
      </c>
      <c r="C49" s="27" t="s">
        <v>207</v>
      </c>
      <c r="D49" s="45">
        <f>SUM(Andover!D49:Andover!D49)+SUM(Atlanta!D49:Atlanta!D49)+SUM(Austin!D49:Austin!D49)+SUM(Cincinnati!D49:Cincinnati!D49)+SUM(Fresno!D49:Fresno!D49)+SUM(KC!D49:KC!D49)+SUM(Ogden!D49:Ogden!D49)+SUM(Philadelphia!D49:Philadelphia!D49)</f>
        <v>10029.5944</v>
      </c>
      <c r="E49" s="45">
        <f>SUM(Andover!E49:Andover!E49)+SUM(Atlanta!E49:Atlanta!E49)+SUM(Austin!E49:Austin!E49)+SUM(Cincinnati!E49:Cincinnati!E49)+SUM(Fresno!E49:Fresno!E49)+SUM(KC!E49:KC!E49)+SUM(Ogden!E49:Ogden!E49)+SUM(Philadelphia!E49:Philadelphia!E49)</f>
        <v>1563.9624000000001</v>
      </c>
      <c r="F49" s="45">
        <f>SUM(Andover!F49:Andover!F49)+SUM(Atlanta!F49:Atlanta!F49)+SUM(Austin!F49:Austin!F49)+SUM(Cincinnati!F49:Cincinnati!F49)+SUM(Fresno!F49:Fresno!F49)+SUM(KC!F49:KC!F49)+SUM(Ogden!F49:Ogden!F49)+SUM(Philadelphia!F49:Philadelphia!F49)</f>
        <v>7293.2173999999995</v>
      </c>
      <c r="G49" s="45">
        <f>SUM(Andover!G49:Andover!G49)+SUM(Atlanta!G49:Atlanta!G49)+SUM(Austin!G49:Austin!G49)+SUM(Cincinnati!G49:Cincinnati!G49)+SUM(Fresno!G49:Fresno!G49)+SUM(KC!G49:KC!G49)+SUM(Ogden!G49:Ogden!G49)+SUM(Philadelphia!G49:Philadelphia!G49)</f>
        <v>3860.2088000000003</v>
      </c>
      <c r="H49" s="45">
        <f>SUM(Andover!H49:Andover!H49)+SUM(Atlanta!H49:Atlanta!H49)+SUM(Austin!H49:Austin!H49)+SUM(Cincinnati!H49:Cincinnati!H49)+SUM(Fresno!H49:Fresno!H49)+SUM(KC!H49:KC!H49)+SUM(Ogden!H49:Ogden!H49)+SUM(Philadelphia!H49:Philadelphia!H49)</f>
        <v>1986.4754000000003</v>
      </c>
      <c r="I49" s="45">
        <f>SUM(Andover!I49:Andover!I49)+SUM(Atlanta!I49:Atlanta!I49)+SUM(Austin!I49:Austin!I49)+SUM(Cincinnati!I49:Cincinnati!I49)+SUM(Fresno!I49:Fresno!I49)+SUM(KC!I49:KC!I49)+SUM(Ogden!I49:Ogden!I49)+SUM(Philadelphia!I49:Philadelphia!I49)</f>
        <v>2224.992</v>
      </c>
      <c r="J49" s="45">
        <f>SUM(Andover!J49:Andover!J49)+SUM(Atlanta!J49:Atlanta!J49)+SUM(Austin!J49:Austin!J49)+SUM(Cincinnati!J49:Cincinnati!J49)+SUM(Fresno!J49:Fresno!J49)+SUM(KC!J49:KC!J49)+SUM(Ogden!J49:Ogden!J49)+SUM(Philadelphia!J49:Philadelphia!J49)</f>
        <v>19361.356</v>
      </c>
      <c r="K49" s="45">
        <f>SUM(Andover!K49:Andover!K49)+SUM(Atlanta!K49:Atlanta!K49)+SUM(Austin!K49:Austin!K49)+SUM(Cincinnati!K49:Cincinnati!K49)+SUM(Fresno!K49:Fresno!K49)+SUM(KC!K49:KC!K49)+SUM(Ogden!K49:Ogden!K49)+SUM(Philadelphia!K49:Philadelphia!K49)</f>
        <v>35463.1872</v>
      </c>
      <c r="L49" s="45">
        <f>SUM(Andover!L49:Andover!L49)+SUM(Atlanta!L49:Atlanta!L49)+SUM(Austin!L49:Austin!L49)+SUM(Cincinnati!L49:Cincinnati!L49)+SUM(Fresno!L49:Fresno!L49)+SUM(KC!L49:KC!L49)+SUM(Ogden!L49:Ogden!L49)+SUM(Philadelphia!L49:Philadelphia!L49)</f>
        <v>94146.1598</v>
      </c>
      <c r="M49" s="45">
        <f>SUM(Andover!M49:Andover!M49)+SUM(Atlanta!M49:Atlanta!M49)+SUM(Austin!M49:Austin!M49)+SUM(Cincinnati!M49:Cincinnati!M49)+SUM(Fresno!M49:Fresno!M49)+SUM(KC!M49:KC!M49)+SUM(Ogden!M49:Ogden!M49)+SUM(Philadelphia!M49:Philadelphia!M49)</f>
        <v>27198.5868</v>
      </c>
      <c r="N49" s="45">
        <f>SUM(Andover!N49:Andover!N49)+SUM(Atlanta!N49:Atlanta!N49)+SUM(Austin!N49:Austin!N49)+SUM(Cincinnati!N49:Cincinnati!N49)+SUM(Fresno!N49:Fresno!N49)+SUM(KC!N49:KC!N49)+SUM(Ogden!N49:Ogden!N49)+SUM(Philadelphia!N49:Philadelphia!N49)</f>
        <v>24605.418599999997</v>
      </c>
      <c r="O49" s="45">
        <f>SUM(Andover!O49:Andover!O49)+SUM(Atlanta!O49:Atlanta!O49)+SUM(Austin!O49:Austin!O49)+SUM(Cincinnati!O49:Cincinnati!O49)+SUM(Fresno!O49:Fresno!O49)+SUM(KC!O49:KC!O49)+SUM(Ogden!O49:Ogden!O49)+SUM(Philadelphia!O49:Philadelphia!O49)</f>
        <v>13997.8538</v>
      </c>
      <c r="P49" s="57">
        <f t="shared" si="4"/>
        <v>241731.01260000002</v>
      </c>
      <c r="Q49" s="7" t="s">
        <v>58</v>
      </c>
    </row>
    <row r="50" spans="1:17" s="2" customFormat="1" ht="36">
      <c r="A50" s="6" t="s">
        <v>263</v>
      </c>
      <c r="B50" s="7" t="s">
        <v>126</v>
      </c>
      <c r="C50" s="27" t="s">
        <v>208</v>
      </c>
      <c r="D50" s="45">
        <f>SUM(Andover!D50:Andover!D50)+SUM(Atlanta!D50:Atlanta!D50)+SUM(Austin!D50:Austin!D50)+SUM(Cincinnati!D50:Cincinnati!D50)+SUM(Fresno!D50:Fresno!D50)+SUM(KC!D50:KC!D50)+SUM(Ogden!D50:Ogden!D50)+SUM(Philadelphia!D50:Philadelphia!D50)</f>
        <v>4945827.651099999</v>
      </c>
      <c r="E50" s="45">
        <f>SUM(Andover!E50:Andover!E50)+SUM(Atlanta!E50:Atlanta!E50)+SUM(Austin!E50:Austin!E50)+SUM(Cincinnati!E50:Cincinnati!E50)+SUM(Fresno!E50:Fresno!E50)+SUM(KC!E50:KC!E50)+SUM(Ogden!E50:Ogden!E50)+SUM(Philadelphia!E50:Philadelphia!E50)</f>
        <v>3058222.4444</v>
      </c>
      <c r="F50" s="45">
        <f>SUM(Andover!F50:Andover!F50)+SUM(Atlanta!F50:Atlanta!F50)+SUM(Austin!F50:Austin!F50)+SUM(Cincinnati!F50:Cincinnati!F50)+SUM(Fresno!F50:Fresno!F50)+SUM(KC!F50:KC!F50)+SUM(Ogden!F50:Ogden!F50)+SUM(Philadelphia!F50:Philadelphia!F50)</f>
        <v>1203561.4745</v>
      </c>
      <c r="G50" s="45">
        <f>SUM(Andover!G50:Andover!G50)+SUM(Atlanta!G50:Atlanta!G50)+SUM(Austin!G50:Austin!G50)+SUM(Cincinnati!G50:Cincinnati!G50)+SUM(Fresno!G50:Fresno!G50)+SUM(KC!G50:KC!G50)+SUM(Ogden!G50:Ogden!G50)+SUM(Philadelphia!G50:Philadelphia!G50)</f>
        <v>681894.4115</v>
      </c>
      <c r="H50" s="45">
        <f>SUM(Andover!H50:Andover!H50)+SUM(Atlanta!H50:Atlanta!H50)+SUM(Austin!H50:Austin!H50)+SUM(Cincinnati!H50:Cincinnati!H50)+SUM(Fresno!H50:Fresno!H50)+SUM(KC!H50:KC!H50)+SUM(Ogden!H50:Ogden!H50)+SUM(Philadelphia!H50:Philadelphia!H50)</f>
        <v>322788.34349999996</v>
      </c>
      <c r="I50" s="45">
        <f>SUM(Andover!I50:Andover!I50)+SUM(Atlanta!I50:Atlanta!I50)+SUM(Austin!I50:Austin!I50)+SUM(Cincinnati!I50:Cincinnati!I50)+SUM(Fresno!I50:Fresno!I50)+SUM(KC!I50:KC!I50)+SUM(Ogden!I50:Ogden!I50)+SUM(Philadelphia!I50:Philadelphia!I50)</f>
        <v>294753.62399999995</v>
      </c>
      <c r="J50" s="45">
        <f>SUM(Andover!J50:Andover!J50)+SUM(Atlanta!J50:Atlanta!J50)+SUM(Austin!J50:Austin!J50)+SUM(Cincinnati!J50:Cincinnati!J50)+SUM(Fresno!J50:Fresno!J50)+SUM(KC!J50:KC!J50)+SUM(Ogden!J50:Ogden!J50)+SUM(Philadelphia!J50:Philadelphia!J50)</f>
        <v>844783.1517999999</v>
      </c>
      <c r="K50" s="45">
        <f>SUM(Andover!K50:Andover!K50)+SUM(Atlanta!K50:Atlanta!K50)+SUM(Austin!K50:Austin!K50)+SUM(Cincinnati!K50:Cincinnati!K50)+SUM(Fresno!K50:Fresno!K50)+SUM(KC!K50:KC!K50)+SUM(Ogden!K50:Ogden!K50)+SUM(Philadelphia!K50:Philadelphia!K50)</f>
        <v>1256471.7998</v>
      </c>
      <c r="L50" s="45">
        <f>SUM(Andover!L50:Andover!L50)+SUM(Atlanta!L50:Atlanta!L50)+SUM(Austin!L50:Austin!L50)+SUM(Cincinnati!L50:Cincinnati!L50)+SUM(Fresno!L50:Fresno!L50)+SUM(KC!L50:KC!L50)+SUM(Ogden!L50:Ogden!L50)+SUM(Philadelphia!L50:Philadelphia!L50)</f>
        <v>225182.6701</v>
      </c>
      <c r="M50" s="45">
        <f>SUM(Andover!M50:Andover!M50)+SUM(Atlanta!M50:Atlanta!M50)+SUM(Austin!M50:Austin!M50)+SUM(Cincinnati!M50:Cincinnati!M50)+SUM(Fresno!M50:Fresno!M50)+SUM(KC!M50:KC!M50)+SUM(Ogden!M50:Ogden!M50)+SUM(Philadelphia!M50:Philadelphia!M50)</f>
        <v>0</v>
      </c>
      <c r="N50" s="45">
        <f>SUM(Andover!N50:Andover!N50)+SUM(Atlanta!N50:Atlanta!N50)+SUM(Austin!N50:Austin!N50)+SUM(Cincinnati!N50:Cincinnati!N50)+SUM(Fresno!N50:Fresno!N50)+SUM(KC!N50:KC!N50)+SUM(Ogden!N50:Ogden!N50)+SUM(Philadelphia!N50:Philadelphia!N50)</f>
        <v>3858.2209999999995</v>
      </c>
      <c r="O50" s="45">
        <f>SUM(Andover!O50:Andover!O50)+SUM(Atlanta!O50:Atlanta!O50)+SUM(Austin!O50:Austin!O50)+SUM(Cincinnati!O50:Cincinnati!O50)+SUM(Fresno!O50:Fresno!O50)+SUM(KC!O50:KC!O50)+SUM(Ogden!O50:Ogden!O50)+SUM(Philadelphia!O50:Philadelphia!O50)</f>
        <v>6461.548</v>
      </c>
      <c r="P50" s="57">
        <f t="shared" si="4"/>
        <v>12843805.339699998</v>
      </c>
      <c r="Q50" s="7" t="s">
        <v>175</v>
      </c>
    </row>
    <row r="51" spans="1:17" s="11" customFormat="1" ht="72">
      <c r="A51" s="6" t="s">
        <v>263</v>
      </c>
      <c r="B51" s="7" t="s">
        <v>126</v>
      </c>
      <c r="C51" s="27" t="s">
        <v>205</v>
      </c>
      <c r="D51" s="45">
        <f>SUM(Andover!D51:Andover!D51)+SUM(Atlanta!D51:Atlanta!D51)+SUM(Austin!D51:Austin!D51)+SUM(Cincinnati!D51:Cincinnati!D51)+SUM(Fresno!D51:Fresno!D51)+SUM(KC!D51:KC!D51)+SUM(Ogden!D51:Ogden!D51)+SUM(Philadelphia!D51:Philadelphia!D51)</f>
        <v>265391.55909999995</v>
      </c>
      <c r="E51" s="45">
        <f>SUM(Andover!E51:Andover!E51)+SUM(Atlanta!E51:Atlanta!E51)+SUM(Austin!E51:Austin!E51)+SUM(Cincinnati!E51:Cincinnati!E51)+SUM(Fresno!E51:Fresno!E51)+SUM(KC!E51:KC!E51)+SUM(Ogden!E51:Ogden!E51)+SUM(Philadelphia!E51:Philadelphia!E51)</f>
        <v>290105.65209999995</v>
      </c>
      <c r="F51" s="45">
        <f>SUM(Andover!F51:Andover!F51)+SUM(Atlanta!F51:Atlanta!F51)+SUM(Austin!F51:Austin!F51)+SUM(Cincinnati!F51:Cincinnati!F51)+SUM(Fresno!F51:Fresno!F51)+SUM(KC!F51:KC!F51)+SUM(Ogden!F51:Ogden!F51)+SUM(Philadelphia!F51:Philadelphia!F51)</f>
        <v>239648.25089999996</v>
      </c>
      <c r="G51" s="45">
        <f>SUM(Andover!G51:Andover!G51)+SUM(Atlanta!G51:Atlanta!G51)+SUM(Austin!G51:Austin!G51)+SUM(Cincinnati!G51:Cincinnati!G51)+SUM(Fresno!G51:Fresno!G51)+SUM(KC!G51:KC!G51)+SUM(Ogden!G51:Ogden!G51)+SUM(Philadelphia!G51:Philadelphia!G51)</f>
        <v>105164.7145</v>
      </c>
      <c r="H51" s="45">
        <f>SUM(Andover!H51:Andover!H51)+SUM(Atlanta!H51:Atlanta!H51)+SUM(Austin!H51:Austin!H51)+SUM(Cincinnati!H51:Cincinnati!H51)+SUM(Fresno!H51:Fresno!H51)+SUM(KC!H51:KC!H51)+SUM(Ogden!H51:Ogden!H51)+SUM(Philadelphia!H51:Philadelphia!H51)</f>
        <v>173791.5043</v>
      </c>
      <c r="I51" s="45">
        <f>SUM(Andover!I51:Andover!I51)+SUM(Atlanta!I51:Atlanta!I51)+SUM(Austin!I51:Austin!I51)+SUM(Cincinnati!I51:Cincinnati!I51)+SUM(Fresno!I51:Fresno!I51)+SUM(KC!I51:KC!I51)+SUM(Ogden!I51:Ogden!I51)+SUM(Philadelphia!I51:Philadelphia!I51)</f>
        <v>463541.3596</v>
      </c>
      <c r="J51" s="45">
        <f>SUM(Andover!J51:Andover!J51)+SUM(Atlanta!J51:Atlanta!J51)+SUM(Austin!J51:Austin!J51)+SUM(Cincinnati!J51:Cincinnati!J51)+SUM(Fresno!J51:Fresno!J51)+SUM(KC!J51:KC!J51)+SUM(Ogden!J51:Ogden!J51)+SUM(Philadelphia!J51:Philadelphia!J51)</f>
        <v>580711.3668000001</v>
      </c>
      <c r="K51" s="45">
        <f>SUM(Andover!K51:Andover!K51)+SUM(Atlanta!K51:Atlanta!K51)+SUM(Austin!K51:Austin!K51)+SUM(Cincinnati!K51:Cincinnati!K51)+SUM(Fresno!K51:Fresno!K51)+SUM(KC!K51:KC!K51)+SUM(Ogden!K51:Ogden!K51)+SUM(Philadelphia!K51:Philadelphia!K51)</f>
        <v>690858.3444999999</v>
      </c>
      <c r="L51" s="45">
        <f>SUM(Andover!L51:Andover!L51)+SUM(Atlanta!L51:Atlanta!L51)+SUM(Austin!L51:Austin!L51)+SUM(Cincinnati!L51:Cincinnati!L51)+SUM(Fresno!L51:Fresno!L51)+SUM(KC!L51:KC!L51)+SUM(Ogden!L51:Ogden!L51)+SUM(Philadelphia!L51:Philadelphia!L51)</f>
        <v>612605.6828999999</v>
      </c>
      <c r="M51" s="45">
        <f>SUM(Andover!M51:Andover!M51)+SUM(Atlanta!M51:Atlanta!M51)+SUM(Austin!M51:Austin!M51)+SUM(Cincinnati!M51:Cincinnati!M51)+SUM(Fresno!M51:Fresno!M51)+SUM(KC!M51:KC!M51)+SUM(Ogden!M51:Ogden!M51)+SUM(Philadelphia!M51:Philadelphia!M51)</f>
        <v>554523.2120999999</v>
      </c>
      <c r="N51" s="45">
        <f>SUM(Andover!N51:Andover!N51)+SUM(Atlanta!N51:Atlanta!N51)+SUM(Austin!N51:Austin!N51)+SUM(Cincinnati!N51:Cincinnati!N51)+SUM(Fresno!N51:Fresno!N51)+SUM(KC!N51:KC!N51)+SUM(Ogden!N51:Ogden!N51)+SUM(Philadelphia!N51:Philadelphia!N51)</f>
        <v>291118.348</v>
      </c>
      <c r="O51" s="45">
        <f>SUM(Andover!O51:Andover!O51)+SUM(Atlanta!O51:Atlanta!O51)+SUM(Austin!O51:Austin!O51)+SUM(Cincinnati!O51:Cincinnati!O51)+SUM(Fresno!O51:Fresno!O51)+SUM(KC!O51:KC!O51)+SUM(Ogden!O51:Ogden!O51)+SUM(Philadelphia!O51:Philadelphia!O51)</f>
        <v>293964.3818</v>
      </c>
      <c r="P51" s="57">
        <f aca="true" t="shared" si="8" ref="P51:P58">SUM(D51:O51)</f>
        <v>4561424.376599999</v>
      </c>
      <c r="Q51" s="7" t="s">
        <v>204</v>
      </c>
    </row>
    <row r="52" spans="1:17" s="11" customFormat="1" ht="36">
      <c r="A52" s="6" t="s">
        <v>263</v>
      </c>
      <c r="B52" s="7" t="s">
        <v>126</v>
      </c>
      <c r="C52" s="27" t="s">
        <v>226</v>
      </c>
      <c r="D52" s="45">
        <f>D68</f>
        <v>6461367.5139999995</v>
      </c>
      <c r="E52" s="45">
        <f aca="true" t="shared" si="9" ref="E52:O52">E68</f>
        <v>5211177.6301</v>
      </c>
      <c r="F52" s="45">
        <f t="shared" si="9"/>
        <v>5392015.674500001</v>
      </c>
      <c r="G52" s="45">
        <f t="shared" si="9"/>
        <v>5175919.8349</v>
      </c>
      <c r="H52" s="45">
        <f t="shared" si="9"/>
        <v>4645205.1351</v>
      </c>
      <c r="I52" s="45">
        <f t="shared" si="9"/>
        <v>6252378.575000001</v>
      </c>
      <c r="J52" s="45">
        <f t="shared" si="9"/>
        <v>6859401.097999999</v>
      </c>
      <c r="K52" s="45">
        <f t="shared" si="9"/>
        <v>8768459.894399999</v>
      </c>
      <c r="L52" s="45">
        <f t="shared" si="9"/>
        <v>6889133.826299999</v>
      </c>
      <c r="M52" s="45">
        <f t="shared" si="9"/>
        <v>7729288.802099999</v>
      </c>
      <c r="N52" s="45">
        <f t="shared" si="9"/>
        <v>5872803.9659</v>
      </c>
      <c r="O52" s="45">
        <f t="shared" si="9"/>
        <v>5573974.2757</v>
      </c>
      <c r="P52" s="57">
        <f t="shared" si="8"/>
        <v>74831126.22600001</v>
      </c>
      <c r="Q52" s="7" t="s">
        <v>281</v>
      </c>
    </row>
    <row r="53" spans="1:17" s="2" customFormat="1" ht="24">
      <c r="A53" s="109" t="s">
        <v>264</v>
      </c>
      <c r="B53" s="110"/>
      <c r="C53" s="111"/>
      <c r="D53" s="113">
        <f>SUM(D48:D52)</f>
        <v>12228505.2667</v>
      </c>
      <c r="E53" s="113">
        <f aca="true" t="shared" si="10" ref="E53:O53">SUM(E48:E52)</f>
        <v>8923482.4354</v>
      </c>
      <c r="F53" s="113">
        <f t="shared" si="10"/>
        <v>7105414.331900001</v>
      </c>
      <c r="G53" s="113">
        <f t="shared" si="10"/>
        <v>6317136.4793</v>
      </c>
      <c r="H53" s="113">
        <f t="shared" si="10"/>
        <v>5510341.647399999</v>
      </c>
      <c r="I53" s="113">
        <f t="shared" si="10"/>
        <v>7626745.017200001</v>
      </c>
      <c r="J53" s="113">
        <f t="shared" si="10"/>
        <v>9053548.2073</v>
      </c>
      <c r="K53" s="113">
        <f t="shared" si="10"/>
        <v>11678257.396199998</v>
      </c>
      <c r="L53" s="113">
        <f t="shared" si="10"/>
        <v>8850897.953399999</v>
      </c>
      <c r="M53" s="113">
        <f t="shared" si="10"/>
        <v>9223730.1792</v>
      </c>
      <c r="N53" s="113">
        <f t="shared" si="10"/>
        <v>6698082.6721</v>
      </c>
      <c r="O53" s="113">
        <f t="shared" si="10"/>
        <v>6224849.2645</v>
      </c>
      <c r="P53" s="114">
        <f t="shared" si="8"/>
        <v>99440990.85059997</v>
      </c>
      <c r="Q53" s="111" t="s">
        <v>282</v>
      </c>
    </row>
    <row r="54" spans="1:17" s="2" customFormat="1" ht="84">
      <c r="A54" s="6" t="s">
        <v>263</v>
      </c>
      <c r="B54" s="7" t="s">
        <v>126</v>
      </c>
      <c r="C54" s="7" t="s">
        <v>152</v>
      </c>
      <c r="D54" s="45">
        <f>SUM(Andover!D54:Andover!D54)+SUM(Atlanta!D54:Atlanta!D54)+SUM(Austin!D54:Austin!D54)+SUM(Cincinnati!D54:Cincinnati!D54)+SUM(Fresno!D54:Fresno!D54)+SUM(KC!D54:KC!D54)+SUM(Ogden!D54:Ogden!D54)+SUM(Philadelphia!D54:Philadelphia!D54)</f>
        <v>122285.05266700001</v>
      </c>
      <c r="E54" s="45">
        <f>SUM(Andover!E54:Andover!E54)+SUM(Atlanta!E54:Atlanta!E54)+SUM(Austin!E54:Austin!E54)+SUM(Cincinnati!E54:Cincinnati!E54)+SUM(Fresno!E54:Fresno!E54)+SUM(KC!E54:KC!E54)+SUM(Ogden!E54:Ogden!E54)+SUM(Philadelphia!E54:Philadelphia!E54)</f>
        <v>89234.824354</v>
      </c>
      <c r="F54" s="45">
        <f>SUM(Andover!F54:Andover!F54)+SUM(Atlanta!F54:Atlanta!F54)+SUM(Austin!F54:Austin!F54)+SUM(Cincinnati!F54:Cincinnati!F54)+SUM(Fresno!F54:Fresno!F54)+SUM(KC!F54:KC!F54)+SUM(Ogden!F54:Ogden!F54)+SUM(Philadelphia!F54:Philadelphia!F54)</f>
        <v>71054.143319</v>
      </c>
      <c r="G54" s="45">
        <f>SUM(Andover!G54:Andover!G54)+SUM(Atlanta!G54:Atlanta!G54)+SUM(Austin!G54:Austin!G54)+SUM(Cincinnati!G54:Cincinnati!G54)+SUM(Fresno!G54:Fresno!G54)+SUM(KC!G54:KC!G54)+SUM(Ogden!G54:Ogden!G54)+SUM(Philadelphia!G54:Philadelphia!G54)</f>
        <v>63171.364793</v>
      </c>
      <c r="H54" s="45">
        <f>SUM(Andover!H54:Andover!H54)+SUM(Atlanta!H54:Atlanta!H54)+SUM(Austin!H54:Austin!H54)+SUM(Cincinnati!H54:Cincinnati!H54)+SUM(Fresno!H54:Fresno!H54)+SUM(KC!H54:KC!H54)+SUM(Ogden!H54:Ogden!H54)+SUM(Philadelphia!H54:Philadelphia!H54)</f>
        <v>55103.416474</v>
      </c>
      <c r="I54" s="45">
        <f>SUM(Andover!I54:Andover!I54)+SUM(Atlanta!I54:Atlanta!I54)+SUM(Austin!I54:Austin!I54)+SUM(Cincinnati!I54:Cincinnati!I54)+SUM(Fresno!I54:Fresno!I54)+SUM(KC!I54:KC!I54)+SUM(Ogden!I54:Ogden!I54)+SUM(Philadelphia!I54:Philadelphia!I54)</f>
        <v>76267.45017199998</v>
      </c>
      <c r="J54" s="45">
        <f>SUM(Andover!J54:Andover!J54)+SUM(Atlanta!J54:Atlanta!J54)+SUM(Austin!J54:Austin!J54)+SUM(Cincinnati!J54:Cincinnati!J54)+SUM(Fresno!J54:Fresno!J54)+SUM(KC!J54:KC!J54)+SUM(Ogden!J54:Ogden!J54)+SUM(Philadelphia!J54:Philadelphia!J54)</f>
        <v>90535.48207299999</v>
      </c>
      <c r="K54" s="45">
        <f>SUM(Andover!K54:Andover!K54)+SUM(Atlanta!K54:Atlanta!K54)+SUM(Austin!K54:Austin!K54)+SUM(Cincinnati!K54:Cincinnati!K54)+SUM(Fresno!K54:Fresno!K54)+SUM(KC!K54:KC!K54)+SUM(Ogden!K54:Ogden!K54)+SUM(Philadelphia!K54:Philadelphia!K54)</f>
        <v>116782.573962</v>
      </c>
      <c r="L54" s="45">
        <f>SUM(Andover!L54:Andover!L54)+SUM(Atlanta!L54:Atlanta!L54)+SUM(Austin!L54:Austin!L54)+SUM(Cincinnati!L54:Cincinnati!L54)+SUM(Fresno!L54:Fresno!L54)+SUM(KC!L54:KC!L54)+SUM(Ogden!L54:Ogden!L54)+SUM(Philadelphia!L54:Philadelphia!L54)</f>
        <v>88508.979534</v>
      </c>
      <c r="M54" s="45">
        <f>SUM(Andover!M54:Andover!M54)+SUM(Atlanta!M54:Atlanta!M54)+SUM(Austin!M54:Austin!M54)+SUM(Cincinnati!M54:Cincinnati!M54)+SUM(Fresno!M54:Fresno!M54)+SUM(KC!M54:KC!M54)+SUM(Ogden!M54:Ogden!M54)+SUM(Philadelphia!M54:Philadelphia!M54)</f>
        <v>92237.301792</v>
      </c>
      <c r="N54" s="45">
        <f>SUM(Andover!N54:Andover!N54)+SUM(Atlanta!N54:Atlanta!N54)+SUM(Austin!N54:Austin!N54)+SUM(Cincinnati!N54:Cincinnati!N54)+SUM(Fresno!N54:Fresno!N54)+SUM(KC!N54:KC!N54)+SUM(Ogden!N54:Ogden!N54)+SUM(Philadelphia!N54:Philadelphia!N54)</f>
        <v>66980.82672099999</v>
      </c>
      <c r="O54" s="45">
        <f>SUM(Andover!O54:Andover!O54)+SUM(Atlanta!O54:Atlanta!O54)+SUM(Austin!O54:Austin!O54)+SUM(Cincinnati!O54:Cincinnati!O54)+SUM(Fresno!O54:Fresno!O54)+SUM(KC!O54:KC!O54)+SUM(Ogden!O54:Ogden!O54)+SUM(Philadelphia!O54:Philadelphia!O54)</f>
        <v>62248.492645000006</v>
      </c>
      <c r="P54" s="45">
        <f t="shared" si="8"/>
        <v>994409.908506</v>
      </c>
      <c r="Q54" s="7" t="s">
        <v>220</v>
      </c>
    </row>
    <row r="55" spans="1:17" s="2" customFormat="1" ht="72">
      <c r="A55" s="4" t="s">
        <v>265</v>
      </c>
      <c r="B55" s="5" t="s">
        <v>27</v>
      </c>
      <c r="C55" s="5" t="s">
        <v>70</v>
      </c>
      <c r="D55" s="45">
        <f>SUM(Andover!D55:Andover!D55)+SUM(Atlanta!D55:Atlanta!D55)+SUM(Austin!D55:Austin!D55)+SUM(Cincinnati!D55:Cincinnati!D55)+SUM(Fresno!D55:Fresno!D55)+SUM(KC!D55:KC!D55)+SUM(Ogden!D55:Ogden!D55)+SUM(Philadelphia!D55:Philadelphia!D55)</f>
        <v>374529.8757</v>
      </c>
      <c r="E55" s="45">
        <f>SUM(Andover!E55:Andover!E55)+SUM(Atlanta!E55:Atlanta!E55)+SUM(Austin!E55:Austin!E55)+SUM(Cincinnati!E55:Cincinnati!E55)+SUM(Fresno!E55:Fresno!E55)+SUM(KC!E55:KC!E55)+SUM(Ogden!E55:Ogden!E55)+SUM(Philadelphia!E55:Philadelphia!E55)</f>
        <v>153708.1172</v>
      </c>
      <c r="F55" s="45">
        <f>SUM(Andover!F55:Andover!F55)+SUM(Atlanta!F55:Atlanta!F55)+SUM(Austin!F55:Austin!F55)+SUM(Cincinnati!F55:Cincinnati!F55)+SUM(Fresno!F55:Fresno!F55)+SUM(KC!F55:KC!F55)+SUM(Ogden!F55:Ogden!F55)+SUM(Philadelphia!F55:Philadelphia!F55)</f>
        <v>161814.5953</v>
      </c>
      <c r="G55" s="45">
        <f>SUM(Andover!G55:Andover!G55)+SUM(Atlanta!G55:Atlanta!G55)+SUM(Austin!G55:Austin!G55)+SUM(Cincinnati!G55:Cincinnati!G55)+SUM(Fresno!G55:Fresno!G55)+SUM(KC!G55:KC!G55)+SUM(Ogden!G55:Ogden!G55)+SUM(Philadelphia!G55:Philadelphia!G55)</f>
        <v>323905.2618</v>
      </c>
      <c r="H55" s="45">
        <f>SUM(Andover!H55:Andover!H55)+SUM(Atlanta!H55:Atlanta!H55)+SUM(Austin!H55:Austin!H55)+SUM(Cincinnati!H55:Cincinnati!H55)+SUM(Fresno!H55:Fresno!H55)+SUM(KC!H55:KC!H55)+SUM(Ogden!H55:Ogden!H55)+SUM(Philadelphia!H55:Philadelphia!H55)</f>
        <v>323068.41689999995</v>
      </c>
      <c r="I55" s="45">
        <f>SUM(Andover!I55:Andover!I55)+SUM(Atlanta!I55:Atlanta!I55)+SUM(Austin!I55:Austin!I55)+SUM(Cincinnati!I55:Cincinnati!I55)+SUM(Fresno!I55:Fresno!I55)+SUM(KC!I55:KC!I55)+SUM(Ogden!I55:Ogden!I55)+SUM(Philadelphia!I55:Philadelphia!I55)</f>
        <v>254998.43079999997</v>
      </c>
      <c r="J55" s="45">
        <f>SUM(Andover!J55:Andover!J55)+SUM(Atlanta!J55:Atlanta!J55)+SUM(Austin!J55:Austin!J55)+SUM(Cincinnati!J55:Cincinnati!J55)+SUM(Fresno!J55:Fresno!J55)+SUM(KC!J55:KC!J55)+SUM(Ogden!J55:Ogden!J55)+SUM(Philadelphia!J55:Philadelphia!J55)</f>
        <v>461437.3228999999</v>
      </c>
      <c r="K55" s="45">
        <f>SUM(Andover!K55:Andover!K55)+SUM(Atlanta!K55:Atlanta!K55)+SUM(Austin!K55:Austin!K55)+SUM(Cincinnati!K55:Cincinnati!K55)+SUM(Fresno!K55:Fresno!K55)+SUM(KC!K55:KC!K55)+SUM(Ogden!K55:Ogden!K55)+SUM(Philadelphia!K55:Philadelphia!K55)</f>
        <v>556263.1174999999</v>
      </c>
      <c r="L55" s="45">
        <f>SUM(Andover!L55:Andover!L55)+SUM(Atlanta!L55:Atlanta!L55)+SUM(Austin!L55:Austin!L55)+SUM(Cincinnati!L55:Cincinnati!L55)+SUM(Fresno!L55:Fresno!L55)+SUM(KC!L55:KC!L55)+SUM(Ogden!L55:Ogden!L55)+SUM(Philadelphia!L55:Philadelphia!L55)</f>
        <v>305206.9471</v>
      </c>
      <c r="M55" s="45">
        <f>SUM(Andover!M55:Andover!M55)+SUM(Atlanta!M55:Atlanta!M55)+SUM(Austin!M55:Austin!M55)+SUM(Cincinnati!M55:Cincinnati!M55)+SUM(Fresno!M55:Fresno!M55)+SUM(KC!M55:KC!M55)+SUM(Ogden!M55:Ogden!M55)+SUM(Philadelphia!M55:Philadelphia!M55)</f>
        <v>270062.7422</v>
      </c>
      <c r="N55" s="45">
        <f>SUM(Andover!N55:Andover!N55)+SUM(Atlanta!N55:Atlanta!N55)+SUM(Austin!N55:Austin!N55)+SUM(Cincinnati!N55:Cincinnati!N55)+SUM(Fresno!N55:Fresno!N55)+SUM(KC!N55:KC!N55)+SUM(Ogden!N55:Ogden!N55)+SUM(Philadelphia!N55:Philadelphia!N55)</f>
        <v>270788.4515</v>
      </c>
      <c r="O55" s="45">
        <f>SUM(Andover!O55:Andover!O55)+SUM(Atlanta!O55:Atlanta!O55)+SUM(Austin!O55:Austin!O55)+SUM(Cincinnati!O55:Cincinnati!O55)+SUM(Fresno!O55:Fresno!O55)+SUM(KC!O55:KC!O55)+SUM(Ogden!O55:Ogden!O55)+SUM(Philadelphia!O55:Philadelphia!O55)</f>
        <v>206056.0915</v>
      </c>
      <c r="P55" s="51">
        <f t="shared" si="8"/>
        <v>3661839.370399999</v>
      </c>
      <c r="Q55" s="27" t="s">
        <v>283</v>
      </c>
    </row>
    <row r="56" spans="1:17" s="2" customFormat="1" ht="36">
      <c r="A56" s="4" t="s">
        <v>265</v>
      </c>
      <c r="B56" s="5" t="s">
        <v>27</v>
      </c>
      <c r="C56" s="5" t="s">
        <v>71</v>
      </c>
      <c r="D56" s="45">
        <f>SUM(Andover!D56:Andover!D56)+SUM(Atlanta!D56:Atlanta!D56)+SUM(Austin!D56:Austin!D56)+SUM(Cincinnati!D56:Cincinnati!D56)+SUM(Fresno!D56:Fresno!D56)+SUM(KC!D56:KC!D56)+SUM(Ogden!D56:Ogden!D56)+SUM(Philadelphia!D56:Philadelphia!D56)</f>
        <v>12491.617400000001</v>
      </c>
      <c r="E56" s="45">
        <f>SUM(Andover!E56:Andover!E56)+SUM(Atlanta!E56:Atlanta!E56)+SUM(Austin!E56:Austin!E56)+SUM(Cincinnati!E56:Cincinnati!E56)+SUM(Fresno!E56:Fresno!E56)+SUM(KC!E56:KC!E56)+SUM(Ogden!E56:Ogden!E56)+SUM(Philadelphia!E56:Philadelphia!E56)</f>
        <v>9145.3699</v>
      </c>
      <c r="F56" s="45">
        <f>SUM(Andover!F56:Andover!F56)+SUM(Atlanta!F56:Atlanta!F56)+SUM(Austin!F56:Austin!F56)+SUM(Cincinnati!F56:Cincinnati!F56)+SUM(Fresno!F56:Fresno!F56)+SUM(KC!F56:KC!F56)+SUM(Ogden!F56:Ogden!F56)+SUM(Philadelphia!F56:Philadelphia!F56)</f>
        <v>5462.956800000001</v>
      </c>
      <c r="G56" s="45">
        <f>SUM(Andover!G56:Andover!G56)+SUM(Atlanta!G56:Atlanta!G56)+SUM(Austin!G56:Austin!G56)+SUM(Cincinnati!G56:Cincinnati!G56)+SUM(Fresno!G56:Fresno!G56)+SUM(KC!G56:KC!G56)+SUM(Ogden!G56:Ogden!G56)+SUM(Philadelphia!G56:Philadelphia!G56)</f>
        <v>7643.8722</v>
      </c>
      <c r="H56" s="45">
        <f>SUM(Andover!H56:Andover!H56)+SUM(Atlanta!H56:Atlanta!H56)+SUM(Austin!H56:Austin!H56)+SUM(Cincinnati!H56:Cincinnati!H56)+SUM(Fresno!H56:Fresno!H56)+SUM(KC!H56:KC!H56)+SUM(Ogden!H56:Ogden!H56)+SUM(Philadelphia!H56:Philadelphia!H56)</f>
        <v>10263.229199999998</v>
      </c>
      <c r="I56" s="45">
        <f>SUM(Andover!I56:Andover!I56)+SUM(Atlanta!I56:Atlanta!I56)+SUM(Austin!I56:Austin!I56)+SUM(Cincinnati!I56:Cincinnati!I56)+SUM(Fresno!I56:Fresno!I56)+SUM(KC!I56:KC!I56)+SUM(Ogden!I56:Ogden!I56)+SUM(Philadelphia!I56:Philadelphia!I56)</f>
        <v>11654.164399999998</v>
      </c>
      <c r="J56" s="45">
        <f>SUM(Andover!J56:Andover!J56)+SUM(Atlanta!J56:Atlanta!J56)+SUM(Austin!J56:Austin!J56)+SUM(Cincinnati!J56:Cincinnati!J56)+SUM(Fresno!J56:Fresno!J56)+SUM(KC!J56:KC!J56)+SUM(Ogden!J56:Ogden!J56)+SUM(Philadelphia!J56:Philadelphia!J56)</f>
        <v>13406.338</v>
      </c>
      <c r="K56" s="45">
        <f>SUM(Andover!K56:Andover!K56)+SUM(Atlanta!K56:Atlanta!K56)+SUM(Austin!K56:Austin!K56)+SUM(Cincinnati!K56:Cincinnati!K56)+SUM(Fresno!K56:Fresno!K56)+SUM(KC!K56:KC!K56)+SUM(Ogden!K56:Ogden!K56)+SUM(Philadelphia!K56:Philadelphia!K56)</f>
        <v>12810.3064</v>
      </c>
      <c r="L56" s="45">
        <f>SUM(Andover!L56:Andover!L56)+SUM(Atlanta!L56:Atlanta!L56)+SUM(Austin!L56:Austin!L56)+SUM(Cincinnati!L56:Cincinnati!L56)+SUM(Fresno!L56:Fresno!L56)+SUM(KC!L56:KC!L56)+SUM(Ogden!L56:Ogden!L56)+SUM(Philadelphia!L56:Philadelphia!L56)</f>
        <v>10261.182</v>
      </c>
      <c r="M56" s="45">
        <f>SUM(Andover!M56:Andover!M56)+SUM(Atlanta!M56:Atlanta!M56)+SUM(Austin!M56:Austin!M56)+SUM(Cincinnati!M56:Cincinnati!M56)+SUM(Fresno!M56:Fresno!M56)+SUM(KC!M56:KC!M56)+SUM(Ogden!M56:Ogden!M56)+SUM(Philadelphia!M56:Philadelphia!M56)</f>
        <v>10572.4224</v>
      </c>
      <c r="N56" s="45">
        <f>SUM(Andover!N56:Andover!N56)+SUM(Atlanta!N56:Atlanta!N56)+SUM(Austin!N56:Austin!N56)+SUM(Cincinnati!N56:Cincinnati!N56)+SUM(Fresno!N56:Fresno!N56)+SUM(KC!N56:KC!N56)+SUM(Ogden!N56:Ogden!N56)+SUM(Philadelphia!N56:Philadelphia!N56)</f>
        <v>8947.6403</v>
      </c>
      <c r="O56" s="45">
        <f>SUM(Andover!O56:Andover!O56)+SUM(Atlanta!O56:Atlanta!O56)+SUM(Austin!O56:Austin!O56)+SUM(Cincinnati!O56:Cincinnati!O56)+SUM(Fresno!O56:Fresno!O56)+SUM(KC!O56:KC!O56)+SUM(Ogden!O56:Ogden!O56)+SUM(Philadelphia!O56:Philadelphia!O56)</f>
        <v>6983.074500000001</v>
      </c>
      <c r="P56" s="51">
        <f t="shared" si="8"/>
        <v>119642.17349999999</v>
      </c>
      <c r="Q56" s="27" t="s">
        <v>72</v>
      </c>
    </row>
    <row r="57" spans="1:17" s="2" customFormat="1" ht="24">
      <c r="A57" s="109" t="s">
        <v>266</v>
      </c>
      <c r="B57" s="110"/>
      <c r="C57" s="111"/>
      <c r="D57" s="113">
        <f aca="true" t="shared" si="11" ref="D57:O57">SUM(D55:D56)</f>
        <v>387021.49309999996</v>
      </c>
      <c r="E57" s="113">
        <f t="shared" si="11"/>
        <v>162853.4871</v>
      </c>
      <c r="F57" s="113">
        <f t="shared" si="11"/>
        <v>167277.5521</v>
      </c>
      <c r="G57" s="113">
        <f t="shared" si="11"/>
        <v>331549.13399999996</v>
      </c>
      <c r="H57" s="113">
        <f t="shared" si="11"/>
        <v>333331.64609999995</v>
      </c>
      <c r="I57" s="113">
        <f t="shared" si="11"/>
        <v>266652.5952</v>
      </c>
      <c r="J57" s="113">
        <f t="shared" si="11"/>
        <v>474843.6608999999</v>
      </c>
      <c r="K57" s="113">
        <f t="shared" si="11"/>
        <v>569073.4238999999</v>
      </c>
      <c r="L57" s="113">
        <f t="shared" si="11"/>
        <v>315468.1291</v>
      </c>
      <c r="M57" s="113">
        <f t="shared" si="11"/>
        <v>280635.16459999996</v>
      </c>
      <c r="N57" s="113">
        <f t="shared" si="11"/>
        <v>279736.09180000005</v>
      </c>
      <c r="O57" s="113">
        <f t="shared" si="11"/>
        <v>213039.166</v>
      </c>
      <c r="P57" s="114">
        <f t="shared" si="8"/>
        <v>3781481.5439</v>
      </c>
      <c r="Q57" s="111" t="s">
        <v>284</v>
      </c>
    </row>
    <row r="58" spans="1:17" s="2" customFormat="1" ht="36">
      <c r="A58" s="4" t="s">
        <v>265</v>
      </c>
      <c r="B58" s="5" t="s">
        <v>27</v>
      </c>
      <c r="C58" s="26" t="s">
        <v>56</v>
      </c>
      <c r="D58" s="45">
        <f>SUM(Andover!D58:Andover!D58)+SUM(Atlanta!D58:Atlanta!D58)+SUM(Austin!D58:Austin!D58)+SUM(Cincinnati!D58:Cincinnati!D58)+SUM(Fresno!D58:Fresno!D58)+SUM(KC!D58:KC!D58)+SUM(Ogden!D58:Ogden!D58)+SUM(Philadelphia!D58:Philadelphia!D58)</f>
        <v>477286.7098</v>
      </c>
      <c r="E58" s="45">
        <f>SUM(Andover!E58:Andover!E58)+SUM(Atlanta!E58:Atlanta!E58)+SUM(Austin!E58:Austin!E58)+SUM(Cincinnati!E58:Cincinnati!E58)+SUM(Fresno!E58:Fresno!E58)+SUM(KC!E58:KC!E58)+SUM(Ogden!E58:Ogden!E58)+SUM(Philadelphia!E58:Philadelphia!E58)</f>
        <v>313906.5429</v>
      </c>
      <c r="F58" s="45">
        <f>SUM(Andover!F58:Andover!F58)+SUM(Atlanta!F58:Atlanta!F58)+SUM(Austin!F58:Austin!F58)+SUM(Cincinnati!F58:Cincinnati!F58)+SUM(Fresno!F58:Fresno!F58)+SUM(KC!F58:KC!F58)+SUM(Ogden!F58:Ogden!F58)+SUM(Philadelphia!F58:Philadelphia!F58)</f>
        <v>250078.9795</v>
      </c>
      <c r="G58" s="45">
        <f>SUM(Andover!G58:Andover!G58)+SUM(Atlanta!G58:Atlanta!G58)+SUM(Austin!G58:Austin!G58)+SUM(Cincinnati!G58:Cincinnati!G58)+SUM(Fresno!G58:Fresno!G58)+SUM(KC!G58:KC!G58)+SUM(Ogden!G58:Ogden!G58)+SUM(Philadelphia!G58:Philadelphia!G58)</f>
        <v>325026.5384</v>
      </c>
      <c r="H58" s="45">
        <f>SUM(Andover!H58:Andover!H58)+SUM(Atlanta!H58:Atlanta!H58)+SUM(Austin!H58:Austin!H58)+SUM(Cincinnati!H58:Cincinnati!H58)+SUM(Fresno!H58:Fresno!H58)+SUM(KC!H58:KC!H58)+SUM(Ogden!H58:Ogden!H58)+SUM(Philadelphia!H58:Philadelphia!H58)</f>
        <v>416198.3431</v>
      </c>
      <c r="I58" s="45">
        <f>SUM(Andover!I58:Andover!I58)+SUM(Atlanta!I58:Atlanta!I58)+SUM(Austin!I58:Austin!I58)+SUM(Cincinnati!I58:Cincinnati!I58)+SUM(Fresno!I58:Fresno!I58)+SUM(KC!I58:KC!I58)+SUM(Ogden!I58:Ogden!I58)+SUM(Philadelphia!I58:Philadelphia!I58)</f>
        <v>447816.29649999994</v>
      </c>
      <c r="J58" s="45">
        <f>SUM(Andover!J58:Andover!J58)+SUM(Atlanta!J58:Atlanta!J58)+SUM(Austin!J58:Austin!J58)+SUM(Cincinnati!J58:Cincinnati!J58)+SUM(Fresno!J58:Fresno!J58)+SUM(KC!J58:KC!J58)+SUM(Ogden!J58:Ogden!J58)+SUM(Philadelphia!J58:Philadelphia!J58)</f>
        <v>395653.0791</v>
      </c>
      <c r="K58" s="45">
        <f>SUM(Andover!K58:Andover!K58)+SUM(Atlanta!K58:Atlanta!K58)+SUM(Austin!K58:Austin!K58)+SUM(Cincinnati!K58:Cincinnati!K58)+SUM(Fresno!K58:Fresno!K58)+SUM(KC!K58:KC!K58)+SUM(Ogden!K58:Ogden!K58)+SUM(Philadelphia!K58:Philadelphia!K58)</f>
        <v>437457.3863</v>
      </c>
      <c r="L58" s="45">
        <f>SUM(Andover!L58:Andover!L58)+SUM(Atlanta!L58:Atlanta!L58)+SUM(Austin!L58:Austin!L58)+SUM(Cincinnati!L58:Cincinnati!L58)+SUM(Fresno!L58:Fresno!L58)+SUM(KC!L58:KC!L58)+SUM(Ogden!L58:Ogden!L58)+SUM(Philadelphia!L58:Philadelphia!L58)</f>
        <v>379533.37509999995</v>
      </c>
      <c r="M58" s="45">
        <f>SUM(Andover!M58:Andover!M58)+SUM(Atlanta!M58:Atlanta!M58)+SUM(Austin!M58:Austin!M58)+SUM(Cincinnati!M58:Cincinnati!M58)+SUM(Fresno!M58:Fresno!M58)+SUM(KC!M58:KC!M58)+SUM(Ogden!M58:Ogden!M58)+SUM(Philadelphia!M58:Philadelphia!M58)</f>
        <v>488638.19200000004</v>
      </c>
      <c r="N58" s="45">
        <f>SUM(Andover!N58:Andover!N58)+SUM(Atlanta!N58:Atlanta!N58)+SUM(Austin!N58:Austin!N58)+SUM(Cincinnati!N58:Cincinnati!N58)+SUM(Fresno!N58:Fresno!N58)+SUM(KC!N58:KC!N58)+SUM(Ogden!N58:Ogden!N58)+SUM(Philadelphia!N58:Philadelphia!N58)</f>
        <v>440770.11340000003</v>
      </c>
      <c r="O58" s="45">
        <f>SUM(Andover!O58:Andover!O58)+SUM(Atlanta!O58:Atlanta!O58)+SUM(Austin!O58:Austin!O58)+SUM(Cincinnati!O58:Cincinnati!O58)+SUM(Fresno!O58:Fresno!O58)+SUM(KC!O58:KC!O58)+SUM(Ogden!O58:Ogden!O58)+SUM(Philadelphia!O58:Philadelphia!O58)</f>
        <v>363479.3183</v>
      </c>
      <c r="P58" s="51">
        <f t="shared" si="8"/>
        <v>4735844.8744</v>
      </c>
      <c r="Q58" s="27" t="s">
        <v>69</v>
      </c>
    </row>
    <row r="59" spans="1:17" s="3" customFormat="1" ht="12">
      <c r="A59" s="208" t="s">
        <v>267</v>
      </c>
      <c r="B59" s="209"/>
      <c r="C59" s="209"/>
      <c r="D59" s="209"/>
      <c r="E59" s="209"/>
      <c r="F59" s="209"/>
      <c r="G59" s="209"/>
      <c r="H59" s="209"/>
      <c r="I59" s="209"/>
      <c r="J59" s="209"/>
      <c r="K59" s="209"/>
      <c r="L59" s="209"/>
      <c r="M59" s="209"/>
      <c r="N59" s="209"/>
      <c r="O59" s="209"/>
      <c r="P59" s="209"/>
      <c r="Q59" s="210"/>
    </row>
    <row r="60" spans="1:17" s="2" customFormat="1" ht="45.75" customHeight="1">
      <c r="A60" s="4" t="s">
        <v>25</v>
      </c>
      <c r="B60" s="9" t="s">
        <v>22</v>
      </c>
      <c r="C60" s="27" t="s">
        <v>154</v>
      </c>
      <c r="D60" s="45">
        <f>SUM(Andover!D60:Andover!D60)+SUM(Atlanta!D60:Atlanta!D60)+SUM(Austin!D60:Austin!D60)+SUM(Cincinnati!D60:Cincinnati!D60)+SUM(Fresno!D60:Fresno!D60)+SUM(KC!D60:KC!D60)+SUM(Ogden!D60:Ogden!D60)+SUM(Philadelphia!D60:Philadelphia!D60)</f>
        <v>183933.7346</v>
      </c>
      <c r="E60" s="45">
        <f>SUM(Andover!E60:Andover!E60)+SUM(Atlanta!E60:Atlanta!E60)+SUM(Austin!E60:Austin!E60)+SUM(Cincinnati!E60:Cincinnati!E60)+SUM(Fresno!E60:Fresno!E60)+SUM(KC!E60:KC!E60)+SUM(Ogden!E60:Ogden!E60)+SUM(Philadelphia!E60:Philadelphia!E60)</f>
        <v>133638.5954</v>
      </c>
      <c r="F60" s="45">
        <f>SUM(Andover!F60:Andover!F60)+SUM(Atlanta!F60:Atlanta!F60)+SUM(Austin!F60:Austin!F60)+SUM(Cincinnati!F60:Cincinnati!F60)+SUM(Fresno!F60:Fresno!F60)+SUM(KC!F60:KC!F60)+SUM(Ogden!F60:Ogden!F60)+SUM(Philadelphia!F60:Philadelphia!F60)</f>
        <v>146246.8061</v>
      </c>
      <c r="G60" s="45">
        <f>SUM(Andover!G60:Andover!G60)+SUM(Atlanta!G60:Atlanta!G60)+SUM(Austin!G60:Austin!G60)+SUM(Cincinnati!G60:Cincinnati!G60)+SUM(Fresno!G60:Fresno!G60)+SUM(KC!G60:KC!G60)+SUM(Ogden!G60:Ogden!G60)+SUM(Philadelphia!G60:Philadelphia!G60)</f>
        <v>107504.57819999999</v>
      </c>
      <c r="H60" s="45">
        <f>SUM(Andover!H60:Andover!H60)+SUM(Atlanta!H60:Atlanta!H60)+SUM(Austin!H60:Austin!H60)+SUM(Cincinnati!H60:Cincinnati!H60)+SUM(Fresno!H60:Fresno!H60)+SUM(KC!H60:KC!H60)+SUM(Ogden!H60:Ogden!H60)+SUM(Philadelphia!H60:Philadelphia!H60)</f>
        <v>164530.37139999997</v>
      </c>
      <c r="I60" s="45">
        <f>SUM(Andover!I60:Andover!I60)+SUM(Atlanta!I60:Atlanta!I60)+SUM(Austin!I60:Austin!I60)+SUM(Cincinnati!I60:Cincinnati!I60)+SUM(Fresno!I60:Fresno!I60)+SUM(KC!I60:KC!I60)+SUM(Ogden!I60:Ogden!I60)+SUM(Philadelphia!I60:Philadelphia!I60)</f>
        <v>96452.64579999998</v>
      </c>
      <c r="J60" s="45">
        <f>SUM(Andover!J60:Andover!J60)+SUM(Atlanta!J60:Atlanta!J60)+SUM(Austin!J60:Austin!J60)+SUM(Cincinnati!J60:Cincinnati!J60)+SUM(Fresno!J60:Fresno!J60)+SUM(KC!J60:KC!J60)+SUM(Ogden!J60:Ogden!J60)+SUM(Philadelphia!J60:Philadelphia!J60)</f>
        <v>101043.0167</v>
      </c>
      <c r="K60" s="45">
        <f>SUM(Andover!K60:Andover!K60)+SUM(Atlanta!K60:Atlanta!K60)+SUM(Austin!K60:Austin!K60)+SUM(Cincinnati!K60:Cincinnati!K60)+SUM(Fresno!K60:Fresno!K60)+SUM(KC!K60:KC!K60)+SUM(Ogden!K60:Ogden!K60)+SUM(Philadelphia!K60:Philadelphia!K60)</f>
        <v>163185.6652</v>
      </c>
      <c r="L60" s="45">
        <f>SUM(Andover!L60:Andover!L60)+SUM(Atlanta!L60:Atlanta!L60)+SUM(Austin!L60:Austin!L60)+SUM(Cincinnati!L60:Cincinnati!L60)+SUM(Fresno!L60:Fresno!L60)+SUM(KC!L60:KC!L60)+SUM(Ogden!L60:Ogden!L60)+SUM(Philadelphia!L60:Philadelphia!L60)</f>
        <v>146192.188</v>
      </c>
      <c r="M60" s="45">
        <f>SUM(Andover!M60:Andover!M60)+SUM(Atlanta!M60:Atlanta!M60)+SUM(Austin!M60:Austin!M60)+SUM(Cincinnati!M60:Cincinnati!M60)+SUM(Fresno!M60:Fresno!M60)+SUM(KC!M60:KC!M60)+SUM(Ogden!M60:Ogden!M60)+SUM(Philadelphia!M60:Philadelphia!M60)</f>
        <v>133458.5948</v>
      </c>
      <c r="N60" s="45">
        <f>SUM(Andover!N60:Andover!N60)+SUM(Atlanta!N60:Atlanta!N60)+SUM(Austin!N60:Austin!N60)+SUM(Cincinnati!N60:Cincinnati!N60)+SUM(Fresno!N60:Fresno!N60)+SUM(KC!N60:KC!N60)+SUM(Ogden!N60:Ogden!N60)+SUM(Philadelphia!N60:Philadelphia!N60)</f>
        <v>120048.6683</v>
      </c>
      <c r="O60" s="45">
        <f>SUM(Andover!O60:Andover!O60)+SUM(Atlanta!O60:Atlanta!O60)+SUM(Austin!O60:Austin!O60)+SUM(Cincinnati!O60:Cincinnati!O60)+SUM(Fresno!O60:Fresno!O60)+SUM(KC!O60:KC!O60)+SUM(Ogden!O60:Ogden!O60)+SUM(Philadelphia!O60:Philadelphia!O60)</f>
        <v>99675.5723</v>
      </c>
      <c r="P60" s="45">
        <f>SUM(D60:O60)</f>
        <v>1595910.4367999998</v>
      </c>
      <c r="Q60" s="7" t="s">
        <v>214</v>
      </c>
    </row>
    <row r="61" spans="1:17" s="11" customFormat="1" ht="36">
      <c r="A61" s="6" t="s">
        <v>26</v>
      </c>
      <c r="B61" s="7" t="s">
        <v>151</v>
      </c>
      <c r="C61" s="7" t="s">
        <v>173</v>
      </c>
      <c r="D61" s="45">
        <f>SUM(Andover!D61:Andover!D61)+SUM(Atlanta!D61:Atlanta!D61)+SUM(Austin!D61:Austin!D61)+SUM(Cincinnati!D61:Cincinnati!D61)+SUM(Fresno!D61:Fresno!D61)+SUM(KC!D61:KC!D61)+SUM(Ogden!D61:Ogden!D61)+SUM(Philadelphia!D61:Philadelphia!D61)</f>
        <v>200</v>
      </c>
      <c r="E61" s="45">
        <f>SUM(Andover!E61:Andover!E61)+SUM(Atlanta!E61:Atlanta!E61)+SUM(Austin!E61:Austin!E61)+SUM(Cincinnati!E61:Cincinnati!E61)+SUM(Fresno!E61:Fresno!E61)+SUM(KC!E61:KC!E61)+SUM(Ogden!E61:Ogden!E61)+SUM(Philadelphia!E61:Philadelphia!E61)</f>
        <v>200</v>
      </c>
      <c r="F61" s="45">
        <f>SUM(Andover!F61:Andover!F61)+SUM(Atlanta!F61:Atlanta!F61)+SUM(Austin!F61:Austin!F61)+SUM(Cincinnati!F61:Cincinnati!F61)+SUM(Fresno!F61:Fresno!F61)+SUM(KC!F61:KC!F61)+SUM(Ogden!F61:Ogden!F61)+SUM(Philadelphia!F61:Philadelphia!F61)</f>
        <v>200</v>
      </c>
      <c r="G61" s="45">
        <f>SUM(Andover!G61:Andover!G61)+SUM(Atlanta!G61:Atlanta!G61)+SUM(Austin!G61:Austin!G61)+SUM(Cincinnati!G61:Cincinnati!G61)+SUM(Fresno!G61:Fresno!G61)+SUM(KC!G61:KC!G61)+SUM(Ogden!G61:Ogden!G61)+SUM(Philadelphia!G61:Philadelphia!G61)</f>
        <v>200</v>
      </c>
      <c r="H61" s="45">
        <f>SUM(Andover!H61:Andover!H61)+SUM(Atlanta!H61:Atlanta!H61)+SUM(Austin!H61:Austin!H61)+SUM(Cincinnati!H61:Cincinnati!H61)+SUM(Fresno!H61:Fresno!H61)+SUM(KC!H61:KC!H61)+SUM(Ogden!H61:Ogden!H61)+SUM(Philadelphia!H61:Philadelphia!H61)</f>
        <v>200</v>
      </c>
      <c r="I61" s="45">
        <f>SUM(Andover!I61:Andover!I61)+SUM(Atlanta!I61:Atlanta!I61)+SUM(Austin!I61:Austin!I61)+SUM(Cincinnati!I61:Cincinnati!I61)+SUM(Fresno!I61:Fresno!I61)+SUM(KC!I61:KC!I61)+SUM(Ogden!I61:Ogden!I61)+SUM(Philadelphia!I61:Philadelphia!I61)</f>
        <v>200</v>
      </c>
      <c r="J61" s="45">
        <f>SUM(Andover!J61:Andover!J61)+SUM(Atlanta!J61:Atlanta!J61)+SUM(Austin!J61:Austin!J61)+SUM(Cincinnati!J61:Cincinnati!J61)+SUM(Fresno!J61:Fresno!J61)+SUM(KC!J61:KC!J61)+SUM(Ogden!J61:Ogden!J61)+SUM(Philadelphia!J61:Philadelphia!J61)</f>
        <v>200</v>
      </c>
      <c r="K61" s="45">
        <f>SUM(Andover!K61:Andover!K61)+SUM(Atlanta!K61:Atlanta!K61)+SUM(Austin!K61:Austin!K61)+SUM(Cincinnati!K61:Cincinnati!K61)+SUM(Fresno!K61:Fresno!K61)+SUM(KC!K61:KC!K61)+SUM(Ogden!K61:Ogden!K61)+SUM(Philadelphia!K61:Philadelphia!K61)</f>
        <v>200</v>
      </c>
      <c r="L61" s="45">
        <f>SUM(Andover!L61:Andover!L61)+SUM(Atlanta!L61:Atlanta!L61)+SUM(Austin!L61:Austin!L61)+SUM(Cincinnati!L61:Cincinnati!L61)+SUM(Fresno!L61:Fresno!L61)+SUM(KC!L61:KC!L61)+SUM(Ogden!L61:Ogden!L61)+SUM(Philadelphia!L61:Philadelphia!L61)</f>
        <v>200</v>
      </c>
      <c r="M61" s="45">
        <f>SUM(Andover!M61:Andover!M61)+SUM(Atlanta!M61:Atlanta!M61)+SUM(Austin!M61:Austin!M61)+SUM(Cincinnati!M61:Cincinnati!M61)+SUM(Fresno!M61:Fresno!M61)+SUM(KC!M61:KC!M61)+SUM(Ogden!M61:Ogden!M61)+SUM(Philadelphia!M61:Philadelphia!M61)</f>
        <v>200</v>
      </c>
      <c r="N61" s="45">
        <f>SUM(Andover!N61:Andover!N61)+SUM(Atlanta!N61:Atlanta!N61)+SUM(Austin!N61:Austin!N61)+SUM(Cincinnati!N61:Cincinnati!N61)+SUM(Fresno!N61:Fresno!N61)+SUM(KC!N61:KC!N61)+SUM(Ogden!N61:Ogden!N61)+SUM(Philadelphia!N61:Philadelphia!N61)</f>
        <v>200</v>
      </c>
      <c r="O61" s="45">
        <f>SUM(Andover!O61:Andover!O61)+SUM(Atlanta!O61:Atlanta!O61)+SUM(Austin!O61:Austin!O61)+SUM(Cincinnati!O61:Cincinnati!O61)+SUM(Fresno!O61:Fresno!O61)+SUM(KC!O61:KC!O61)+SUM(Ogden!O61:Ogden!O61)+SUM(Philadelphia!O61:Philadelphia!O61)</f>
        <v>200</v>
      </c>
      <c r="P61" s="45">
        <f>SUM(D61:O61)</f>
        <v>2400</v>
      </c>
      <c r="Q61" s="7" t="s">
        <v>227</v>
      </c>
    </row>
    <row r="62" spans="1:17" s="2" customFormat="1" ht="48">
      <c r="A62" s="4" t="s">
        <v>29</v>
      </c>
      <c r="B62" s="5" t="s">
        <v>116</v>
      </c>
      <c r="C62" s="5" t="s">
        <v>128</v>
      </c>
      <c r="D62" s="45">
        <f>SUM(Andover!D62:Andover!D62)+SUM(Atlanta!D62:Atlanta!D62)+SUM(Austin!D62:Austin!D62)+SUM(Cincinnati!D62:Cincinnati!D62)+SUM(Fresno!D62:Fresno!D62)+SUM(KC!D62:KC!D62)+SUM(Ogden!D62:Ogden!D62)+SUM(Philadelphia!D62:Philadelphia!D62)</f>
        <v>4288.027499999999</v>
      </c>
      <c r="E62" s="45">
        <f>SUM(Andover!E62:Andover!E62)+SUM(Atlanta!E62:Atlanta!E62)+SUM(Austin!E62:Austin!E62)+SUM(Cincinnati!E62:Cincinnati!E62)+SUM(Fresno!E62:Fresno!E62)+SUM(KC!E62:KC!E62)+SUM(Ogden!E62:Ogden!E62)+SUM(Philadelphia!E62:Philadelphia!E62)</f>
        <v>4278.4385</v>
      </c>
      <c r="F62" s="45">
        <f>SUM(Andover!F62:Andover!F62)+SUM(Atlanta!F62:Atlanta!F62)+SUM(Austin!F62:Austin!F62)+SUM(Cincinnati!F62:Cincinnati!F62)+SUM(Fresno!F62:Fresno!F62)+SUM(KC!F62:KC!F62)+SUM(Ogden!F62:Ogden!F62)+SUM(Philadelphia!F62:Philadelphia!F62)</f>
        <v>3412.3987999999995</v>
      </c>
      <c r="G62" s="45">
        <f>SUM(Andover!G62:Andover!G62)+SUM(Atlanta!G62:Atlanta!G62)+SUM(Austin!G62:Austin!G62)+SUM(Cincinnati!G62:Cincinnati!G62)+SUM(Fresno!G62:Fresno!G62)+SUM(KC!G62:KC!G62)+SUM(Ogden!G62:Ogden!G62)+SUM(Philadelphia!G62:Philadelphia!G62)</f>
        <v>3538.4636</v>
      </c>
      <c r="H62" s="45">
        <f>SUM(Andover!H62:Andover!H62)+SUM(Atlanta!H62:Atlanta!H62)+SUM(Austin!H62:Austin!H62)+SUM(Cincinnati!H62:Cincinnati!H62)+SUM(Fresno!H62:Fresno!H62)+SUM(KC!H62:KC!H62)+SUM(Ogden!H62:Ogden!H62)+SUM(Philadelphia!H62:Philadelphia!H62)</f>
        <v>4376.3090999999995</v>
      </c>
      <c r="I62" s="45">
        <f>SUM(Andover!I62:Andover!I62)+SUM(Atlanta!I62:Atlanta!I62)+SUM(Austin!I62:Austin!I62)+SUM(Cincinnati!I62:Cincinnati!I62)+SUM(Fresno!I62:Fresno!I62)+SUM(KC!I62:KC!I62)+SUM(Ogden!I62:Ogden!I62)+SUM(Philadelphia!I62:Philadelphia!I62)</f>
        <v>4164.2424</v>
      </c>
      <c r="J62" s="45">
        <f>SUM(Andover!J62:Andover!J62)+SUM(Atlanta!J62:Atlanta!J62)+SUM(Austin!J62:Austin!J62)+SUM(Cincinnati!J62:Cincinnati!J62)+SUM(Fresno!J62:Fresno!J62)+SUM(KC!J62:KC!J62)+SUM(Ogden!J62:Ogden!J62)+SUM(Philadelphia!J62:Philadelphia!J62)</f>
        <v>2761.0804</v>
      </c>
      <c r="K62" s="45">
        <f>SUM(Andover!K62:Andover!K62)+SUM(Atlanta!K62:Atlanta!K62)+SUM(Austin!K62:Austin!K62)+SUM(Cincinnati!K62:Cincinnati!K62)+SUM(Fresno!K62:Fresno!K62)+SUM(KC!K62:KC!K62)+SUM(Ogden!K62:Ogden!K62)+SUM(Philadelphia!K62:Philadelphia!K62)</f>
        <v>3215.1711999999998</v>
      </c>
      <c r="L62" s="45">
        <f>SUM(Andover!L62:Andover!L62)+SUM(Atlanta!L62:Atlanta!L62)+SUM(Austin!L62:Austin!L62)+SUM(Cincinnati!L62:Cincinnati!L62)+SUM(Fresno!L62:Fresno!L62)+SUM(KC!L62:KC!L62)+SUM(Ogden!L62:Ogden!L62)+SUM(Philadelphia!L62:Philadelphia!L62)</f>
        <v>3808.5154999999995</v>
      </c>
      <c r="M62" s="45">
        <f>SUM(Andover!M62:Andover!M62)+SUM(Atlanta!M62:Atlanta!M62)+SUM(Austin!M62:Austin!M62)+SUM(Cincinnati!M62:Cincinnati!M62)+SUM(Fresno!M62:Fresno!M62)+SUM(KC!M62:KC!M62)+SUM(Ogden!M62:Ogden!M62)+SUM(Philadelphia!M62:Philadelphia!M62)</f>
        <v>4335.358200000001</v>
      </c>
      <c r="N62" s="45">
        <f>SUM(Andover!N62:Andover!N62)+SUM(Atlanta!N62:Atlanta!N62)+SUM(Austin!N62:Austin!N62)+SUM(Cincinnati!N62:Cincinnati!N62)+SUM(Fresno!N62:Fresno!N62)+SUM(KC!N62:KC!N62)+SUM(Ogden!N62:Ogden!N62)+SUM(Philadelphia!N62:Philadelphia!N62)</f>
        <v>2792.8941</v>
      </c>
      <c r="O62" s="45">
        <f>SUM(Andover!O62:Andover!O62)+SUM(Atlanta!O62:Atlanta!O62)+SUM(Austin!O62:Austin!O62)+SUM(Cincinnati!O62:Cincinnati!O62)+SUM(Fresno!O62:Fresno!O62)+SUM(KC!O62:KC!O62)+SUM(Ogden!O62:Ogden!O62)+SUM(Philadelphia!O62:Philadelphia!O62)</f>
        <v>4222.1458</v>
      </c>
      <c r="P62" s="51">
        <f>SUM(D62:O62)</f>
        <v>45193.045099999996</v>
      </c>
      <c r="Q62" s="13" t="s">
        <v>215</v>
      </c>
    </row>
    <row r="63" spans="1:17" s="3" customFormat="1" ht="12">
      <c r="A63" s="208" t="s">
        <v>268</v>
      </c>
      <c r="B63" s="209"/>
      <c r="C63" s="209"/>
      <c r="D63" s="215"/>
      <c r="E63" s="215"/>
      <c r="F63" s="215"/>
      <c r="G63" s="215"/>
      <c r="H63" s="215"/>
      <c r="I63" s="215"/>
      <c r="J63" s="215"/>
      <c r="K63" s="215"/>
      <c r="L63" s="215"/>
      <c r="M63" s="215"/>
      <c r="N63" s="215"/>
      <c r="O63" s="215"/>
      <c r="P63" s="215"/>
      <c r="Q63" s="210"/>
    </row>
    <row r="64" spans="1:17"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45">
        <f>SUM(Andover!D65:Andover!D65)+SUM(Atlanta!D65:Atlanta!D65)+SUM(Austin!D65:Austin!D65)+SUM(Cincinnati!D65:Cincinnati!D65)+SUM(Fresno!D65:Fresno!D65)+SUM(KC!D65:KC!D65)+SUM(Ogden!D65:Ogden!D65)+SUM(Philadelphia!D65:Philadelphia!D65)</f>
        <v>38006.560699999995</v>
      </c>
      <c r="E65" s="45">
        <f>SUM(Andover!E65:Andover!E65)+SUM(Atlanta!E65:Atlanta!E65)+SUM(Austin!E65:Austin!E65)+SUM(Cincinnati!E65:Cincinnati!E65)+SUM(Fresno!E65:Fresno!E65)+SUM(KC!E65:KC!E65)+SUM(Ogden!E65:Ogden!E65)+SUM(Philadelphia!E65:Philadelphia!E65)</f>
        <v>24711.052200000002</v>
      </c>
      <c r="F65" s="45">
        <f>SUM(Andover!F65:Andover!F65)+SUM(Atlanta!F65:Atlanta!F65)+SUM(Austin!F65:Austin!F65)+SUM(Cincinnati!F65:Cincinnati!F65)+SUM(Fresno!F65:Fresno!F65)+SUM(KC!F65:KC!F65)+SUM(Ogden!F65:Ogden!F65)+SUM(Philadelphia!F65:Philadelphia!F65)</f>
        <v>18426.3836</v>
      </c>
      <c r="G65" s="45">
        <f>SUM(Andover!G65:Andover!G65)+SUM(Atlanta!G65:Atlanta!G65)+SUM(Austin!G65:Austin!G65)+SUM(Cincinnati!G65:Cincinnati!G65)+SUM(Fresno!G65:Fresno!G65)+SUM(KC!G65:KC!G65)+SUM(Ogden!G65:Ogden!G65)+SUM(Philadelphia!G65:Philadelphia!G65)</f>
        <v>49328.8708</v>
      </c>
      <c r="H65" s="45">
        <f>SUM(Andover!H65:Andover!H65)+SUM(Atlanta!H65:Atlanta!H65)+SUM(Austin!H65:Austin!H65)+SUM(Cincinnati!H65:Cincinnati!H65)+SUM(Fresno!H65:Fresno!H65)+SUM(KC!H65:KC!H65)+SUM(Ogden!H65:Ogden!H65)+SUM(Philadelphia!H65:Philadelphia!H65)</f>
        <v>26351.842099999998</v>
      </c>
      <c r="I65" s="45">
        <f>SUM(Andover!I65:Andover!I65)+SUM(Atlanta!I65:Atlanta!I65)+SUM(Austin!I65:Austin!I65)+SUM(Cincinnati!I65:Cincinnati!I65)+SUM(Fresno!I65:Fresno!I65)+SUM(KC!I65:KC!I65)+SUM(Ogden!I65:Ogden!I65)+SUM(Philadelphia!I65:Philadelphia!I65)</f>
        <v>33274.831999999995</v>
      </c>
      <c r="J65" s="45">
        <f>SUM(Andover!J65:Andover!J65)+SUM(Atlanta!J65:Atlanta!J65)+SUM(Austin!J65:Austin!J65)+SUM(Cincinnati!J65:Cincinnati!J65)+SUM(Fresno!J65:Fresno!J65)+SUM(KC!J65:KC!J65)+SUM(Ogden!J65:Ogden!J65)+SUM(Philadelphia!J65:Philadelphia!J65)</f>
        <v>35212.899699999994</v>
      </c>
      <c r="K65" s="45">
        <f>SUM(Andover!K65:Andover!K65)+SUM(Atlanta!K65:Atlanta!K65)+SUM(Austin!K65:Austin!K65)+SUM(Cincinnati!K65:Cincinnati!K65)+SUM(Fresno!K65:Fresno!K65)+SUM(KC!K65:KC!K65)+SUM(Ogden!K65:Ogden!K65)+SUM(Philadelphia!K65:Philadelphia!K65)</f>
        <v>43620.029800000004</v>
      </c>
      <c r="L65" s="45">
        <f>SUM(Andover!L65:Andover!L65)+SUM(Atlanta!L65:Atlanta!L65)+SUM(Austin!L65:Austin!L65)+SUM(Cincinnati!L65:Cincinnati!L65)+SUM(Fresno!L65:Fresno!L65)+SUM(KC!L65:KC!L65)+SUM(Ogden!L65:Ogden!L65)+SUM(Philadelphia!L65:Philadelphia!L65)</f>
        <v>56726.110799999995</v>
      </c>
      <c r="M65" s="45">
        <f>SUM(Andover!M65:Andover!M65)+SUM(Atlanta!M65:Atlanta!M65)+SUM(Austin!M65:Austin!M65)+SUM(Cincinnati!M65:Cincinnati!M65)+SUM(Fresno!M65:Fresno!M65)+SUM(KC!M65:KC!M65)+SUM(Ogden!M65:Ogden!M65)+SUM(Philadelphia!M65:Philadelphia!M65)</f>
        <v>46810.5676</v>
      </c>
      <c r="N65" s="45">
        <f>SUM(Andover!N65:Andover!N65)+SUM(Atlanta!N65:Atlanta!N65)+SUM(Austin!N65:Austin!N65)+SUM(Cincinnati!N65:Cincinnati!N65)+SUM(Fresno!N65:Fresno!N65)+SUM(KC!N65:KC!N65)+SUM(Ogden!N65:Ogden!N65)+SUM(Philadelphia!N65:Philadelphia!N65)</f>
        <v>33308.74679999999</v>
      </c>
      <c r="O65" s="45">
        <f>SUM(Andover!O65:Andover!O65)+SUM(Atlanta!O65:Atlanta!O65)+SUM(Austin!O65:Austin!O65)+SUM(Cincinnati!O65:Cincinnati!O65)+SUM(Fresno!O65:Fresno!O65)+SUM(KC!O65:KC!O65)+SUM(Ogden!O65:Ogden!O65)+SUM(Philadelphia!O65:Philadelphia!O65)</f>
        <v>24248.553899999995</v>
      </c>
      <c r="P65" s="97">
        <f>SUM(D65:O65)</f>
        <v>430026.45</v>
      </c>
      <c r="Q65" s="6" t="s">
        <v>55</v>
      </c>
    </row>
    <row r="66" spans="1:17" s="2" customFormat="1" ht="72">
      <c r="A66" s="6" t="s">
        <v>120</v>
      </c>
      <c r="B66" s="7" t="s">
        <v>117</v>
      </c>
      <c r="C66" s="7" t="s">
        <v>223</v>
      </c>
      <c r="D66" s="45">
        <f>SUM(Andover!D66:Andover!D66)+SUM(Atlanta!D66:Atlanta!D66)+SUM(Austin!D66:Austin!D66)+SUM(Cincinnati!D66:Cincinnati!D66)+SUM(Fresno!D66:Fresno!D66)+SUM(KC!D66:KC!D66)+SUM(Ogden!D66:Ogden!D66)+SUM(Philadelphia!D66:Philadelphia!D66)</f>
        <v>5617124.635182</v>
      </c>
      <c r="E66" s="45">
        <f>SUM(Andover!E66:Andover!E66)+SUM(Atlanta!E66:Atlanta!E66)+SUM(Austin!E66:Austin!E66)+SUM(Cincinnati!E66:Cincinnati!E66)+SUM(Fresno!E66:Fresno!E66)+SUM(KC!E66:KC!E66)+SUM(Ogden!E66:Ogden!E66)+SUM(Philadelphia!E66:Philadelphia!E66)</f>
        <v>4498360.346624</v>
      </c>
      <c r="F66" s="45">
        <f>SUM(Andover!F66:Andover!F66)+SUM(Atlanta!F66:Atlanta!F66)+SUM(Austin!F66:Austin!F66)+SUM(Cincinnati!F66:Cincinnati!F66)+SUM(Fresno!F66:Fresno!F66)+SUM(KC!F66:KC!F66)+SUM(Ogden!F66:Ogden!F66)+SUM(Philadelphia!F66:Philadelphia!F66)</f>
        <v>4602625.377804</v>
      </c>
      <c r="G66" s="45">
        <f>SUM(Andover!G66:Andover!G66)+SUM(Atlanta!G66:Atlanta!G66)+SUM(Austin!G66:Austin!G66)+SUM(Cincinnati!G66:Cincinnati!G66)+SUM(Fresno!G66:Fresno!G66)+SUM(KC!G66:KC!G66)+SUM(Ogden!G66:Ogden!G66)+SUM(Philadelphia!G66:Philadelphia!G66)</f>
        <v>4446188.187516</v>
      </c>
      <c r="H66" s="45">
        <f>SUM(Andover!H66:Andover!H66)+SUM(Atlanta!H66:Atlanta!H66)+SUM(Austin!H66:Austin!H66)+SUM(Cincinnati!H66:Cincinnati!H66)+SUM(Fresno!H66:Fresno!H66)+SUM(KC!H66:KC!H66)+SUM(Ogden!H66:Ogden!H66)+SUM(Philadelphia!H66:Philadelphia!H66)</f>
        <v>3933441.651188</v>
      </c>
      <c r="I66" s="45">
        <f>SUM(Andover!I66:Andover!I66)+SUM(Atlanta!I66:Atlanta!I66)+SUM(Austin!I66:Austin!I66)+SUM(Cincinnati!I66:Cincinnati!I66)+SUM(Fresno!I66:Fresno!I66)+SUM(KC!I66:KC!I66)+SUM(Ogden!I66:Ogden!I66)+SUM(Philadelphia!I66:Philadelphia!I66)</f>
        <v>5142279.316708</v>
      </c>
      <c r="J66" s="45">
        <f>SUM(Andover!J66:Andover!J66)+SUM(Atlanta!J66:Atlanta!J66)+SUM(Austin!J66:Austin!J66)+SUM(Cincinnati!J66:Cincinnati!J66)+SUM(Fresno!J66:Fresno!J66)+SUM(KC!J66:KC!J66)+SUM(Ogden!J66:Ogden!J66)+SUM(Philadelphia!J66:Philadelphia!J66)</f>
        <v>5496928.017959999</v>
      </c>
      <c r="K66" s="45">
        <f>SUM(Andover!K66:Andover!K66)+SUM(Atlanta!K66:Atlanta!K66)+SUM(Austin!K66:Austin!K66)+SUM(Cincinnati!K66:Cincinnati!K66)+SUM(Fresno!K66:Fresno!K66)+SUM(KC!K66:KC!K66)+SUM(Ogden!K66:Ogden!K66)+SUM(Philadelphia!K66:Philadelphia!K66)</f>
        <v>7112562.666336</v>
      </c>
      <c r="L66" s="45">
        <f>SUM(Andover!L66:Andover!L66)+SUM(Atlanta!L66:Atlanta!L66)+SUM(Austin!L66:Austin!L66)+SUM(Cincinnati!L66:Cincinnati!L66)+SUM(Fresno!L66:Fresno!L66)+SUM(KC!L66:KC!L66)+SUM(Ogden!L66:Ogden!L66)+SUM(Philadelphia!L66:Philadelphia!L66)</f>
        <v>5512121.652312</v>
      </c>
      <c r="M66" s="45">
        <f>SUM(Andover!M66:Andover!M66)+SUM(Atlanta!M66:Atlanta!M66)+SUM(Austin!M66:Austin!M66)+SUM(Cincinnati!M66:Cincinnati!M66)+SUM(Fresno!M66:Fresno!M66)+SUM(KC!M66:KC!M66)+SUM(Ogden!M66:Ogden!M66)+SUM(Philadelphia!M66:Philadelphia!M66)</f>
        <v>6428598.9327</v>
      </c>
      <c r="N66" s="45">
        <f>SUM(Andover!N66:Andover!N66)+SUM(Atlanta!N66:Atlanta!N66)+SUM(Austin!N66:Austin!N66)+SUM(Cincinnati!N66:Cincinnati!N66)+SUM(Fresno!N66:Fresno!N66)+SUM(KC!N66:KC!N66)+SUM(Ogden!N66:Ogden!N66)+SUM(Philadelphia!N66:Philadelphia!N66)</f>
        <v>4967326.143668</v>
      </c>
      <c r="O66" s="45">
        <f>SUM(Andover!O66:Andover!O66)+SUM(Atlanta!O66:Atlanta!O66)+SUM(Austin!O66:Austin!O66)+SUM(Cincinnati!O66:Cincinnati!O66)+SUM(Fresno!O66:Fresno!O66)+SUM(KC!O66:KC!O66)+SUM(Ogden!O66:Ogden!O66)+SUM(Philadelphia!O66:Philadelphia!O66)</f>
        <v>4651447.363806</v>
      </c>
      <c r="P66" s="97">
        <f>SUM(D66:O66)</f>
        <v>62409004.29180401</v>
      </c>
      <c r="Q66" s="7" t="s">
        <v>285</v>
      </c>
    </row>
    <row r="67" spans="1:17" s="2" customFormat="1" ht="72">
      <c r="A67" s="6" t="s">
        <v>120</v>
      </c>
      <c r="B67" s="7" t="s">
        <v>117</v>
      </c>
      <c r="C67" s="7" t="s">
        <v>224</v>
      </c>
      <c r="D67" s="45">
        <f>SUM(Andover!D67:Andover!D67)+SUM(Atlanta!D67:Atlanta!D67)+SUM(Austin!D67:Austin!D67)+SUM(Cincinnati!D67:Cincinnati!D67)+SUM(Fresno!D67:Fresno!D67)+SUM(KC!D67:KC!D67)+SUM(Ogden!D67:Ogden!D67)+SUM(Philadelphia!D67:Philadelphia!D67)</f>
        <v>844242.878818</v>
      </c>
      <c r="E67" s="45">
        <f>SUM(Andover!E67:Andover!E67)+SUM(Atlanta!E67:Atlanta!E67)+SUM(Austin!E67:Austin!E67)+SUM(Cincinnati!E67:Cincinnati!E67)+SUM(Fresno!E67:Fresno!E67)+SUM(KC!E67:KC!E67)+SUM(Ogden!E67:Ogden!E67)+SUM(Philadelphia!E67:Philadelphia!E67)</f>
        <v>712817.2834760001</v>
      </c>
      <c r="F67" s="45">
        <f>SUM(Andover!F67:Andover!F67)+SUM(Atlanta!F67:Atlanta!F67)+SUM(Austin!F67:Austin!F67)+SUM(Cincinnati!F67:Cincinnati!F67)+SUM(Fresno!F67:Fresno!F67)+SUM(KC!F67:KC!F67)+SUM(Ogden!F67:Ogden!F67)+SUM(Philadelphia!F67:Philadelphia!F67)</f>
        <v>789390.2966959999</v>
      </c>
      <c r="G67" s="45">
        <f>SUM(Andover!G67:Andover!G67)+SUM(Atlanta!G67:Atlanta!G67)+SUM(Austin!G67:Austin!G67)+SUM(Cincinnati!G67:Cincinnati!G67)+SUM(Fresno!G67:Fresno!G67)+SUM(KC!G67:KC!G67)+SUM(Ogden!G67:Ogden!G67)+SUM(Philadelphia!G67:Philadelphia!G67)</f>
        <v>729731.647384</v>
      </c>
      <c r="H67" s="45">
        <f>SUM(Andover!H67:Andover!H67)+SUM(Atlanta!H67:Atlanta!H67)+SUM(Austin!H67:Austin!H67)+SUM(Cincinnati!H67:Cincinnati!H67)+SUM(Fresno!H67:Fresno!H67)+SUM(KC!H67:KC!H67)+SUM(Ogden!H67:Ogden!H67)+SUM(Philadelphia!H67:Philadelphia!H67)</f>
        <v>711763.4839119999</v>
      </c>
      <c r="I67" s="45">
        <f>SUM(Andover!I67:Andover!I67)+SUM(Atlanta!I67:Atlanta!I67)+SUM(Austin!I67:Austin!I67)+SUM(Cincinnati!I67:Cincinnati!I67)+SUM(Fresno!I67:Fresno!I67)+SUM(KC!I67:KC!I67)+SUM(Ogden!I67:Ogden!I67)+SUM(Philadelphia!I67:Philadelphia!I67)</f>
        <v>1110099.258292</v>
      </c>
      <c r="J67" s="45">
        <f>SUM(Andover!J67:Andover!J67)+SUM(Atlanta!J67:Atlanta!J67)+SUM(Austin!J67:Austin!J67)+SUM(Cincinnati!J67:Cincinnati!J67)+SUM(Fresno!J67:Fresno!J67)+SUM(KC!J67:KC!J67)+SUM(Ogden!J67:Ogden!J67)+SUM(Philadelphia!J67:Philadelphia!J67)</f>
        <v>1362473.08004</v>
      </c>
      <c r="K67" s="45">
        <f>SUM(Andover!K67:Andover!K67)+SUM(Atlanta!K67:Atlanta!K67)+SUM(Austin!K67:Austin!K67)+SUM(Cincinnati!K67:Cincinnati!K67)+SUM(Fresno!K67:Fresno!K67)+SUM(KC!K67:KC!K67)+SUM(Ogden!K67:Ogden!K67)+SUM(Philadelphia!K67:Philadelphia!K67)</f>
        <v>1655897.2280639997</v>
      </c>
      <c r="L67" s="45">
        <f>SUM(Andover!L67:Andover!L67)+SUM(Atlanta!L67:Atlanta!L67)+SUM(Austin!L67:Austin!L67)+SUM(Cincinnati!L67:Cincinnati!L67)+SUM(Fresno!L67:Fresno!L67)+SUM(KC!L67:KC!L67)+SUM(Ogden!L67:Ogden!L67)+SUM(Philadelphia!L67:Philadelphia!L67)</f>
        <v>1377012.1739879998</v>
      </c>
      <c r="M67" s="45">
        <f>SUM(Andover!M67:Andover!M67)+SUM(Atlanta!M67:Atlanta!M67)+SUM(Austin!M67:Austin!M67)+SUM(Cincinnati!M67:Cincinnati!M67)+SUM(Fresno!M67:Fresno!M67)+SUM(KC!M67:KC!M67)+SUM(Ogden!M67:Ogden!M67)+SUM(Philadelphia!M67:Philadelphia!M67)</f>
        <v>1300689.8694000002</v>
      </c>
      <c r="N67" s="45">
        <f>SUM(Andover!N67:Andover!N67)+SUM(Atlanta!N67:Atlanta!N67)+SUM(Austin!N67:Austin!N67)+SUM(Cincinnati!N67:Cincinnati!N67)+SUM(Fresno!N67:Fresno!N67)+SUM(KC!N67:KC!N67)+SUM(Ogden!N67:Ogden!N67)+SUM(Philadelphia!N67:Philadelphia!N67)</f>
        <v>905477.822232</v>
      </c>
      <c r="O67" s="45">
        <f>SUM(Andover!O67:Andover!O67)+SUM(Atlanta!O67:Atlanta!O67)+SUM(Austin!O67:Austin!O67)+SUM(Cincinnati!O67:Cincinnati!O67)+SUM(Fresno!O67:Fresno!O67)+SUM(KC!O67:KC!O67)+SUM(Ogden!O67:Ogden!O67)+SUM(Philadelphia!O67:Philadelphia!O67)</f>
        <v>922526.9118939999</v>
      </c>
      <c r="P67" s="51">
        <f>SUM(D67:O67)</f>
        <v>12422121.934195999</v>
      </c>
      <c r="Q67" s="7" t="s">
        <v>286</v>
      </c>
    </row>
    <row r="68" spans="1:17" s="2" customFormat="1" ht="24">
      <c r="A68" s="133" t="s">
        <v>269</v>
      </c>
      <c r="B68" s="110"/>
      <c r="C68" s="111"/>
      <c r="D68" s="113">
        <f>SUM(Andover!D68:Andover!D68)+SUM(Atlanta!D68:Atlanta!D68)+SUM(Austin!D68:Austin!D68)+SUM(Cincinnati!D68:Cincinnati!D68)+SUM(Fresno!D68:Fresno!D68)+SUM(KC!D68:KC!D68)+SUM(Ogden!D68:Ogden!D68)+SUM(Philadelphia!D68:Philadelphia!D68)</f>
        <v>6461367.5139999995</v>
      </c>
      <c r="E68" s="113">
        <f>SUM(Andover!E68:Andover!E68)+SUM(Atlanta!E68:Atlanta!E68)+SUM(Austin!E68:Austin!E68)+SUM(Cincinnati!E68:Cincinnati!E68)+SUM(Fresno!E68:Fresno!E68)+SUM(KC!E68:KC!E68)+SUM(Ogden!E68:Ogden!E68)+SUM(Philadelphia!E68:Philadelphia!E68)</f>
        <v>5211177.6301</v>
      </c>
      <c r="F68" s="113">
        <f>SUM(Andover!F68:Andover!F68)+SUM(Atlanta!F68:Atlanta!F68)+SUM(Austin!F68:Austin!F68)+SUM(Cincinnati!F68:Cincinnati!F68)+SUM(Fresno!F68:Fresno!F68)+SUM(KC!F68:KC!F68)+SUM(Ogden!F68:Ogden!F68)+SUM(Philadelphia!F68:Philadelphia!F68)</f>
        <v>5392015.674500001</v>
      </c>
      <c r="G68" s="113">
        <f>SUM(Andover!G68:Andover!G68)+SUM(Atlanta!G68:Atlanta!G68)+SUM(Austin!G68:Austin!G68)+SUM(Cincinnati!G68:Cincinnati!G68)+SUM(Fresno!G68:Fresno!G68)+SUM(KC!G68:KC!G68)+SUM(Ogden!G68:Ogden!G68)+SUM(Philadelphia!G68:Philadelphia!G68)</f>
        <v>5175919.8349</v>
      </c>
      <c r="H68" s="113">
        <f>SUM(Andover!H68:Andover!H68)+SUM(Atlanta!H68:Atlanta!H68)+SUM(Austin!H68:Austin!H68)+SUM(Cincinnati!H68:Cincinnati!H68)+SUM(Fresno!H68:Fresno!H68)+SUM(KC!H68:KC!H68)+SUM(Ogden!H68:Ogden!H68)+SUM(Philadelphia!H68:Philadelphia!H68)</f>
        <v>4645205.1351</v>
      </c>
      <c r="I68" s="113">
        <f>SUM(Andover!I68:Andover!I68)+SUM(Atlanta!I68:Atlanta!I68)+SUM(Austin!I68:Austin!I68)+SUM(Cincinnati!I68:Cincinnati!I68)+SUM(Fresno!I68:Fresno!I68)+SUM(KC!I68:KC!I68)+SUM(Ogden!I68:Ogden!I68)+SUM(Philadelphia!I68:Philadelphia!I68)</f>
        <v>6252378.575000001</v>
      </c>
      <c r="J68" s="113">
        <f>SUM(Andover!J68:Andover!J68)+SUM(Atlanta!J68:Atlanta!J68)+SUM(Austin!J68:Austin!J68)+SUM(Cincinnati!J68:Cincinnati!J68)+SUM(Fresno!J68:Fresno!J68)+SUM(KC!J68:KC!J68)+SUM(Ogden!J68:Ogden!J68)+SUM(Philadelphia!J68:Philadelphia!J68)</f>
        <v>6859401.097999999</v>
      </c>
      <c r="K68" s="113">
        <f>SUM(Andover!K68:Andover!K68)+SUM(Atlanta!K68:Atlanta!K68)+SUM(Austin!K68:Austin!K68)+SUM(Cincinnati!K68:Cincinnati!K68)+SUM(Fresno!K68:Fresno!K68)+SUM(KC!K68:KC!K68)+SUM(Ogden!K68:Ogden!K68)+SUM(Philadelphia!K68:Philadelphia!K68)</f>
        <v>8768459.894399999</v>
      </c>
      <c r="L68" s="113">
        <f>SUM(Andover!L68:Andover!L68)+SUM(Atlanta!L68:Atlanta!L68)+SUM(Austin!L68:Austin!L68)+SUM(Cincinnati!L68:Cincinnati!L68)+SUM(Fresno!L68:Fresno!L68)+SUM(KC!L68:KC!L68)+SUM(Ogden!L68:Ogden!L68)+SUM(Philadelphia!L68:Philadelphia!L68)</f>
        <v>6889133.826299999</v>
      </c>
      <c r="M68" s="113">
        <f>SUM(Andover!M68:Andover!M68)+SUM(Atlanta!M68:Atlanta!M68)+SUM(Austin!M68:Austin!M68)+SUM(Cincinnati!M68:Cincinnati!M68)+SUM(Fresno!M68:Fresno!M68)+SUM(KC!M68:KC!M68)+SUM(Ogden!M68:Ogden!M68)+SUM(Philadelphia!M68:Philadelphia!M68)</f>
        <v>7729288.802099999</v>
      </c>
      <c r="N68" s="113">
        <f>SUM(Andover!N68:Andover!N68)+SUM(Atlanta!N68:Atlanta!N68)+SUM(Austin!N68:Austin!N68)+SUM(Cincinnati!N68:Cincinnati!N68)+SUM(Fresno!N68:Fresno!N68)+SUM(KC!N68:KC!N68)+SUM(Ogden!N68:Ogden!N68)+SUM(Philadelphia!N68:Philadelphia!N68)</f>
        <v>5872803.9659</v>
      </c>
      <c r="O68" s="113">
        <f>SUM(Andover!O68:Andover!O68)+SUM(Atlanta!O68:Atlanta!O68)+SUM(Austin!O68:Austin!O68)+SUM(Cincinnati!O68:Cincinnati!O68)+SUM(Fresno!O68:Fresno!O68)+SUM(KC!O68:KC!O68)+SUM(Ogden!O68:Ogden!O68)+SUM(Philadelphia!O68:Philadelphia!O68)</f>
        <v>5573974.2757</v>
      </c>
      <c r="P68" s="114">
        <f>SUM(D68:O68)</f>
        <v>74831126.22600001</v>
      </c>
      <c r="Q68" s="110" t="s">
        <v>287</v>
      </c>
    </row>
    <row r="69" spans="1:17" ht="93.75" customHeight="1">
      <c r="A69" s="161" t="s">
        <v>121</v>
      </c>
      <c r="B69" s="7" t="s">
        <v>127</v>
      </c>
      <c r="C69" s="7" t="s">
        <v>87</v>
      </c>
      <c r="D69" s="45">
        <f>SUM(Andover!D69:Andover!D69)+SUM(Atlanta!D69:Atlanta!D69)+SUM(Austin!D69:Austin!D69)+SUM(Cincinnati!D69:Cincinnati!D69)+SUM(Fresno!D69:Fresno!D69)+SUM(KC!D69:KC!D69)+SUM(Ogden!D69:Ogden!D69)+SUM(Philadelphia!D69:Philadelphia!D69)</f>
        <v>51105.000799999994</v>
      </c>
      <c r="E69" s="45">
        <f>SUM(Andover!E69:Andover!E69)+SUM(Atlanta!E69:Atlanta!E69)+SUM(Austin!E69:Austin!E69)+SUM(Cincinnati!E69:Cincinnati!E69)+SUM(Fresno!E69:Fresno!E69)+SUM(KC!E69:KC!E69)+SUM(Ogden!E69:Ogden!E69)+SUM(Philadelphia!E69:Philadelphia!E69)</f>
        <v>65754.5327</v>
      </c>
      <c r="F69" s="45">
        <f>SUM(Andover!F69:Andover!F69)+SUM(Atlanta!F69:Atlanta!F69)+SUM(Austin!F69:Austin!F69)+SUM(Cincinnati!F69:Cincinnati!F69)+SUM(Fresno!F69:Fresno!F69)+SUM(KC!F69:KC!F69)+SUM(Ogden!F69:Ogden!F69)+SUM(Philadelphia!F69:Philadelphia!F69)</f>
        <v>73538.28229999999</v>
      </c>
      <c r="G69" s="45">
        <f>SUM(Andover!G69:Andover!G69)+SUM(Atlanta!G69:Atlanta!G69)+SUM(Austin!G69:Austin!G69)+SUM(Cincinnati!G69:Cincinnati!G69)+SUM(Fresno!G69:Fresno!G69)+SUM(KC!G69:KC!G69)+SUM(Ogden!G69:Ogden!G69)+SUM(Philadelphia!G69:Philadelphia!G69)</f>
        <v>34086.7674</v>
      </c>
      <c r="H69" s="45">
        <f>SUM(Andover!H69:Andover!H69)+SUM(Atlanta!H69:Atlanta!H69)+SUM(Austin!H69:Austin!H69)+SUM(Cincinnati!H69:Cincinnati!H69)+SUM(Fresno!H69:Fresno!H69)+SUM(KC!H69:KC!H69)+SUM(Ogden!H69:Ogden!H69)+SUM(Philadelphia!H69:Philadelphia!H69)</f>
        <v>53074.662099999994</v>
      </c>
      <c r="I69" s="45">
        <f>SUM(Andover!I69:Andover!I69)+SUM(Atlanta!I69:Atlanta!I69)+SUM(Austin!I69:Austin!I69)+SUM(Cincinnati!I69:Cincinnati!I69)+SUM(Fresno!I69:Fresno!I69)+SUM(KC!I69:KC!I69)+SUM(Ogden!I69:Ogden!I69)+SUM(Philadelphia!I69:Philadelphia!I69)</f>
        <v>86180.8078</v>
      </c>
      <c r="J69" s="45">
        <f>SUM(Andover!J69:Andover!J69)+SUM(Atlanta!J69:Atlanta!J69)+SUM(Austin!J69:Austin!J69)+SUM(Cincinnati!J69:Cincinnati!J69)+SUM(Fresno!J69:Fresno!J69)+SUM(KC!J69:KC!J69)+SUM(Ogden!J69:Ogden!J69)+SUM(Philadelphia!J69:Philadelphia!J69)</f>
        <v>90662.0028</v>
      </c>
      <c r="K69" s="45">
        <f>SUM(Andover!K69:Andover!K69)+SUM(Atlanta!K69:Atlanta!K69)+SUM(Austin!K69:Austin!K69)+SUM(Cincinnati!K69:Cincinnati!K69)+SUM(Fresno!K69:Fresno!K69)+SUM(KC!K69:KC!K69)+SUM(Ogden!K69:Ogden!K69)+SUM(Philadelphia!K69:Philadelphia!K69)</f>
        <v>101800.3764</v>
      </c>
      <c r="L69" s="45">
        <f>SUM(Andover!L69:Andover!L69)+SUM(Atlanta!L69:Atlanta!L69)+SUM(Austin!L69:Austin!L69)+SUM(Cincinnati!L69:Cincinnati!L69)+SUM(Fresno!L69:Fresno!L69)+SUM(KC!L69:KC!L69)+SUM(Ogden!L69:Ogden!L69)+SUM(Philadelphia!L69:Philadelphia!L69)</f>
        <v>102795.9385</v>
      </c>
      <c r="M69" s="45">
        <f>SUM(Andover!M69:Andover!M69)+SUM(Atlanta!M69:Atlanta!M69)+SUM(Austin!M69:Austin!M69)+SUM(Cincinnati!M69:Cincinnati!M69)+SUM(Fresno!M69:Fresno!M69)+SUM(KC!M69:KC!M69)+SUM(Ogden!M69:Ogden!M69)+SUM(Philadelphia!M69:Philadelphia!M69)</f>
        <v>81259.3735</v>
      </c>
      <c r="N69" s="45">
        <f>SUM(Andover!N69:Andover!N69)+SUM(Atlanta!N69:Atlanta!N69)+SUM(Austin!N69:Austin!N69)+SUM(Cincinnati!N69:Cincinnati!N69)+SUM(Fresno!N69:Fresno!N69)+SUM(KC!N69:KC!N69)+SUM(Ogden!N69:Ogden!N69)+SUM(Philadelphia!N69:Philadelphia!N69)</f>
        <v>72782.05690000001</v>
      </c>
      <c r="O69" s="45">
        <f>SUM(Andover!O69:Andover!O69)+SUM(Atlanta!O69:Atlanta!O69)+SUM(Austin!O69:Austin!O69)+SUM(Cincinnati!O69:Cincinnati!O69)+SUM(Fresno!O69:Fresno!O69)+SUM(KC!O69:KC!O69)+SUM(Ogden!O69:Ogden!O69)+SUM(Philadelphia!O69:Philadelphia!O69)</f>
        <v>68686.40699999999</v>
      </c>
      <c r="P69" s="45">
        <f>SUM(D69:O69)</f>
        <v>881726.2082</v>
      </c>
      <c r="Q69" s="7" t="s">
        <v>321</v>
      </c>
    </row>
    <row r="70" spans="1:17" s="3" customFormat="1" ht="12">
      <c r="A70" s="208" t="s">
        <v>270</v>
      </c>
      <c r="B70" s="209"/>
      <c r="C70" s="209"/>
      <c r="D70" s="209"/>
      <c r="E70" s="209"/>
      <c r="F70" s="209"/>
      <c r="G70" s="209"/>
      <c r="H70" s="209"/>
      <c r="I70" s="209"/>
      <c r="J70" s="209"/>
      <c r="K70" s="209"/>
      <c r="L70" s="209"/>
      <c r="M70" s="209"/>
      <c r="N70" s="209"/>
      <c r="O70" s="209"/>
      <c r="P70" s="209"/>
      <c r="Q70" s="210"/>
    </row>
    <row r="71" spans="1:17" s="11" customFormat="1" ht="24">
      <c r="A71" s="28" t="s">
        <v>271</v>
      </c>
      <c r="B71" s="38" t="s">
        <v>33</v>
      </c>
      <c r="C71" s="7" t="s">
        <v>76</v>
      </c>
      <c r="D71" s="45">
        <f>SUM(Andover!D71:Andover!D71)+SUM(Atlanta!D71:Atlanta!D71)+SUM(Austin!D71:Austin!D71)+SUM(Cincinnati!D71:Cincinnati!D71)+SUM(Fresno!D71:Fresno!D71)+SUM(KC!D71:KC!D71)+SUM(Ogden!D71:Ogden!D71)+SUM(Philadelphia!D71:Philadelphia!D71)</f>
        <v>0</v>
      </c>
      <c r="E71" s="45">
        <f>SUM(Andover!E71:Andover!E71)+SUM(Atlanta!E71:Atlanta!E71)+SUM(Austin!E71:Austin!E71)+SUM(Cincinnati!E71:Cincinnati!E71)+SUM(Fresno!E71:Fresno!E71)+SUM(KC!E71:KC!E71)+SUM(Ogden!E71:Ogden!E71)+SUM(Philadelphia!E71:Philadelphia!E71)</f>
        <v>0</v>
      </c>
      <c r="F71" s="45">
        <f>SUM(Andover!F71:Andover!F71)+SUM(Atlanta!F71:Atlanta!F71)+SUM(Austin!F71:Austin!F71)+SUM(Cincinnati!F71:Cincinnati!F71)+SUM(Fresno!F71:Fresno!F71)+SUM(KC!F71:KC!F71)+SUM(Ogden!F71:Ogden!F71)+SUM(Philadelphia!F71:Philadelphia!F71)</f>
        <v>0</v>
      </c>
      <c r="G71" s="45">
        <f>SUM(Andover!G71:Andover!G71)+SUM(Atlanta!G71:Atlanta!G71)+SUM(Austin!G71:Austin!G71)+SUM(Cincinnati!G71:Cincinnati!G71)+SUM(Fresno!G71:Fresno!G71)+SUM(KC!G71:KC!G71)+SUM(Ogden!G71:Ogden!G71)+SUM(Philadelphia!G71:Philadelphia!G71)</f>
        <v>8</v>
      </c>
      <c r="H71" s="45">
        <f>SUM(Andover!H71:Andover!H71)+SUM(Atlanta!H71:Atlanta!H71)+SUM(Austin!H71:Austin!H71)+SUM(Cincinnati!H71:Cincinnati!H71)+SUM(Fresno!H71:Fresno!H71)+SUM(KC!H71:KC!H71)+SUM(Ogden!H71:Ogden!H71)+SUM(Philadelphia!H71:Philadelphia!H71)</f>
        <v>0</v>
      </c>
      <c r="I71" s="45">
        <f>SUM(Andover!I71:Andover!I71)+SUM(Atlanta!I71:Atlanta!I71)+SUM(Austin!I71:Austin!I71)+SUM(Cincinnati!I71:Cincinnati!I71)+SUM(Fresno!I71:Fresno!I71)+SUM(KC!I71:KC!I71)+SUM(Ogden!I71:Ogden!I71)+SUM(Philadelphia!I71:Philadelphia!I71)</f>
        <v>0</v>
      </c>
      <c r="J71" s="45">
        <f>SUM(Andover!J71:Andover!J71)+SUM(Atlanta!J71:Atlanta!J71)+SUM(Austin!J71:Austin!J71)+SUM(Cincinnati!J71:Cincinnati!J71)+SUM(Fresno!J71:Fresno!J71)+SUM(KC!J71:KC!J71)+SUM(Ogden!J71:Ogden!J71)+SUM(Philadelphia!J71:Philadelphia!J71)</f>
        <v>0</v>
      </c>
      <c r="K71" s="45">
        <f>SUM(Andover!K71:Andover!K71)+SUM(Atlanta!K71:Atlanta!K71)+SUM(Austin!K71:Austin!K71)+SUM(Cincinnati!K71:Cincinnati!K71)+SUM(Fresno!K71:Fresno!K71)+SUM(KC!K71:KC!K71)+SUM(Ogden!K71:Ogden!K71)+SUM(Philadelphia!K71:Philadelphia!K71)</f>
        <v>0</v>
      </c>
      <c r="L71" s="45">
        <f>SUM(Andover!L71:Andover!L71)+SUM(Atlanta!L71:Atlanta!L71)+SUM(Austin!L71:Austin!L71)+SUM(Cincinnati!L71:Cincinnati!L71)+SUM(Fresno!L71:Fresno!L71)+SUM(KC!L71:KC!L71)+SUM(Ogden!L71:Ogden!L71)+SUM(Philadelphia!L71:Philadelphia!L71)</f>
        <v>0</v>
      </c>
      <c r="M71" s="45">
        <f>SUM(Andover!M71:Andover!M71)+SUM(Atlanta!M71:Atlanta!M71)+SUM(Austin!M71:Austin!M71)+SUM(Cincinnati!M71:Cincinnati!M71)+SUM(Fresno!M71:Fresno!M71)+SUM(KC!M71:KC!M71)+SUM(Ogden!M71:Ogden!M71)+SUM(Philadelphia!M71:Philadelphia!M71)</f>
        <v>0</v>
      </c>
      <c r="N71" s="45">
        <f>SUM(Andover!N71:Andover!N71)+SUM(Atlanta!N71:Atlanta!N71)+SUM(Austin!N71:Austin!N71)+SUM(Cincinnati!N71:Cincinnati!N71)+SUM(Fresno!N71:Fresno!N71)+SUM(KC!N71:KC!N71)+SUM(Ogden!N71:Ogden!N71)+SUM(Philadelphia!N71:Philadelphia!N71)</f>
        <v>0</v>
      </c>
      <c r="O71" s="45">
        <f>SUM(Andover!O71:Andover!O71)+SUM(Atlanta!O71:Atlanta!O71)+SUM(Austin!O71:Austin!O71)+SUM(Cincinnati!O71:Cincinnati!O71)+SUM(Fresno!O71:Fresno!O71)+SUM(KC!O71:KC!O71)+SUM(Ogden!O71:Ogden!O71)+SUM(Philadelphia!O71:Philadelphia!O71)</f>
        <v>0</v>
      </c>
      <c r="P71" s="45">
        <f>SUM(D71:O71)</f>
        <v>8</v>
      </c>
      <c r="Q71" s="20" t="s">
        <v>159</v>
      </c>
    </row>
    <row r="72" spans="1:17" s="11" customFormat="1" ht="24">
      <c r="A72" s="28" t="s">
        <v>272</v>
      </c>
      <c r="B72" s="38" t="s">
        <v>122</v>
      </c>
      <c r="C72" s="7" t="s">
        <v>124</v>
      </c>
      <c r="D72" s="45">
        <f>SUM(Andover!D72:Andover!D72)+SUM(Atlanta!D72:Atlanta!D72)+SUM(Austin!D72:Austin!D72)+SUM(Cincinnati!D72:Cincinnati!D72)+SUM(Fresno!D72:Fresno!D72)+SUM(KC!D72:KC!D72)+SUM(Ogden!D72:Ogden!D72)+SUM(Philadelphia!D72:Philadelphia!D72)</f>
        <v>12.224699999999999</v>
      </c>
      <c r="E72" s="45">
        <f>SUM(Andover!E72:Andover!E72)+SUM(Atlanta!E72:Atlanta!E72)+SUM(Austin!E72:Austin!E72)+SUM(Cincinnati!E72:Cincinnati!E72)+SUM(Fresno!E72:Fresno!E72)+SUM(KC!E72:KC!E72)+SUM(Ogden!E72:Ogden!E72)+SUM(Philadelphia!E72:Philadelphia!E72)</f>
        <v>4.686999999999999</v>
      </c>
      <c r="F72" s="45">
        <f>SUM(Andover!F72:Andover!F72)+SUM(Atlanta!F72:Atlanta!F72)+SUM(Austin!F72:Austin!F72)+SUM(Cincinnati!F72:Cincinnati!F72)+SUM(Fresno!F72:Fresno!F72)+SUM(KC!F72:KC!F72)+SUM(Ogden!F72:Ogden!F72)+SUM(Philadelphia!F72:Philadelphia!F72)</f>
        <v>7.860899999999999</v>
      </c>
      <c r="G72" s="45">
        <f>SUM(Andover!G72:Andover!G72)+SUM(Atlanta!G72:Atlanta!G72)+SUM(Austin!G72:Austin!G72)+SUM(Cincinnati!G72:Cincinnati!G72)+SUM(Fresno!G72:Fresno!G72)+SUM(KC!G72:KC!G72)+SUM(Ogden!G72:Ogden!G72)+SUM(Philadelphia!G72:Philadelphia!G72)</f>
        <v>52.2298</v>
      </c>
      <c r="H72" s="45">
        <f>SUM(Andover!H72:Andover!H72)+SUM(Atlanta!H72:Atlanta!H72)+SUM(Austin!H72:Austin!H72)+SUM(Cincinnati!H72:Cincinnati!H72)+SUM(Fresno!H72:Fresno!H72)+SUM(KC!H72:KC!H72)+SUM(Ogden!H72:Ogden!H72)+SUM(Philadelphia!H72:Philadelphia!H72)</f>
        <v>37.3323</v>
      </c>
      <c r="I72" s="45">
        <f>SUM(Andover!I72:Andover!I72)+SUM(Atlanta!I72:Atlanta!I72)+SUM(Austin!I72:Austin!I72)+SUM(Cincinnati!I72:Cincinnati!I72)+SUM(Fresno!I72:Fresno!I72)+SUM(KC!I72:KC!I72)+SUM(Ogden!I72:Ogden!I72)+SUM(Philadelphia!I72:Philadelphia!I72)</f>
        <v>34.707</v>
      </c>
      <c r="J72" s="45">
        <f>SUM(Andover!J72:Andover!J72)+SUM(Atlanta!J72:Atlanta!J72)+SUM(Austin!J72:Austin!J72)+SUM(Cincinnati!J72:Cincinnati!J72)+SUM(Fresno!J72:Fresno!J72)+SUM(KC!J72:KC!J72)+SUM(Ogden!J72:Ogden!J72)+SUM(Philadelphia!J72:Philadelphia!J72)</f>
        <v>62.9182</v>
      </c>
      <c r="K72" s="45">
        <f>SUM(Andover!K72:Andover!K72)+SUM(Atlanta!K72:Atlanta!K72)+SUM(Austin!K72:Austin!K72)+SUM(Cincinnati!K72:Cincinnati!K72)+SUM(Fresno!K72:Fresno!K72)+SUM(KC!K72:KC!K72)+SUM(Ogden!K72:Ogden!K72)+SUM(Philadelphia!K72:Philadelphia!K72)</f>
        <v>8.7631</v>
      </c>
      <c r="L72" s="45">
        <f>SUM(Andover!L72:Andover!L72)+SUM(Atlanta!L72:Atlanta!L72)+SUM(Austin!L72:Austin!L72)+SUM(Cincinnati!L72:Cincinnati!L72)+SUM(Fresno!L72:Fresno!L72)+SUM(KC!L72:KC!L72)+SUM(Ogden!L72:Ogden!L72)+SUM(Philadelphia!L72:Philadelphia!L72)</f>
        <v>12.067</v>
      </c>
      <c r="M72" s="45">
        <f>SUM(Andover!M72:Andover!M72)+SUM(Atlanta!M72:Atlanta!M72)+SUM(Austin!M72:Austin!M72)+SUM(Cincinnati!M72:Cincinnati!M72)+SUM(Fresno!M72:Fresno!M72)+SUM(KC!M72:KC!M72)+SUM(Ogden!M72:Ogden!M72)+SUM(Philadelphia!M72:Philadelphia!M72)</f>
        <v>26.4091</v>
      </c>
      <c r="N72" s="45">
        <f>SUM(Andover!N72:Andover!N72)+SUM(Atlanta!N72:Atlanta!N72)+SUM(Austin!N72:Austin!N72)+SUM(Cincinnati!N72:Cincinnati!N72)+SUM(Fresno!N72:Fresno!N72)+SUM(KC!N72:KC!N72)+SUM(Ogden!N72:Ogden!N72)+SUM(Philadelphia!N72:Philadelphia!N72)</f>
        <v>16.7346</v>
      </c>
      <c r="O72" s="45">
        <f>SUM(Andover!O72:Andover!O72)+SUM(Atlanta!O72:Atlanta!O72)+SUM(Austin!O72:Austin!O72)+SUM(Cincinnati!O72:Cincinnati!O72)+SUM(Fresno!O72:Fresno!O72)+SUM(KC!O72:KC!O72)+SUM(Ogden!O72:Ogden!O72)+SUM(Philadelphia!O72:Philadelphia!O72)</f>
        <v>41.90639999999999</v>
      </c>
      <c r="P72" s="43">
        <f>SUM(D72:O72)</f>
        <v>317.8401</v>
      </c>
      <c r="Q72" s="20" t="s">
        <v>190</v>
      </c>
    </row>
    <row r="73" spans="1:17" s="11" customFormat="1" ht="24">
      <c r="A73" s="28" t="s">
        <v>273</v>
      </c>
      <c r="B73" s="38" t="s">
        <v>363</v>
      </c>
      <c r="C73" s="7" t="s">
        <v>100</v>
      </c>
      <c r="D73" s="45">
        <f>SUM(Andover!D73:Andover!D73)+SUM(Atlanta!D73:Atlanta!D73)+SUM(Austin!D73:Austin!D73)+SUM(Cincinnati!D73:Cincinnati!D73)+SUM(Fresno!D73:Fresno!D73)+SUM(KC!D73:KC!D73)+SUM(Ogden!D73:Ogden!D73)+SUM(Philadelphia!D73:Philadelphia!D73)</f>
        <v>12.224699999999999</v>
      </c>
      <c r="E73" s="45">
        <f>SUM(Andover!E73:Andover!E73)+SUM(Atlanta!E73:Atlanta!E73)+SUM(Austin!E73:Austin!E73)+SUM(Cincinnati!E73:Cincinnati!E73)+SUM(Fresno!E73:Fresno!E73)+SUM(KC!E73:KC!E73)+SUM(Ogden!E73:Ogden!E73)+SUM(Philadelphia!E73:Philadelphia!E73)</f>
        <v>4.686999999999999</v>
      </c>
      <c r="F73" s="45">
        <f>SUM(Andover!F73:Andover!F73)+SUM(Atlanta!F73:Atlanta!F73)+SUM(Austin!F73:Austin!F73)+SUM(Cincinnati!F73:Cincinnati!F73)+SUM(Fresno!F73:Fresno!F73)+SUM(KC!F73:KC!F73)+SUM(Ogden!F73:Ogden!F73)+SUM(Philadelphia!F73:Philadelphia!F73)</f>
        <v>7.860899999999999</v>
      </c>
      <c r="G73" s="45">
        <f>SUM(Andover!G73:Andover!G73)+SUM(Atlanta!G73:Atlanta!G73)+SUM(Austin!G73:Austin!G73)+SUM(Cincinnati!G73:Cincinnati!G73)+SUM(Fresno!G73:Fresno!G73)+SUM(KC!G73:KC!G73)+SUM(Ogden!G73:Ogden!G73)+SUM(Philadelphia!G73:Philadelphia!G73)</f>
        <v>52.2298</v>
      </c>
      <c r="H73" s="45">
        <f>SUM(Andover!H73:Andover!H73)+SUM(Atlanta!H73:Atlanta!H73)+SUM(Austin!H73:Austin!H73)+SUM(Cincinnati!H73:Cincinnati!H73)+SUM(Fresno!H73:Fresno!H73)+SUM(KC!H73:KC!H73)+SUM(Ogden!H73:Ogden!H73)+SUM(Philadelphia!H73:Philadelphia!H73)</f>
        <v>37.3323</v>
      </c>
      <c r="I73" s="45">
        <f>SUM(Andover!I73:Andover!I73)+SUM(Atlanta!I73:Atlanta!I73)+SUM(Austin!I73:Austin!I73)+SUM(Cincinnati!I73:Cincinnati!I73)+SUM(Fresno!I73:Fresno!I73)+SUM(KC!I73:KC!I73)+SUM(Ogden!I73:Ogden!I73)+SUM(Philadelphia!I73:Philadelphia!I73)</f>
        <v>34.707</v>
      </c>
      <c r="J73" s="45">
        <f>SUM(Andover!J73:Andover!J73)+SUM(Atlanta!J73:Atlanta!J73)+SUM(Austin!J73:Austin!J73)+SUM(Cincinnati!J73:Cincinnati!J73)+SUM(Fresno!J73:Fresno!J73)+SUM(KC!J73:KC!J73)+SUM(Ogden!J73:Ogden!J73)+SUM(Philadelphia!J73:Philadelphia!J73)</f>
        <v>62.9182</v>
      </c>
      <c r="K73" s="45">
        <f>SUM(Andover!K73:Andover!K73)+SUM(Atlanta!K73:Atlanta!K73)+SUM(Austin!K73:Austin!K73)+SUM(Cincinnati!K73:Cincinnati!K73)+SUM(Fresno!K73:Fresno!K73)+SUM(KC!K73:KC!K73)+SUM(Ogden!K73:Ogden!K73)+SUM(Philadelphia!K73:Philadelphia!K73)</f>
        <v>8.7631</v>
      </c>
      <c r="L73" s="45">
        <f>SUM(Andover!L73:Andover!L73)+SUM(Atlanta!L73:Atlanta!L73)+SUM(Austin!L73:Austin!L73)+SUM(Cincinnati!L73:Cincinnati!L73)+SUM(Fresno!L73:Fresno!L73)+SUM(KC!L73:KC!L73)+SUM(Ogden!L73:Ogden!L73)+SUM(Philadelphia!L73:Philadelphia!L73)</f>
        <v>12.067</v>
      </c>
      <c r="M73" s="45">
        <f>SUM(Andover!M73:Andover!M73)+SUM(Atlanta!M73:Atlanta!M73)+SUM(Austin!M73:Austin!M73)+SUM(Cincinnati!M73:Cincinnati!M73)+SUM(Fresno!M73:Fresno!M73)+SUM(KC!M73:KC!M73)+SUM(Ogden!M73:Ogden!M73)+SUM(Philadelphia!M73:Philadelphia!M73)</f>
        <v>26.4091</v>
      </c>
      <c r="N73" s="45">
        <f>SUM(Andover!N73:Andover!N73)+SUM(Atlanta!N73:Atlanta!N73)+SUM(Austin!N73:Austin!N73)+SUM(Cincinnati!N73:Cincinnati!N73)+SUM(Fresno!N73:Fresno!N73)+SUM(KC!N73:KC!N73)+SUM(Ogden!N73:Ogden!N73)+SUM(Philadelphia!N73:Philadelphia!N73)</f>
        <v>16.7346</v>
      </c>
      <c r="O73" s="45">
        <f>SUM(Andover!O73:Andover!O73)+SUM(Atlanta!O73:Atlanta!O73)+SUM(Austin!O73:Austin!O73)+SUM(Cincinnati!O73:Cincinnati!O73)+SUM(Fresno!O73:Fresno!O73)+SUM(KC!O73:KC!O73)+SUM(Ogden!O73:Ogden!O73)+SUM(Philadelphia!O73:Philadelphia!O73)</f>
        <v>41.90639999999999</v>
      </c>
      <c r="P73" s="45">
        <f>SUM(D73:O73)</f>
        <v>317.8401</v>
      </c>
      <c r="Q73" s="20" t="s">
        <v>190</v>
      </c>
    </row>
    <row r="74" spans="1:17" s="11" customFormat="1" ht="36">
      <c r="A74" s="28" t="s">
        <v>274</v>
      </c>
      <c r="B74" s="38" t="s">
        <v>123</v>
      </c>
      <c r="C74" s="7" t="s">
        <v>77</v>
      </c>
      <c r="D74" s="45">
        <f>SUM(Andover!D74:Andover!D74)+SUM(Atlanta!D74:Atlanta!D74)+SUM(Austin!D74:Austin!D74)+SUM(Cincinnati!D74:Cincinnati!D74)+SUM(Fresno!D74:Fresno!D74)+SUM(KC!D74:KC!D74)+SUM(Ogden!D74:Ogden!D74)+SUM(Philadelphia!D74:Philadelphia!D74)</f>
        <v>46311.135299999994</v>
      </c>
      <c r="E74" s="45">
        <f>SUM(Andover!E74:Andover!E74)+SUM(Atlanta!E74:Atlanta!E74)+SUM(Austin!E74:Austin!E74)+SUM(Cincinnati!E74:Cincinnati!E74)+SUM(Fresno!E74:Fresno!E74)+SUM(KC!E74:KC!E74)+SUM(Ogden!E74:Ogden!E74)+SUM(Philadelphia!E74:Philadelphia!E74)</f>
        <v>13859.5499</v>
      </c>
      <c r="F74" s="45">
        <f>SUM(Andover!F74:Andover!F74)+SUM(Atlanta!F74:Atlanta!F74)+SUM(Austin!F74:Austin!F74)+SUM(Cincinnati!F74:Cincinnati!F74)+SUM(Fresno!F74:Fresno!F74)+SUM(KC!F74:KC!F74)+SUM(Ogden!F74:Ogden!F74)+SUM(Philadelphia!F74:Philadelphia!F74)</f>
        <v>26268.1843</v>
      </c>
      <c r="G74" s="45">
        <f>SUM(Andover!G74:Andover!G74)+SUM(Atlanta!G74:Atlanta!G74)+SUM(Austin!G74:Austin!G74)+SUM(Cincinnati!G74:Cincinnati!G74)+SUM(Fresno!G74:Fresno!G74)+SUM(KC!G74:KC!G74)+SUM(Ogden!G74:Ogden!G74)+SUM(Philadelphia!G74:Philadelphia!G74)</f>
        <v>77307.0168</v>
      </c>
      <c r="H74" s="45">
        <f>SUM(Andover!H74:Andover!H74)+SUM(Atlanta!H74:Atlanta!H74)+SUM(Austin!H74:Austin!H74)+SUM(Cincinnati!H74:Cincinnati!H74)+SUM(Fresno!H74:Fresno!H74)+SUM(KC!H74:KC!H74)+SUM(Ogden!H74:Ogden!H74)+SUM(Philadelphia!H74:Philadelphia!H74)</f>
        <v>74686.5629</v>
      </c>
      <c r="I74" s="45">
        <f>SUM(Andover!I74:Andover!I74)+SUM(Atlanta!I74:Atlanta!I74)+SUM(Austin!I74:Austin!I74)+SUM(Cincinnati!I74:Cincinnati!I74)+SUM(Fresno!I74:Fresno!I74)+SUM(KC!I74:KC!I74)+SUM(Ogden!I74:Ogden!I74)+SUM(Philadelphia!I74:Philadelphia!I74)</f>
        <v>79095.43509999999</v>
      </c>
      <c r="J74" s="45">
        <f>SUM(Andover!J74:Andover!J74)+SUM(Atlanta!J74:Atlanta!J74)+SUM(Austin!J74:Austin!J74)+SUM(Cincinnati!J74:Cincinnati!J74)+SUM(Fresno!J74:Fresno!J74)+SUM(KC!J74:KC!J74)+SUM(Ogden!J74:Ogden!J74)+SUM(Philadelphia!J74:Philadelphia!J74)</f>
        <v>52022.0671</v>
      </c>
      <c r="K74" s="45">
        <f>SUM(Andover!K74:Andover!K74)+SUM(Atlanta!K74:Atlanta!K74)+SUM(Austin!K74:Austin!K74)+SUM(Cincinnati!K74:Cincinnati!K74)+SUM(Fresno!K74:Fresno!K74)+SUM(KC!K74:KC!K74)+SUM(Ogden!K74:Ogden!K74)+SUM(Philadelphia!K74:Philadelphia!K74)</f>
        <v>39790.6375</v>
      </c>
      <c r="L74" s="45">
        <f>SUM(Andover!L74:Andover!L74)+SUM(Atlanta!L74:Atlanta!L74)+SUM(Austin!L74:Austin!L74)+SUM(Cincinnati!L74:Cincinnati!L74)+SUM(Fresno!L74:Fresno!L74)+SUM(KC!L74:KC!L74)+SUM(Ogden!L74:Ogden!L74)+SUM(Philadelphia!L74:Philadelphia!L74)</f>
        <v>51332.912</v>
      </c>
      <c r="M74" s="45">
        <f>SUM(Andover!M74:Andover!M74)+SUM(Atlanta!M74:Atlanta!M74)+SUM(Austin!M74:Austin!M74)+SUM(Cincinnati!M74:Cincinnati!M74)+SUM(Fresno!M74:Fresno!M74)+SUM(KC!M74:KC!M74)+SUM(Ogden!M74:Ogden!M74)+SUM(Philadelphia!M74:Philadelphia!M74)</f>
        <v>31330.052799999998</v>
      </c>
      <c r="N74" s="45">
        <f>SUM(Andover!N74:Andover!N74)+SUM(Atlanta!N74:Atlanta!N74)+SUM(Austin!N74:Austin!N74)+SUM(Cincinnati!N74:Cincinnati!N74)+SUM(Fresno!N74:Fresno!N74)+SUM(KC!N74:KC!N74)+SUM(Ogden!N74:Ogden!N74)+SUM(Philadelphia!N74:Philadelphia!N74)</f>
        <v>78146.883</v>
      </c>
      <c r="O74" s="45">
        <f>SUM(Andover!O74:Andover!O74)+SUM(Atlanta!O74:Atlanta!O74)+SUM(Austin!O74:Austin!O74)+SUM(Cincinnati!O74:Cincinnati!O74)+SUM(Fresno!O74:Fresno!O74)+SUM(KC!O74:KC!O74)+SUM(Ogden!O74:Ogden!O74)+SUM(Philadelphia!O74:Philadelphia!O74)</f>
        <v>94893.8233</v>
      </c>
      <c r="P74" s="45">
        <f>SUM(D74:O74)</f>
        <v>665044.2600000001</v>
      </c>
      <c r="Q74" s="20" t="s">
        <v>190</v>
      </c>
    </row>
    <row r="75" spans="1:17" s="3" customFormat="1" ht="12">
      <c r="A75" s="208" t="s">
        <v>275</v>
      </c>
      <c r="B75" s="209"/>
      <c r="C75" s="209"/>
      <c r="D75" s="209"/>
      <c r="E75" s="209"/>
      <c r="F75" s="209"/>
      <c r="G75" s="209"/>
      <c r="H75" s="209"/>
      <c r="I75" s="209"/>
      <c r="J75" s="209"/>
      <c r="K75" s="209"/>
      <c r="L75" s="209"/>
      <c r="M75" s="209"/>
      <c r="N75" s="209"/>
      <c r="O75" s="209"/>
      <c r="P75" s="209"/>
      <c r="Q75" s="210"/>
    </row>
    <row r="76" spans="1:17" s="59" customFormat="1" ht="120">
      <c r="A76" s="170">
        <v>5.1</v>
      </c>
      <c r="B76" s="27" t="s">
        <v>179</v>
      </c>
      <c r="C76" s="34" t="s">
        <v>362</v>
      </c>
      <c r="D76" s="45">
        <f>SUM(Andover!D76:Andover!D76)+SUM(Atlanta!D76:Atlanta!D76)+SUM(Austin!D76:Austin!D76)+SUM(Cincinnati!D76:Cincinnati!D76)+SUM(Fresno!D76:Fresno!D76)+SUM(KC!D76:KC!D76)+SUM(Ogden!D76:Ogden!D76)+SUM(Philadelphia!D76:Philadelphia!D76)</f>
        <v>49786.049999999996</v>
      </c>
      <c r="E76" s="45">
        <f>SUM(Andover!E76:Andover!E76)+SUM(Atlanta!E76:Atlanta!E76)+SUM(Austin!E76:Austin!E76)+SUM(Cincinnati!E76:Cincinnati!E76)+SUM(Fresno!E76:Fresno!E76)+SUM(KC!E76:KC!E76)+SUM(Ogden!E76:Ogden!E76)+SUM(Philadelphia!E76:Philadelphia!E76)</f>
        <v>36701.6</v>
      </c>
      <c r="F76" s="45">
        <f>SUM(Andover!F76:Andover!F76)+SUM(Atlanta!F76:Atlanta!F76)+SUM(Austin!F76:Austin!F76)+SUM(Cincinnati!F76:Cincinnati!F76)+SUM(Fresno!F76:Fresno!F76)+SUM(KC!F76:KC!F76)+SUM(Ogden!F76:Ogden!F76)+SUM(Philadelphia!F76:Philadelphia!F76)</f>
        <v>165725.35</v>
      </c>
      <c r="G76" s="45">
        <f>SUM(Andover!G76:Andover!G76)+SUM(Atlanta!G76:Atlanta!G76)+SUM(Austin!G76:Austin!G76)+SUM(Cincinnati!G76:Cincinnati!G76)+SUM(Fresno!G76:Fresno!G76)+SUM(KC!G76:KC!G76)+SUM(Ogden!G76:Ogden!G76)+SUM(Philadelphia!G76:Philadelphia!G76)</f>
        <v>5263316.3972</v>
      </c>
      <c r="H76" s="45">
        <f>SUM(Andover!H76:Andover!H76)+SUM(Atlanta!H76:Atlanta!H76)+SUM(Austin!H76:Austin!H76)+SUM(Cincinnati!H76:Cincinnati!H76)+SUM(Fresno!H76:Fresno!H76)+SUM(KC!H76:KC!H76)+SUM(Ogden!H76:Ogden!H76)+SUM(Philadelphia!H76:Philadelphia!H76)</f>
        <v>467881.6472</v>
      </c>
      <c r="I76" s="45">
        <f>SUM(Andover!I76:Andover!I76)+SUM(Atlanta!I76:Atlanta!I76)+SUM(Austin!I76:Austin!I76)+SUM(Cincinnati!I76:Cincinnati!I76)+SUM(Fresno!I76:Fresno!I76)+SUM(KC!I76:KC!I76)+SUM(Ogden!I76:Ogden!I76)+SUM(Philadelphia!I76:Philadelphia!I76)</f>
        <v>1613674.8499999999</v>
      </c>
      <c r="J76" s="45">
        <f>SUM(Andover!J76:Andover!J76)+SUM(Atlanta!J76:Atlanta!J76)+SUM(Austin!J76:Austin!J76)+SUM(Cincinnati!J76:Cincinnati!J76)+SUM(Fresno!J76:Fresno!J76)+SUM(KC!J76:KC!J76)+SUM(Ogden!J76:Ogden!J76)+SUM(Philadelphia!J76:Philadelphia!J76)</f>
        <v>81718.5972</v>
      </c>
      <c r="K76" s="45">
        <f>SUM(Andover!K76:Andover!K76)+SUM(Atlanta!K76:Atlanta!K76)+SUM(Austin!K76:Austin!K76)+SUM(Cincinnati!K76:Cincinnati!K76)+SUM(Fresno!K76:Fresno!K76)+SUM(KC!K76:KC!K76)+SUM(Ogden!K76:Ogden!K76)+SUM(Philadelphia!K76:Philadelphia!K76)</f>
        <v>135165.19999999998</v>
      </c>
      <c r="L76" s="45">
        <f>SUM(Andover!L76:Andover!L76)+SUM(Atlanta!L76:Atlanta!L76)+SUM(Austin!L76:Austin!L76)+SUM(Cincinnati!L76:Cincinnati!L76)+SUM(Fresno!L76:Fresno!L76)+SUM(KC!L76:KC!L76)+SUM(Ogden!L76:Ogden!L76)+SUM(Philadelphia!L76:Philadelphia!L76)</f>
        <v>102213.84999999999</v>
      </c>
      <c r="M76" s="45">
        <f>SUM(Andover!M76:Andover!M76)+SUM(Atlanta!M76:Atlanta!M76)+SUM(Austin!M76:Austin!M76)+SUM(Cincinnati!M76:Cincinnati!M76)+SUM(Fresno!M76:Fresno!M76)+SUM(KC!M76:KC!M76)+SUM(Ogden!M76:Ogden!M76)+SUM(Philadelphia!M76:Philadelphia!M76)</f>
        <v>805422.8999999999</v>
      </c>
      <c r="N76" s="45">
        <f>SUM(Andover!N76:Andover!N76)+SUM(Atlanta!N76:Atlanta!N76)+SUM(Austin!N76:Austin!N76)+SUM(Cincinnati!N76:Cincinnati!N76)+SUM(Fresno!N76:Fresno!N76)+SUM(KC!N76:KC!N76)+SUM(Ogden!N76:Ogden!N76)+SUM(Philadelphia!N76:Philadelphia!N76)</f>
        <v>84159.5</v>
      </c>
      <c r="O76" s="45">
        <f>SUM(Andover!O76:Andover!O76)+SUM(Atlanta!O76:Atlanta!O76)+SUM(Austin!O76:Austin!O76)+SUM(Cincinnati!O76:Cincinnati!O76)+SUM(Fresno!O76:Fresno!O76)+SUM(KC!O76:KC!O76)+SUM(Ogden!O76:Ogden!O76)+SUM(Philadelphia!O76:Philadelphia!O76)</f>
        <v>185805.84999999998</v>
      </c>
      <c r="P76" s="45">
        <f>SUM(D76:O76)</f>
        <v>8991571.791599998</v>
      </c>
      <c r="Q76" s="27" t="s">
        <v>188</v>
      </c>
    </row>
    <row r="77" spans="1:17" ht="12.75">
      <c r="A77" s="208" t="s">
        <v>276</v>
      </c>
      <c r="B77" s="209"/>
      <c r="C77" s="209"/>
      <c r="D77" s="209"/>
      <c r="E77" s="209"/>
      <c r="F77" s="209"/>
      <c r="G77" s="209"/>
      <c r="H77" s="209"/>
      <c r="I77" s="209"/>
      <c r="J77" s="209"/>
      <c r="K77" s="209"/>
      <c r="L77" s="209"/>
      <c r="M77" s="209"/>
      <c r="N77" s="209"/>
      <c r="O77" s="209"/>
      <c r="P77" s="209"/>
      <c r="Q77" s="210"/>
    </row>
    <row r="78" spans="1:17" s="87" customFormat="1" ht="24">
      <c r="A78" s="14">
        <v>5.11</v>
      </c>
      <c r="B78" s="7" t="s">
        <v>125</v>
      </c>
      <c r="C78" s="27" t="s">
        <v>241</v>
      </c>
      <c r="D78" s="45">
        <f>SUM(Andover!D78:Andover!D78)+SUM(Atlanta!D78:Atlanta!D78)+SUM(Austin!D78:Austin!D78)+SUM(Cincinnati!D78:Cincinnati!D78)+SUM(Fresno!D78:Fresno!D78)+SUM(KC!D78:KC!D78)+SUM(Ogden!D78:Ogden!D78)+SUM(Philadelphia!D78:Philadelphia!D78)</f>
        <v>1533564.559043747</v>
      </c>
      <c r="E78" s="45">
        <f>SUM(Andover!E78:Andover!E78)+SUM(Atlanta!E78:Atlanta!E78)+SUM(Austin!E78:Austin!E78)+SUM(Cincinnati!E78:Cincinnati!E78)+SUM(Fresno!E78:Fresno!E78)+SUM(KC!E78:KC!E78)+SUM(Ogden!E78:Ogden!E78)+SUM(Philadelphia!E78:Philadelphia!E78)</f>
        <v>663317.6080430098</v>
      </c>
      <c r="F78" s="45">
        <f>SUM(Andover!F78:Andover!F78)+SUM(Atlanta!F78:Atlanta!F78)+SUM(Austin!F78:Austin!F78)+SUM(Cincinnati!F78:Cincinnati!F78)+SUM(Fresno!F78:Fresno!F78)+SUM(KC!F78:KC!F78)+SUM(Ogden!F78:Ogden!F78)+SUM(Philadelphia!F78:Philadelphia!F78)</f>
        <v>753146.8329132431</v>
      </c>
      <c r="G78" s="45">
        <f>SUM(Andover!G78:Andover!G78)+SUM(Atlanta!G78:Atlanta!G78)+SUM(Austin!G78:Austin!G78)+SUM(Cincinnati!G78:Cincinnati!G78)+SUM(Fresno!G78:Fresno!G78)+SUM(KC!G78:KC!G78)+SUM(Ogden!G78:Ogden!G78)+SUM(Philadelphia!G78:Philadelphia!G78)</f>
        <v>0</v>
      </c>
      <c r="H78" s="45">
        <f>SUM(Andover!H78:Andover!H78)+SUM(Atlanta!H78:Atlanta!H78)+SUM(Austin!H78:Austin!H78)+SUM(Cincinnati!H78:Cincinnati!H78)+SUM(Fresno!H78:Fresno!H78)+SUM(KC!H78:KC!H78)+SUM(Ogden!H78:Ogden!H78)+SUM(Philadelphia!H78:Philadelphia!H78)</f>
        <v>0</v>
      </c>
      <c r="I78" s="45">
        <f>SUM(Andover!I78:Andover!I78)+SUM(Atlanta!I78:Atlanta!I78)+SUM(Austin!I78:Austin!I78)+SUM(Cincinnati!I78:Cincinnati!I78)+SUM(Fresno!I78:Fresno!I78)+SUM(KC!I78:KC!I78)+SUM(Ogden!I78:Ogden!I78)+SUM(Philadelphia!I78:Philadelphia!I78)</f>
        <v>0</v>
      </c>
      <c r="J78" s="45">
        <f>SUM(Andover!J78:Andover!J78)+SUM(Atlanta!J78:Atlanta!J78)+SUM(Austin!J78:Austin!J78)+SUM(Cincinnati!J78:Cincinnati!J78)+SUM(Fresno!J78:Fresno!J78)+SUM(KC!J78:KC!J78)+SUM(Ogden!J78:Ogden!J78)+SUM(Philadelphia!J78:Philadelphia!J78)</f>
        <v>0</v>
      </c>
      <c r="K78" s="45">
        <f>SUM(Andover!K78:Andover!K78)+SUM(Atlanta!K78:Atlanta!K78)+SUM(Austin!K78:Austin!K78)+SUM(Cincinnati!K78:Cincinnati!K78)+SUM(Fresno!K78:Fresno!K78)+SUM(KC!K78:KC!K78)+SUM(Ogden!K78:Ogden!K78)+SUM(Philadelphia!K78:Philadelphia!K78)</f>
        <v>0</v>
      </c>
      <c r="L78" s="45">
        <f>SUM(Andover!L78:Andover!L78)+SUM(Atlanta!L78:Atlanta!L78)+SUM(Austin!L78:Austin!L78)+SUM(Cincinnati!L78:Cincinnati!L78)+SUM(Fresno!L78:Fresno!L78)+SUM(KC!L78:KC!L78)+SUM(Ogden!L78:Ogden!L78)+SUM(Philadelphia!L78:Philadelphia!L78)</f>
        <v>0</v>
      </c>
      <c r="M78" s="45">
        <f>SUM(Andover!M78:Andover!M78)+SUM(Atlanta!M78:Atlanta!M78)+SUM(Austin!M78:Austin!M78)+SUM(Cincinnati!M78:Cincinnati!M78)+SUM(Fresno!M78:Fresno!M78)+SUM(KC!M78:KC!M78)+SUM(Ogden!M78:Ogden!M78)+SUM(Philadelphia!M78:Philadelphia!M78)</f>
        <v>0</v>
      </c>
      <c r="N78" s="45">
        <f>SUM(Andover!N78:Andover!N78)+SUM(Atlanta!N78:Atlanta!N78)+SUM(Austin!N78:Austin!N78)+SUM(Cincinnati!N78:Cincinnati!N78)+SUM(Fresno!N78:Fresno!N78)+SUM(KC!N78:KC!N78)+SUM(Ogden!N78:Ogden!N78)+SUM(Philadelphia!N78:Philadelphia!N78)</f>
        <v>0</v>
      </c>
      <c r="O78" s="45">
        <f>SUM(Andover!O78:Andover!O78)+SUM(Atlanta!O78:Atlanta!O78)+SUM(Austin!O78:Austin!O78)+SUM(Cincinnati!O78:Cincinnati!O78)+SUM(Fresno!O78:Fresno!O78)+SUM(KC!O78:KC!O78)+SUM(Ogden!O78:Ogden!O78)+SUM(Philadelphia!O78:Philadelphia!O78)</f>
        <v>0</v>
      </c>
      <c r="P78" s="45">
        <f>SUM(D78:O78)</f>
        <v>2950029</v>
      </c>
      <c r="Q78" s="35" t="s">
        <v>228</v>
      </c>
    </row>
    <row r="80" spans="1:17" ht="33" customHeight="1">
      <c r="A80" s="216" t="s">
        <v>242</v>
      </c>
      <c r="B80" s="216"/>
      <c r="C80" s="216"/>
      <c r="D80" s="216"/>
      <c r="E80" s="216"/>
      <c r="F80" s="216"/>
      <c r="G80" s="216"/>
      <c r="H80" s="216"/>
      <c r="I80" s="216"/>
      <c r="J80" s="216"/>
      <c r="K80" s="216"/>
      <c r="L80" s="216"/>
      <c r="M80" s="216"/>
      <c r="N80" s="216"/>
      <c r="O80" s="216"/>
      <c r="P80" s="216"/>
      <c r="Q80" s="216"/>
    </row>
  </sheetData>
  <mergeCells count="11">
    <mergeCell ref="A59:Q59"/>
    <mergeCell ref="A63:Q63"/>
    <mergeCell ref="A70:Q70"/>
    <mergeCell ref="A80:Q80"/>
    <mergeCell ref="A75:Q75"/>
    <mergeCell ref="A77:Q77"/>
    <mergeCell ref="A31:Q31"/>
    <mergeCell ref="A1:Q1"/>
    <mergeCell ref="A3:Q3"/>
    <mergeCell ref="C5:P5"/>
    <mergeCell ref="A17:Q17"/>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A1:R90"/>
  <sheetViews>
    <sheetView zoomScale="75" zoomScaleNormal="75" workbookViewId="0" topLeftCell="A29">
      <selection activeCell="D35" sqref="D35"/>
    </sheetView>
  </sheetViews>
  <sheetFormatPr defaultColWidth="9.140625" defaultRowHeight="12.75"/>
  <cols>
    <col min="1" max="1" width="12.28125" style="0" customWidth="1"/>
    <col min="2" max="2" width="20.00390625" style="0" customWidth="1"/>
    <col min="3" max="3" width="16.140625" style="0" customWidth="1"/>
    <col min="5" max="5" width="8.57421875" style="0" customWidth="1"/>
    <col min="9" max="9" width="9.8515625" style="0" customWidth="1"/>
    <col min="10" max="10" width="9.28125" style="0" customWidth="1"/>
    <col min="11" max="11" width="9.8515625" style="0" customWidth="1"/>
    <col min="14" max="14" width="9.00390625" style="0" customWidth="1"/>
    <col min="15" max="15" width="9.8515625" style="0" customWidth="1"/>
    <col min="16" max="16" width="11.00390625" style="48" customWidth="1"/>
    <col min="17" max="17" width="19.421875" style="0" customWidth="1"/>
    <col min="18" max="18" width="9.8515625" style="86" customWidth="1"/>
    <col min="20" max="20" width="11.57421875" style="0" bestFit="1"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1"/>
      <c r="G2" s="1"/>
      <c r="H2" s="1"/>
      <c r="I2" s="1"/>
      <c r="J2" s="1"/>
      <c r="K2" s="1"/>
      <c r="L2" s="1"/>
      <c r="M2" s="1"/>
      <c r="N2" s="1"/>
      <c r="O2" s="1"/>
      <c r="P2" s="47"/>
    </row>
    <row r="3" spans="1:17" ht="18">
      <c r="A3" s="211" t="s">
        <v>81</v>
      </c>
      <c r="B3" s="211"/>
      <c r="C3" s="211"/>
      <c r="D3" s="211"/>
      <c r="E3" s="211"/>
      <c r="F3" s="211"/>
      <c r="G3" s="211"/>
      <c r="H3" s="211"/>
      <c r="I3" s="211"/>
      <c r="J3" s="211"/>
      <c r="K3" s="211"/>
      <c r="L3" s="211"/>
      <c r="M3" s="211"/>
      <c r="N3" s="211"/>
      <c r="O3" s="211"/>
      <c r="P3" s="211"/>
      <c r="Q3" s="211"/>
    </row>
    <row r="5" spans="3:18" s="2" customFormat="1" ht="12.75" customHeight="1">
      <c r="C5" s="212" t="s">
        <v>356</v>
      </c>
      <c r="D5" s="213"/>
      <c r="E5" s="213"/>
      <c r="F5" s="213"/>
      <c r="G5" s="213"/>
      <c r="H5" s="213"/>
      <c r="I5" s="213"/>
      <c r="J5" s="213"/>
      <c r="K5" s="213"/>
      <c r="L5" s="213"/>
      <c r="M5" s="213"/>
      <c r="N5" s="213"/>
      <c r="O5" s="213"/>
      <c r="P5" s="214"/>
      <c r="Q5" s="3"/>
      <c r="R5" s="99"/>
    </row>
    <row r="6" spans="1:18" s="3" customFormat="1" ht="60.75" customHeight="1">
      <c r="A6" s="180" t="s">
        <v>0</v>
      </c>
      <c r="B6" s="174" t="s">
        <v>1</v>
      </c>
      <c r="C6" s="180" t="s">
        <v>2</v>
      </c>
      <c r="D6" s="178" t="s">
        <v>3</v>
      </c>
      <c r="E6" s="178" t="s">
        <v>4</v>
      </c>
      <c r="F6" s="178" t="s">
        <v>5</v>
      </c>
      <c r="G6" s="178" t="s">
        <v>6</v>
      </c>
      <c r="H6" s="178" t="s">
        <v>8</v>
      </c>
      <c r="I6" s="178" t="s">
        <v>7</v>
      </c>
      <c r="J6" s="178" t="s">
        <v>9</v>
      </c>
      <c r="K6" s="178" t="s">
        <v>10</v>
      </c>
      <c r="L6" s="178" t="s">
        <v>11</v>
      </c>
      <c r="M6" s="178" t="s">
        <v>12</v>
      </c>
      <c r="N6" s="178" t="s">
        <v>13</v>
      </c>
      <c r="O6" s="178" t="s">
        <v>14</v>
      </c>
      <c r="P6" s="181" t="s">
        <v>16</v>
      </c>
      <c r="Q6" s="174" t="s">
        <v>15</v>
      </c>
      <c r="R6" s="100"/>
    </row>
    <row r="7" spans="1:18" s="3" customFormat="1" ht="12">
      <c r="A7" s="19" t="s">
        <v>40</v>
      </c>
      <c r="B7" s="15"/>
      <c r="C7" s="16"/>
      <c r="D7" s="17"/>
      <c r="E7" s="17"/>
      <c r="F7" s="17"/>
      <c r="G7" s="17"/>
      <c r="H7" s="17"/>
      <c r="I7" s="17"/>
      <c r="J7" s="17"/>
      <c r="K7" s="17"/>
      <c r="L7" s="17"/>
      <c r="M7" s="17"/>
      <c r="N7" s="17"/>
      <c r="O7" s="17"/>
      <c r="P7" s="49"/>
      <c r="Q7" s="18"/>
      <c r="R7" s="100"/>
    </row>
    <row r="8" spans="1:18" s="3" customFormat="1" ht="48">
      <c r="A8" s="24" t="s">
        <v>41</v>
      </c>
      <c r="B8" s="27" t="s">
        <v>42</v>
      </c>
      <c r="C8" s="27" t="s">
        <v>43</v>
      </c>
      <c r="D8" s="45">
        <f>3*1.0564</f>
        <v>3.1692</v>
      </c>
      <c r="E8" s="45">
        <f>7*1.0564</f>
        <v>7.3948</v>
      </c>
      <c r="F8" s="45">
        <f>8*1.0564</f>
        <v>8.4512</v>
      </c>
      <c r="G8" s="45">
        <f>5*1.0564</f>
        <v>5.282</v>
      </c>
      <c r="H8" s="45">
        <f>6*1.0564</f>
        <v>6.3384</v>
      </c>
      <c r="I8" s="45">
        <f>5*1.0564</f>
        <v>5.282</v>
      </c>
      <c r="J8" s="45">
        <f>23*1.0564</f>
        <v>24.2972</v>
      </c>
      <c r="K8" s="45">
        <f>51*1.0564</f>
        <v>53.876400000000004</v>
      </c>
      <c r="L8" s="45">
        <f>77*1.0564</f>
        <v>81.3428</v>
      </c>
      <c r="M8" s="45">
        <f>18*1.0564</f>
        <v>19.0152</v>
      </c>
      <c r="N8" s="45">
        <f>10*1.0564</f>
        <v>10.564</v>
      </c>
      <c r="O8" s="45">
        <f>13*1.0564</f>
        <v>13.7332</v>
      </c>
      <c r="P8" s="45">
        <f>SUM(D8:O8)</f>
        <v>238.7464</v>
      </c>
      <c r="Q8" s="38" t="s">
        <v>163</v>
      </c>
      <c r="R8" s="100"/>
    </row>
    <row r="9" spans="1:18" s="3" customFormat="1" ht="12">
      <c r="A9" s="19" t="s">
        <v>245</v>
      </c>
      <c r="B9" s="15"/>
      <c r="C9" s="16"/>
      <c r="D9" s="17"/>
      <c r="E9" s="17"/>
      <c r="F9" s="17"/>
      <c r="G9" s="17"/>
      <c r="H9" s="17"/>
      <c r="I9" s="17"/>
      <c r="J9" s="17"/>
      <c r="K9" s="17"/>
      <c r="L9" s="17"/>
      <c r="M9" s="17"/>
      <c r="N9" s="17"/>
      <c r="O9" s="17"/>
      <c r="P9" s="49"/>
      <c r="Q9" s="18"/>
      <c r="R9" s="100"/>
    </row>
    <row r="10" spans="1:18" s="3"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c r="R10" s="100"/>
    </row>
    <row r="11" spans="1:18" s="3" customFormat="1" ht="12">
      <c r="A11" s="19" t="s">
        <v>247</v>
      </c>
      <c r="B11" s="15"/>
      <c r="C11" s="16"/>
      <c r="D11" s="17"/>
      <c r="E11" s="17"/>
      <c r="F11" s="17"/>
      <c r="G11" s="17"/>
      <c r="H11" s="17"/>
      <c r="I11" s="17"/>
      <c r="J11" s="17"/>
      <c r="K11" s="17"/>
      <c r="L11" s="17"/>
      <c r="M11" s="17"/>
      <c r="N11" s="17"/>
      <c r="O11" s="17"/>
      <c r="P11" s="49"/>
      <c r="Q11" s="18"/>
      <c r="R11" s="100"/>
    </row>
    <row r="12" spans="1:18" s="3" customFormat="1" ht="24">
      <c r="A12" s="24" t="s">
        <v>248</v>
      </c>
      <c r="B12" s="24" t="s">
        <v>148</v>
      </c>
      <c r="C12" s="24" t="s">
        <v>44</v>
      </c>
      <c r="D12" s="69">
        <v>5</v>
      </c>
      <c r="E12" s="69">
        <v>4</v>
      </c>
      <c r="F12" s="69">
        <v>5</v>
      </c>
      <c r="G12" s="69">
        <v>5</v>
      </c>
      <c r="H12" s="69">
        <v>4</v>
      </c>
      <c r="I12" s="69">
        <v>5</v>
      </c>
      <c r="J12" s="69">
        <v>4</v>
      </c>
      <c r="K12" s="69">
        <v>5</v>
      </c>
      <c r="L12" s="69">
        <v>4</v>
      </c>
      <c r="M12" s="69">
        <v>5</v>
      </c>
      <c r="N12" s="69">
        <v>4</v>
      </c>
      <c r="O12" s="69">
        <v>5</v>
      </c>
      <c r="P12" s="45">
        <f>SUM(D12:O12)</f>
        <v>55</v>
      </c>
      <c r="Q12" s="28" t="s">
        <v>79</v>
      </c>
      <c r="R12" s="100"/>
    </row>
    <row r="13" spans="1:18"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43">
        <f>SUM(D13:O13)</f>
        <v>251</v>
      </c>
      <c r="Q13" s="28" t="s">
        <v>64</v>
      </c>
      <c r="R13" s="100"/>
    </row>
    <row r="14" spans="1:18" s="3" customFormat="1" ht="12">
      <c r="A14" s="24" t="s">
        <v>250</v>
      </c>
      <c r="B14" s="38" t="s">
        <v>63</v>
      </c>
      <c r="C14" s="24" t="s">
        <v>44</v>
      </c>
      <c r="D14" s="69">
        <v>0</v>
      </c>
      <c r="E14" s="69">
        <v>0</v>
      </c>
      <c r="F14" s="69">
        <v>1</v>
      </c>
      <c r="G14" s="69">
        <v>0</v>
      </c>
      <c r="H14" s="69">
        <v>0</v>
      </c>
      <c r="I14" s="69">
        <v>1</v>
      </c>
      <c r="J14" s="69">
        <v>0</v>
      </c>
      <c r="K14" s="69">
        <v>0</v>
      </c>
      <c r="L14" s="69">
        <v>1</v>
      </c>
      <c r="M14" s="69">
        <v>0</v>
      </c>
      <c r="N14" s="69">
        <v>0</v>
      </c>
      <c r="O14" s="69">
        <v>1</v>
      </c>
      <c r="P14" s="43">
        <f>SUM(D14:O14)</f>
        <v>4</v>
      </c>
      <c r="Q14" s="28" t="s">
        <v>78</v>
      </c>
      <c r="R14" s="100"/>
    </row>
    <row r="15" spans="1:18" s="3" customFormat="1" ht="12">
      <c r="A15" s="19" t="s">
        <v>251</v>
      </c>
      <c r="B15" s="15"/>
      <c r="C15" s="16"/>
      <c r="D15" s="17"/>
      <c r="E15" s="17"/>
      <c r="F15" s="17"/>
      <c r="G15" s="17"/>
      <c r="H15" s="17"/>
      <c r="I15" s="17"/>
      <c r="J15" s="17"/>
      <c r="K15" s="17"/>
      <c r="L15" s="17"/>
      <c r="M15" s="17"/>
      <c r="N15" s="17"/>
      <c r="O15" s="17"/>
      <c r="P15" s="49"/>
      <c r="Q15" s="66"/>
      <c r="R15" s="100"/>
    </row>
    <row r="16" spans="1:18" s="85" customFormat="1" ht="24">
      <c r="A16" s="84">
        <v>5.4</v>
      </c>
      <c r="B16" s="34" t="s">
        <v>45</v>
      </c>
      <c r="C16" s="27" t="s">
        <v>46</v>
      </c>
      <c r="D16" s="45">
        <v>888324.8711999999</v>
      </c>
      <c r="E16" s="45">
        <v>484732.3624</v>
      </c>
      <c r="F16" s="45">
        <v>459545.7872</v>
      </c>
      <c r="G16" s="45">
        <v>341255.2304</v>
      </c>
      <c r="H16" s="45">
        <v>388151.9956</v>
      </c>
      <c r="I16" s="45">
        <v>737896.4564</v>
      </c>
      <c r="J16" s="45">
        <v>871140.1884</v>
      </c>
      <c r="K16" s="45">
        <v>1283937.996</v>
      </c>
      <c r="L16" s="45">
        <v>1047554.7627999999</v>
      </c>
      <c r="M16" s="45">
        <v>597020.2344</v>
      </c>
      <c r="N16" s="45">
        <v>424520.6784</v>
      </c>
      <c r="O16" s="45">
        <v>432806.02359999996</v>
      </c>
      <c r="P16" s="45">
        <f>SUM(D16:O16)</f>
        <v>7956886.5868</v>
      </c>
      <c r="Q16" s="7" t="s">
        <v>229</v>
      </c>
      <c r="R16" s="127"/>
    </row>
    <row r="17" spans="1:18" s="3" customFormat="1" ht="12">
      <c r="A17" s="208" t="s">
        <v>252</v>
      </c>
      <c r="B17" s="209"/>
      <c r="C17" s="209"/>
      <c r="D17" s="209"/>
      <c r="E17" s="209"/>
      <c r="F17" s="209"/>
      <c r="G17" s="209"/>
      <c r="H17" s="209"/>
      <c r="I17" s="209"/>
      <c r="J17" s="209"/>
      <c r="K17" s="209"/>
      <c r="L17" s="209"/>
      <c r="M17" s="209"/>
      <c r="N17" s="209"/>
      <c r="O17" s="209"/>
      <c r="P17" s="209"/>
      <c r="Q17" s="210"/>
      <c r="R17" s="100"/>
    </row>
    <row r="18" spans="1:18" s="2" customFormat="1" ht="12">
      <c r="A18" s="4" t="s">
        <v>21</v>
      </c>
      <c r="B18" s="5" t="s">
        <v>18</v>
      </c>
      <c r="C18" s="40"/>
      <c r="D18" s="41"/>
      <c r="E18" s="41"/>
      <c r="F18" s="41"/>
      <c r="G18" s="41"/>
      <c r="H18" s="41"/>
      <c r="I18" s="41"/>
      <c r="J18" s="41"/>
      <c r="K18" s="41"/>
      <c r="L18" s="41"/>
      <c r="M18" s="41"/>
      <c r="N18" s="41"/>
      <c r="O18" s="41"/>
      <c r="P18" s="50"/>
      <c r="Q18" s="40"/>
      <c r="R18" s="99"/>
    </row>
    <row r="19" spans="1:18" s="2" customFormat="1" ht="12">
      <c r="A19" s="21" t="s">
        <v>253</v>
      </c>
      <c r="B19" s="5" t="s">
        <v>149</v>
      </c>
      <c r="C19" s="40"/>
      <c r="D19" s="40"/>
      <c r="E19" s="40"/>
      <c r="F19" s="40"/>
      <c r="G19" s="40"/>
      <c r="H19" s="40"/>
      <c r="I19" s="40"/>
      <c r="J19" s="40"/>
      <c r="K19" s="40"/>
      <c r="L19" s="40"/>
      <c r="M19" s="40"/>
      <c r="N19" s="40"/>
      <c r="O19" s="40"/>
      <c r="P19" s="40"/>
      <c r="Q19" s="40"/>
      <c r="R19" s="99"/>
    </row>
    <row r="20" spans="1:18" s="2" customFormat="1" ht="94.5" customHeight="1">
      <c r="A20" s="23" t="s">
        <v>254</v>
      </c>
      <c r="B20" s="7" t="s">
        <v>110</v>
      </c>
      <c r="C20" s="27" t="s">
        <v>47</v>
      </c>
      <c r="D20" s="33">
        <f>SUM(431928-279526)*1.0564</f>
        <v>160997.4728</v>
      </c>
      <c r="E20" s="32">
        <f>SUM(251629-168484)*1.0564</f>
        <v>87834.378</v>
      </c>
      <c r="F20" s="32">
        <f>SUM(230716-231815+84425)*1.0564</f>
        <v>88025.5864</v>
      </c>
      <c r="G20" s="32">
        <f>SUM(924492-740142-84425)*1.0564</f>
        <v>105560.77</v>
      </c>
      <c r="H20" s="32">
        <f>SUM(850085-182239)*1.0564</f>
        <v>705512.5144</v>
      </c>
      <c r="I20" s="32">
        <f>SUM(2077451-278357)*1.0564</f>
        <v>1900562.9016</v>
      </c>
      <c r="J20" s="32">
        <f>SUM(2913340-1340984)*1.0564</f>
        <v>1661036.8784</v>
      </c>
      <c r="K20" s="32">
        <f>SUM(3981012-157481)*1.0564</f>
        <v>4039178.1484</v>
      </c>
      <c r="L20" s="32">
        <f>SUM(1911483-687529)*1.0564</f>
        <v>1292985.0056</v>
      </c>
      <c r="M20" s="32">
        <f>SUM(433843-241130)*1.0564</f>
        <v>203582.0132</v>
      </c>
      <c r="N20" s="32">
        <f>SUM(341043-232986)*1.0564</f>
        <v>114151.4148</v>
      </c>
      <c r="O20" s="32">
        <f>SUM(1072518-141895)*1.0564</f>
        <v>983110.1372</v>
      </c>
      <c r="P20" s="57">
        <f>SUM(D20:O20)</f>
        <v>11342537.2208</v>
      </c>
      <c r="Q20" s="7"/>
      <c r="R20" s="117"/>
    </row>
    <row r="21" spans="1:18" s="11" customFormat="1" ht="84">
      <c r="A21" s="23" t="s">
        <v>254</v>
      </c>
      <c r="B21" s="7" t="s">
        <v>110</v>
      </c>
      <c r="C21" s="27" t="s">
        <v>48</v>
      </c>
      <c r="D21" s="32">
        <f>11151*1.0564</f>
        <v>11779.9164</v>
      </c>
      <c r="E21" s="32">
        <f>71315*1.0564</f>
        <v>75337.166</v>
      </c>
      <c r="F21" s="32">
        <f>5225*1.0564</f>
        <v>5519.69</v>
      </c>
      <c r="G21" s="32">
        <f>3440*1.0564</f>
        <v>3634.016</v>
      </c>
      <c r="H21" s="32">
        <f>85158*1.0564</f>
        <v>89960.9112</v>
      </c>
      <c r="I21" s="32">
        <f>64033*1.0564</f>
        <v>67644.4612</v>
      </c>
      <c r="J21" s="32">
        <f>4100*1.0564</f>
        <v>4331.24</v>
      </c>
      <c r="K21" s="32">
        <f>77236*1.0564</f>
        <v>81592.1104</v>
      </c>
      <c r="L21" s="32">
        <f>1862*1.0564</f>
        <v>1967.0168</v>
      </c>
      <c r="M21" s="32">
        <f>2324*1.0564</f>
        <v>2455.0736</v>
      </c>
      <c r="N21" s="32">
        <f>71492*1.0564</f>
        <v>75524.1488</v>
      </c>
      <c r="O21" s="32">
        <f>2121*1.0564</f>
        <v>2240.6244</v>
      </c>
      <c r="P21" s="57">
        <f>SUM(D21:O21)</f>
        <v>421986.3748</v>
      </c>
      <c r="Q21" s="7" t="s">
        <v>191</v>
      </c>
      <c r="R21" s="117"/>
    </row>
    <row r="22" spans="1:18" s="2" customFormat="1" ht="60">
      <c r="A22" s="23" t="s">
        <v>254</v>
      </c>
      <c r="B22" s="7" t="s">
        <v>110</v>
      </c>
      <c r="C22" s="27" t="s">
        <v>144</v>
      </c>
      <c r="D22" s="56">
        <f>46746*1.2936</f>
        <v>60470.62560000001</v>
      </c>
      <c r="E22" s="56">
        <f>30949*1.2936</f>
        <v>40035.6264</v>
      </c>
      <c r="F22" s="56">
        <f>15314*1.2936</f>
        <v>19810.1904</v>
      </c>
      <c r="G22" s="56">
        <f>8409*1.2936</f>
        <v>10877.8824</v>
      </c>
      <c r="H22" s="56">
        <f>413465*1.2936</f>
        <v>534858.324</v>
      </c>
      <c r="I22" s="56">
        <f>2058737*1.2936</f>
        <v>2663182.1832000003</v>
      </c>
      <c r="J22" s="56">
        <f>576729*1.2936</f>
        <v>746056.6344000001</v>
      </c>
      <c r="K22" s="56">
        <f>1625773*1.2936</f>
        <v>2103099.9528</v>
      </c>
      <c r="L22" s="56">
        <f>209616*1.2936</f>
        <v>271159.2576</v>
      </c>
      <c r="M22" s="56">
        <f>68226*1.2936</f>
        <v>88257.1536</v>
      </c>
      <c r="N22" s="56">
        <f>108352*1.2936</f>
        <v>140164.1472</v>
      </c>
      <c r="O22" s="56">
        <f>103166*1.2936</f>
        <v>133455.5376</v>
      </c>
      <c r="P22" s="57">
        <f>SUM(D22:O22)</f>
        <v>6811427.515200001</v>
      </c>
      <c r="Q22" s="7" t="s">
        <v>192</v>
      </c>
      <c r="R22" s="117"/>
    </row>
    <row r="23" spans="1:18" s="2" customFormat="1" ht="84">
      <c r="A23" s="23" t="s">
        <v>254</v>
      </c>
      <c r="B23" s="7" t="s">
        <v>110</v>
      </c>
      <c r="C23" s="27" t="s">
        <v>49</v>
      </c>
      <c r="D23" s="10" t="s">
        <v>59</v>
      </c>
      <c r="E23" s="10" t="s">
        <v>59</v>
      </c>
      <c r="F23" s="10" t="s">
        <v>59</v>
      </c>
      <c r="G23" s="10" t="s">
        <v>59</v>
      </c>
      <c r="H23" s="10" t="s">
        <v>59</v>
      </c>
      <c r="I23" s="10" t="s">
        <v>59</v>
      </c>
      <c r="J23" s="10" t="s">
        <v>59</v>
      </c>
      <c r="K23" s="10" t="s">
        <v>59</v>
      </c>
      <c r="L23" s="10" t="s">
        <v>59</v>
      </c>
      <c r="M23" s="10" t="s">
        <v>59</v>
      </c>
      <c r="N23" s="10" t="s">
        <v>59</v>
      </c>
      <c r="O23" s="10" t="s">
        <v>59</v>
      </c>
      <c r="P23" s="44" t="s">
        <v>59</v>
      </c>
      <c r="Q23" s="7" t="s">
        <v>200</v>
      </c>
      <c r="R23" s="117"/>
    </row>
    <row r="24" spans="1:18" s="2" customFormat="1" ht="96">
      <c r="A24" s="23" t="s">
        <v>254</v>
      </c>
      <c r="B24" s="7" t="s">
        <v>110</v>
      </c>
      <c r="C24" s="27" t="s">
        <v>50</v>
      </c>
      <c r="D24" s="10" t="s">
        <v>59</v>
      </c>
      <c r="E24" s="10" t="s">
        <v>59</v>
      </c>
      <c r="F24" s="10" t="s">
        <v>59</v>
      </c>
      <c r="G24" s="10" t="s">
        <v>59</v>
      </c>
      <c r="H24" s="10" t="s">
        <v>59</v>
      </c>
      <c r="I24" s="10" t="s">
        <v>59</v>
      </c>
      <c r="J24" s="10" t="s">
        <v>59</v>
      </c>
      <c r="K24" s="10" t="s">
        <v>59</v>
      </c>
      <c r="L24" s="10" t="s">
        <v>59</v>
      </c>
      <c r="M24" s="10" t="s">
        <v>59</v>
      </c>
      <c r="N24" s="10" t="s">
        <v>59</v>
      </c>
      <c r="O24" s="10" t="s">
        <v>59</v>
      </c>
      <c r="P24" s="44" t="s">
        <v>59</v>
      </c>
      <c r="Q24" s="7" t="s">
        <v>199</v>
      </c>
      <c r="R24" s="117"/>
    </row>
    <row r="25" spans="1:18" s="2" customFormat="1" ht="120">
      <c r="A25" s="23" t="s">
        <v>254</v>
      </c>
      <c r="B25" s="7" t="s">
        <v>110</v>
      </c>
      <c r="C25" s="27" t="s">
        <v>51</v>
      </c>
      <c r="D25" s="10" t="s">
        <v>59</v>
      </c>
      <c r="E25" s="10" t="s">
        <v>59</v>
      </c>
      <c r="F25" s="10" t="s">
        <v>59</v>
      </c>
      <c r="G25" s="10" t="s">
        <v>59</v>
      </c>
      <c r="H25" s="10" t="s">
        <v>59</v>
      </c>
      <c r="I25" s="10" t="s">
        <v>59</v>
      </c>
      <c r="J25" s="10" t="s">
        <v>59</v>
      </c>
      <c r="K25" s="10" t="s">
        <v>59</v>
      </c>
      <c r="L25" s="10" t="s">
        <v>59</v>
      </c>
      <c r="M25" s="10" t="s">
        <v>59</v>
      </c>
      <c r="N25" s="10" t="s">
        <v>59</v>
      </c>
      <c r="O25" s="10" t="s">
        <v>59</v>
      </c>
      <c r="P25" s="44" t="s">
        <v>59</v>
      </c>
      <c r="Q25" s="7" t="s">
        <v>197</v>
      </c>
      <c r="R25" s="117"/>
    </row>
    <row r="26" spans="1:18" s="2" customFormat="1" ht="84">
      <c r="A26" s="23" t="s">
        <v>254</v>
      </c>
      <c r="B26" s="7" t="s">
        <v>110</v>
      </c>
      <c r="C26" s="27" t="s">
        <v>75</v>
      </c>
      <c r="D26" s="10" t="s">
        <v>59</v>
      </c>
      <c r="E26" s="10" t="s">
        <v>59</v>
      </c>
      <c r="F26" s="10" t="s">
        <v>59</v>
      </c>
      <c r="G26" s="10" t="s">
        <v>59</v>
      </c>
      <c r="H26" s="10" t="s">
        <v>59</v>
      </c>
      <c r="I26" s="10" t="s">
        <v>59</v>
      </c>
      <c r="J26" s="10" t="s">
        <v>59</v>
      </c>
      <c r="K26" s="10" t="s">
        <v>59</v>
      </c>
      <c r="L26" s="10" t="s">
        <v>59</v>
      </c>
      <c r="M26" s="10" t="s">
        <v>59</v>
      </c>
      <c r="N26" s="10" t="s">
        <v>59</v>
      </c>
      <c r="O26" s="10" t="s">
        <v>59</v>
      </c>
      <c r="P26" s="44" t="s">
        <v>59</v>
      </c>
      <c r="Q26" s="27" t="s">
        <v>198</v>
      </c>
      <c r="R26" s="117"/>
    </row>
    <row r="27" spans="1:18" s="2" customFormat="1" ht="36">
      <c r="A27" s="109" t="s">
        <v>255</v>
      </c>
      <c r="B27" s="110"/>
      <c r="C27" s="111"/>
      <c r="D27" s="113">
        <f aca="true" t="shared" si="0" ref="D27:O27">SUM(D20:D26)</f>
        <v>233248.01479999998</v>
      </c>
      <c r="E27" s="113">
        <f t="shared" si="0"/>
        <v>203207.1704</v>
      </c>
      <c r="F27" s="113">
        <f t="shared" si="0"/>
        <v>113355.4668</v>
      </c>
      <c r="G27" s="113">
        <f t="shared" si="0"/>
        <v>120072.66840000001</v>
      </c>
      <c r="H27" s="113">
        <f t="shared" si="0"/>
        <v>1330331.7496</v>
      </c>
      <c r="I27" s="113">
        <f t="shared" si="0"/>
        <v>4631389.546</v>
      </c>
      <c r="J27" s="113">
        <f t="shared" si="0"/>
        <v>2411424.7528</v>
      </c>
      <c r="K27" s="113">
        <f t="shared" si="0"/>
        <v>6223870.2116</v>
      </c>
      <c r="L27" s="113">
        <f t="shared" si="0"/>
        <v>1566111.2800000003</v>
      </c>
      <c r="M27" s="113">
        <f t="shared" si="0"/>
        <v>294294.2404</v>
      </c>
      <c r="N27" s="113">
        <f t="shared" si="0"/>
        <v>329839.7108</v>
      </c>
      <c r="O27" s="113">
        <f t="shared" si="0"/>
        <v>1118806.2992</v>
      </c>
      <c r="P27" s="114">
        <f>SUM(D27:O27)</f>
        <v>18575951.110799998</v>
      </c>
      <c r="Q27" s="111" t="s">
        <v>277</v>
      </c>
      <c r="R27" s="99"/>
    </row>
    <row r="28" spans="1:18" s="2" customFormat="1" ht="48">
      <c r="A28" s="21" t="s">
        <v>256</v>
      </c>
      <c r="B28" s="5" t="s">
        <v>30</v>
      </c>
      <c r="C28" s="5" t="s">
        <v>99</v>
      </c>
      <c r="D28" s="8" t="s">
        <v>59</v>
      </c>
      <c r="E28" s="8" t="s">
        <v>59</v>
      </c>
      <c r="F28" s="8" t="s">
        <v>59</v>
      </c>
      <c r="G28" s="8" t="s">
        <v>59</v>
      </c>
      <c r="H28" s="8" t="s">
        <v>59</v>
      </c>
      <c r="I28" s="8" t="s">
        <v>59</v>
      </c>
      <c r="J28" s="8" t="s">
        <v>59</v>
      </c>
      <c r="K28" s="8" t="s">
        <v>59</v>
      </c>
      <c r="L28" s="8" t="s">
        <v>59</v>
      </c>
      <c r="M28" s="8" t="s">
        <v>59</v>
      </c>
      <c r="N28" s="8" t="s">
        <v>59</v>
      </c>
      <c r="O28" s="8" t="s">
        <v>59</v>
      </c>
      <c r="P28" s="46" t="s">
        <v>59</v>
      </c>
      <c r="Q28" s="7" t="s">
        <v>358</v>
      </c>
      <c r="R28" s="99"/>
    </row>
    <row r="29" spans="1:18" s="11" customFormat="1" ht="36" customHeight="1">
      <c r="A29" s="23" t="s">
        <v>257</v>
      </c>
      <c r="B29" s="7" t="s">
        <v>111</v>
      </c>
      <c r="C29" s="34" t="s">
        <v>61</v>
      </c>
      <c r="D29" s="32">
        <f>9*1.0564</f>
        <v>9.5076</v>
      </c>
      <c r="E29" s="32">
        <f>13*1.0564</f>
        <v>13.7332</v>
      </c>
      <c r="F29" s="32">
        <f>17*1.0564</f>
        <v>17.9588</v>
      </c>
      <c r="G29" s="32">
        <f>13*1.0564</f>
        <v>13.7332</v>
      </c>
      <c r="H29" s="32">
        <f>2*1.0564</f>
        <v>2.1128</v>
      </c>
      <c r="I29" s="32">
        <f>11*1.0564</f>
        <v>11.6204</v>
      </c>
      <c r="J29" s="32">
        <f>9*1.0564</f>
        <v>9.5076</v>
      </c>
      <c r="K29" s="32">
        <f>11*1.0564</f>
        <v>11.6204</v>
      </c>
      <c r="L29" s="32">
        <f>20*1.0564</f>
        <v>21.128</v>
      </c>
      <c r="M29" s="32">
        <f>17*1.0564</f>
        <v>17.9588</v>
      </c>
      <c r="N29" s="32">
        <f>20*1.0564</f>
        <v>21.128</v>
      </c>
      <c r="O29" s="32">
        <f>110*1.0564</f>
        <v>116.20400000000001</v>
      </c>
      <c r="P29" s="45">
        <f>SUM(D29:O29)</f>
        <v>266.2128</v>
      </c>
      <c r="Q29" s="7" t="s">
        <v>168</v>
      </c>
      <c r="R29" s="101"/>
    </row>
    <row r="30" spans="1:18" s="2" customFormat="1" ht="60" customHeight="1">
      <c r="A30" s="4" t="s">
        <v>23</v>
      </c>
      <c r="B30" s="5" t="s">
        <v>19</v>
      </c>
      <c r="C30" s="26" t="s">
        <v>52</v>
      </c>
      <c r="D30" s="46">
        <f aca="true" t="shared" si="1" ref="D30:O30">D27</f>
        <v>233248.01479999998</v>
      </c>
      <c r="E30" s="46">
        <f t="shared" si="1"/>
        <v>203207.1704</v>
      </c>
      <c r="F30" s="46">
        <f t="shared" si="1"/>
        <v>113355.4668</v>
      </c>
      <c r="G30" s="46">
        <f t="shared" si="1"/>
        <v>120072.66840000001</v>
      </c>
      <c r="H30" s="46">
        <f t="shared" si="1"/>
        <v>1330331.7496</v>
      </c>
      <c r="I30" s="46">
        <f t="shared" si="1"/>
        <v>4631389.546</v>
      </c>
      <c r="J30" s="46">
        <f t="shared" si="1"/>
        <v>2411424.7528</v>
      </c>
      <c r="K30" s="46">
        <f t="shared" si="1"/>
        <v>6223870.2116</v>
      </c>
      <c r="L30" s="46">
        <f t="shared" si="1"/>
        <v>1566111.2800000003</v>
      </c>
      <c r="M30" s="46">
        <f t="shared" si="1"/>
        <v>294294.2404</v>
      </c>
      <c r="N30" s="46">
        <f t="shared" si="1"/>
        <v>329839.7108</v>
      </c>
      <c r="O30" s="46">
        <f t="shared" si="1"/>
        <v>1118806.2992</v>
      </c>
      <c r="P30" s="45">
        <f>SUM(D30:O30)</f>
        <v>18575951.110799998</v>
      </c>
      <c r="Q30" s="7"/>
      <c r="R30" s="99"/>
    </row>
    <row r="31" spans="1:18" s="3" customFormat="1" ht="12">
      <c r="A31" s="208" t="s">
        <v>258</v>
      </c>
      <c r="B31" s="209"/>
      <c r="C31" s="209"/>
      <c r="D31" s="209"/>
      <c r="E31" s="209"/>
      <c r="F31" s="209"/>
      <c r="G31" s="209"/>
      <c r="H31" s="209"/>
      <c r="I31" s="209"/>
      <c r="J31" s="209"/>
      <c r="K31" s="209"/>
      <c r="L31" s="209"/>
      <c r="M31" s="209"/>
      <c r="N31" s="209"/>
      <c r="O31" s="209"/>
      <c r="P31" s="209"/>
      <c r="Q31" s="210"/>
      <c r="R31" s="100"/>
    </row>
    <row r="32" spans="1:18" s="59" customFormat="1" ht="48">
      <c r="A32" s="32" t="s">
        <v>24</v>
      </c>
      <c r="B32" s="27" t="s">
        <v>112</v>
      </c>
      <c r="C32" s="27" t="s">
        <v>53</v>
      </c>
      <c r="D32" s="32">
        <f>SUM(D20:D26)</f>
        <v>233248.01479999998</v>
      </c>
      <c r="E32" s="32">
        <f aca="true" t="shared" si="2" ref="E32:O32">SUM(E20:E26)</f>
        <v>203207.1704</v>
      </c>
      <c r="F32" s="32">
        <f t="shared" si="2"/>
        <v>113355.4668</v>
      </c>
      <c r="G32" s="32">
        <f t="shared" si="2"/>
        <v>120072.66840000001</v>
      </c>
      <c r="H32" s="32">
        <f t="shared" si="2"/>
        <v>1330331.7496</v>
      </c>
      <c r="I32" s="32">
        <f t="shared" si="2"/>
        <v>4631389.546</v>
      </c>
      <c r="J32" s="32">
        <f t="shared" si="2"/>
        <v>2411424.7528</v>
      </c>
      <c r="K32" s="32">
        <f t="shared" si="2"/>
        <v>6223870.2116</v>
      </c>
      <c r="L32" s="32">
        <f t="shared" si="2"/>
        <v>1566111.2800000003</v>
      </c>
      <c r="M32" s="32">
        <f t="shared" si="2"/>
        <v>294294.2404</v>
      </c>
      <c r="N32" s="32">
        <f t="shared" si="2"/>
        <v>329839.7108</v>
      </c>
      <c r="O32" s="32">
        <f t="shared" si="2"/>
        <v>1118806.2992</v>
      </c>
      <c r="P32" s="45">
        <f>SUM(D32:O32)</f>
        <v>18575951.110799998</v>
      </c>
      <c r="Q32" s="27" t="s">
        <v>288</v>
      </c>
      <c r="R32" s="104"/>
    </row>
    <row r="33" spans="1:18" s="59" customFormat="1" ht="36">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c r="R33" s="102"/>
    </row>
    <row r="34" spans="1:18" s="2" customFormat="1" ht="13.5" customHeight="1">
      <c r="A34" s="4" t="s">
        <v>115</v>
      </c>
      <c r="B34" s="5" t="s">
        <v>20</v>
      </c>
      <c r="C34" s="40"/>
      <c r="D34" s="41"/>
      <c r="E34" s="41"/>
      <c r="F34" s="41"/>
      <c r="G34" s="41"/>
      <c r="H34" s="41"/>
      <c r="I34" s="41"/>
      <c r="J34" s="41"/>
      <c r="K34" s="41"/>
      <c r="L34" s="41"/>
      <c r="M34" s="41"/>
      <c r="N34" s="41"/>
      <c r="O34" s="41"/>
      <c r="P34" s="50"/>
      <c r="Q34" s="40"/>
      <c r="R34" s="99"/>
    </row>
    <row r="35" spans="1:18" s="2" customFormat="1" ht="36">
      <c r="A35" s="22" t="s">
        <v>259</v>
      </c>
      <c r="B35" s="5" t="s">
        <v>66</v>
      </c>
      <c r="C35" s="27" t="s">
        <v>150</v>
      </c>
      <c r="D35" s="98">
        <f>899*1.0564</f>
        <v>949.7036</v>
      </c>
      <c r="E35" s="45">
        <f>679*1.0564</f>
        <v>717.2956</v>
      </c>
      <c r="F35" s="45">
        <f>565*1.0564</f>
        <v>596.866</v>
      </c>
      <c r="G35" s="45">
        <f>609*1.0564</f>
        <v>643.3476</v>
      </c>
      <c r="H35" s="45">
        <f>767*1.0564</f>
        <v>810.2588</v>
      </c>
      <c r="I35" s="45">
        <f>737*1.0564</f>
        <v>778.5668000000001</v>
      </c>
      <c r="J35" s="45">
        <f>952*1.0564</f>
        <v>1005.6928</v>
      </c>
      <c r="K35" s="45">
        <f>861*1.0564</f>
        <v>909.5604</v>
      </c>
      <c r="L35" s="45">
        <f>751*1.0564</f>
        <v>793.3564</v>
      </c>
      <c r="M35" s="45">
        <f>673*1.0564</f>
        <v>710.9572000000001</v>
      </c>
      <c r="N35" s="45">
        <f>755*1.0564</f>
        <v>797.582</v>
      </c>
      <c r="O35" s="45">
        <f>539*1.0564</f>
        <v>569.3996</v>
      </c>
      <c r="P35" s="45">
        <f>SUM(D35:O35)</f>
        <v>9282.586800000001</v>
      </c>
      <c r="Q35" s="67" t="s">
        <v>73</v>
      </c>
      <c r="R35" s="99"/>
    </row>
    <row r="36" spans="1:18" s="2" customFormat="1" ht="36">
      <c r="A36" s="22" t="s">
        <v>259</v>
      </c>
      <c r="B36" s="5" t="s">
        <v>66</v>
      </c>
      <c r="C36" s="27" t="s">
        <v>181</v>
      </c>
      <c r="D36" s="39">
        <f>30981*1.0564</f>
        <v>32728.3284</v>
      </c>
      <c r="E36" s="39">
        <f>60719*1.0564</f>
        <v>64143.5516</v>
      </c>
      <c r="F36" s="39">
        <f>70631*1.0564</f>
        <v>74614.5884</v>
      </c>
      <c r="G36" s="39">
        <f>29446*1.0564</f>
        <v>31106.7544</v>
      </c>
      <c r="H36" s="39">
        <f>33606*1.0564</f>
        <v>35501.3784</v>
      </c>
      <c r="I36" s="39">
        <f>83778*1.0564</f>
        <v>88503.07920000001</v>
      </c>
      <c r="J36" s="39">
        <f>78210*1.0564</f>
        <v>82621.044</v>
      </c>
      <c r="K36" s="39">
        <f>139942*1.0564</f>
        <v>147834.7288</v>
      </c>
      <c r="L36" s="39">
        <f>105240*1.0564</f>
        <v>111175.53600000001</v>
      </c>
      <c r="M36" s="39">
        <f>57220*1.0564</f>
        <v>60447.208</v>
      </c>
      <c r="N36" s="39">
        <f>34523*1.0564</f>
        <v>36470.097200000004</v>
      </c>
      <c r="O36" s="39">
        <f>37064*1.0564</f>
        <v>39154.4096</v>
      </c>
      <c r="P36" s="51">
        <f>SUM(D36:O36)</f>
        <v>804300.704</v>
      </c>
      <c r="Q36" s="35" t="s">
        <v>211</v>
      </c>
      <c r="R36" s="99"/>
    </row>
    <row r="37" spans="1:18" s="2" customFormat="1" ht="36">
      <c r="A37" s="22" t="s">
        <v>259</v>
      </c>
      <c r="B37" s="5" t="s">
        <v>66</v>
      </c>
      <c r="C37" s="5" t="s">
        <v>182</v>
      </c>
      <c r="D37" s="56">
        <f>758*1.2936</f>
        <v>980.5488</v>
      </c>
      <c r="E37" s="52">
        <f>4156*1.2936</f>
        <v>5376.2016</v>
      </c>
      <c r="F37" s="52">
        <f>6454*1.2936</f>
        <v>8348.894400000001</v>
      </c>
      <c r="G37" s="52">
        <f>571*1.2936</f>
        <v>738.6456000000001</v>
      </c>
      <c r="H37" s="52">
        <f>152*1.2936</f>
        <v>196.62720000000002</v>
      </c>
      <c r="I37" s="52">
        <f>112*1.2936</f>
        <v>144.88320000000002</v>
      </c>
      <c r="J37" s="52">
        <f>586*1.2936</f>
        <v>758.0496</v>
      </c>
      <c r="K37" s="52">
        <f>164*1.2936</f>
        <v>212.15040000000002</v>
      </c>
      <c r="L37" s="52">
        <f>5*1.2936</f>
        <v>6.468</v>
      </c>
      <c r="M37" s="52">
        <f>223*1.2936</f>
        <v>288.4728</v>
      </c>
      <c r="N37" s="52">
        <f>392*1.2936</f>
        <v>507.0912</v>
      </c>
      <c r="O37" s="52">
        <f>231*1.2936</f>
        <v>298.82160000000005</v>
      </c>
      <c r="P37" s="51">
        <f>SUM(D37:O37)</f>
        <v>17856.8544</v>
      </c>
      <c r="Q37" s="5" t="s">
        <v>60</v>
      </c>
      <c r="R37" s="99"/>
    </row>
    <row r="38" spans="1:18" s="2" customFormat="1" ht="36">
      <c r="A38" s="22" t="s">
        <v>259</v>
      </c>
      <c r="B38" s="5" t="s">
        <v>66</v>
      </c>
      <c r="C38" s="5" t="s">
        <v>183</v>
      </c>
      <c r="D38" s="33">
        <f>3297*1.0564</f>
        <v>3482.9508</v>
      </c>
      <c r="E38" s="30">
        <f>6207*1.0564</f>
        <v>6557.0748</v>
      </c>
      <c r="F38" s="30">
        <f>1011*1.0564</f>
        <v>1068.0204</v>
      </c>
      <c r="G38" s="30">
        <f>495*1.0564</f>
        <v>522.918</v>
      </c>
      <c r="H38" s="30">
        <f>3088*1.0564</f>
        <v>3262.1632</v>
      </c>
      <c r="I38" s="30">
        <f>4297*1.0564</f>
        <v>4539.3508</v>
      </c>
      <c r="J38" s="30">
        <f>1597*1.0564</f>
        <v>1687.0708</v>
      </c>
      <c r="K38" s="30">
        <f>2135*1.0564</f>
        <v>2255.414</v>
      </c>
      <c r="L38" s="30">
        <f>341*1.0564</f>
        <v>360.2324</v>
      </c>
      <c r="M38" s="30">
        <f>283*1.0564</f>
        <v>298.9612</v>
      </c>
      <c r="N38" s="30">
        <f>192*1.0564</f>
        <v>202.8288</v>
      </c>
      <c r="O38" s="36">
        <f>248*1.0564</f>
        <v>261.98720000000003</v>
      </c>
      <c r="P38" s="51">
        <f>SUM(D38:O38)</f>
        <v>24498.972400000002</v>
      </c>
      <c r="Q38" s="5" t="s">
        <v>83</v>
      </c>
      <c r="R38" s="99"/>
    </row>
    <row r="39" spans="1:18" s="2" customFormat="1" ht="36">
      <c r="A39" s="22" t="s">
        <v>259</v>
      </c>
      <c r="B39" s="5" t="s">
        <v>66</v>
      </c>
      <c r="C39" s="26" t="s">
        <v>184</v>
      </c>
      <c r="D39" s="91" t="s">
        <v>59</v>
      </c>
      <c r="E39" s="37" t="s">
        <v>59</v>
      </c>
      <c r="F39" s="37" t="s">
        <v>59</v>
      </c>
      <c r="G39" s="37" t="s">
        <v>59</v>
      </c>
      <c r="H39" s="37" t="s">
        <v>59</v>
      </c>
      <c r="I39" s="37" t="s">
        <v>59</v>
      </c>
      <c r="J39" s="37" t="s">
        <v>59</v>
      </c>
      <c r="K39" s="37" t="s">
        <v>59</v>
      </c>
      <c r="L39" s="37" t="s">
        <v>59</v>
      </c>
      <c r="M39" s="37" t="s">
        <v>59</v>
      </c>
      <c r="N39" s="37" t="s">
        <v>59</v>
      </c>
      <c r="O39" s="37" t="s">
        <v>59</v>
      </c>
      <c r="P39" s="46" t="s">
        <v>59</v>
      </c>
      <c r="Q39" s="5" t="s">
        <v>86</v>
      </c>
      <c r="R39" s="99"/>
    </row>
    <row r="40" spans="1:18" s="2" customFormat="1" ht="36">
      <c r="A40" s="22" t="s">
        <v>259</v>
      </c>
      <c r="B40" s="5" t="s">
        <v>66</v>
      </c>
      <c r="C40" s="26" t="s">
        <v>185</v>
      </c>
      <c r="D40" s="45">
        <f>2509*1.0564</f>
        <v>2650.5076</v>
      </c>
      <c r="E40" s="43">
        <f>1615*1.0564</f>
        <v>1706.086</v>
      </c>
      <c r="F40" s="43">
        <f>1613*1.0564</f>
        <v>1703.9732</v>
      </c>
      <c r="G40" s="43">
        <f>1748*1.0564</f>
        <v>1846.5872</v>
      </c>
      <c r="H40" s="43">
        <f>1723*1.0564</f>
        <v>1820.1772</v>
      </c>
      <c r="I40" s="43">
        <f>1493*1.0564</f>
        <v>1577.2052</v>
      </c>
      <c r="J40" s="43">
        <f>1735*1.0564</f>
        <v>1832.854</v>
      </c>
      <c r="K40" s="43">
        <f>2338*1.0564</f>
        <v>2469.8632000000002</v>
      </c>
      <c r="L40" s="43">
        <f>1785*1.0564</f>
        <v>1885.674</v>
      </c>
      <c r="M40" s="43">
        <f>2256*1.0564</f>
        <v>2383.2384</v>
      </c>
      <c r="N40" s="43">
        <f>1849*1.0564</f>
        <v>1953.2836</v>
      </c>
      <c r="O40" s="43">
        <f>2278*1.0564</f>
        <v>2406.4792</v>
      </c>
      <c r="P40" s="45">
        <f aca="true" t="shared" si="3" ref="P40:P49">SUM(D40:O40)</f>
        <v>24235.928799999998</v>
      </c>
      <c r="Q40" s="5" t="s">
        <v>106</v>
      </c>
      <c r="R40" s="99"/>
    </row>
    <row r="41" spans="1:18" s="2" customFormat="1" ht="39" customHeight="1">
      <c r="A41" s="22" t="s">
        <v>259</v>
      </c>
      <c r="B41" s="5" t="s">
        <v>66</v>
      </c>
      <c r="C41" s="26" t="s">
        <v>186</v>
      </c>
      <c r="D41" s="45">
        <f>29*1.0564</f>
        <v>30.6356</v>
      </c>
      <c r="E41" s="43">
        <f>19*1.0564</f>
        <v>20.0716</v>
      </c>
      <c r="F41" s="43">
        <f>18*1.0564</f>
        <v>19.0152</v>
      </c>
      <c r="G41" s="43">
        <f>25*1.0564</f>
        <v>26.41</v>
      </c>
      <c r="H41" s="43">
        <f>13*1.0564</f>
        <v>13.7332</v>
      </c>
      <c r="I41" s="43">
        <f>52*1.0564</f>
        <v>54.9328</v>
      </c>
      <c r="J41" s="43">
        <f>100*1.0564</f>
        <v>105.64</v>
      </c>
      <c r="K41" s="43">
        <f>109*1.0564</f>
        <v>115.1476</v>
      </c>
      <c r="L41" s="43">
        <f>109*1.0564</f>
        <v>115.1476</v>
      </c>
      <c r="M41" s="43">
        <f>87*1.0564</f>
        <v>91.9068</v>
      </c>
      <c r="N41" s="43">
        <f>31*1.0564</f>
        <v>32.748400000000004</v>
      </c>
      <c r="O41" s="43">
        <f>51*1.0564</f>
        <v>53.876400000000004</v>
      </c>
      <c r="P41" s="43">
        <f t="shared" si="3"/>
        <v>679.2651999999999</v>
      </c>
      <c r="Q41" s="5" t="s">
        <v>97</v>
      </c>
      <c r="R41" s="99"/>
    </row>
    <row r="42" spans="1:18" s="11" customFormat="1" ht="63.75" customHeight="1">
      <c r="A42" s="22" t="s">
        <v>259</v>
      </c>
      <c r="B42" s="7" t="s">
        <v>66</v>
      </c>
      <c r="C42" s="27" t="s">
        <v>187</v>
      </c>
      <c r="D42" s="144" t="s">
        <v>174</v>
      </c>
      <c r="E42" s="107" t="s">
        <v>174</v>
      </c>
      <c r="F42" s="107" t="s">
        <v>174</v>
      </c>
      <c r="G42" s="107" t="s">
        <v>174</v>
      </c>
      <c r="H42" s="107" t="s">
        <v>174</v>
      </c>
      <c r="I42" s="107" t="s">
        <v>174</v>
      </c>
      <c r="J42" s="107" t="s">
        <v>174</v>
      </c>
      <c r="K42" s="107" t="s">
        <v>174</v>
      </c>
      <c r="L42" s="107" t="s">
        <v>174</v>
      </c>
      <c r="M42" s="107" t="s">
        <v>174</v>
      </c>
      <c r="N42" s="107" t="s">
        <v>174</v>
      </c>
      <c r="O42" s="107" t="s">
        <v>174</v>
      </c>
      <c r="P42" s="107" t="s">
        <v>174</v>
      </c>
      <c r="Q42" s="7" t="s">
        <v>290</v>
      </c>
      <c r="R42" s="101"/>
    </row>
    <row r="43" spans="1:18" s="2" customFormat="1" ht="84">
      <c r="A43" s="109" t="s">
        <v>260</v>
      </c>
      <c r="B43" s="110"/>
      <c r="C43" s="111"/>
      <c r="D43" s="113">
        <f>SUM(D35:D42)</f>
        <v>40822.67479999999</v>
      </c>
      <c r="E43" s="113">
        <f aca="true" t="shared" si="4" ref="E43:O43">SUM(E35:E42)</f>
        <v>78520.28119999998</v>
      </c>
      <c r="F43" s="113">
        <f t="shared" si="4"/>
        <v>86351.35759999997</v>
      </c>
      <c r="G43" s="113">
        <f t="shared" si="4"/>
        <v>34884.662800000006</v>
      </c>
      <c r="H43" s="113">
        <f t="shared" si="4"/>
        <v>41604.33800000001</v>
      </c>
      <c r="I43" s="113">
        <f t="shared" si="4"/>
        <v>95598.018</v>
      </c>
      <c r="J43" s="113">
        <f t="shared" si="4"/>
        <v>88010.3512</v>
      </c>
      <c r="K43" s="113">
        <f t="shared" si="4"/>
        <v>153796.8644</v>
      </c>
      <c r="L43" s="113">
        <f t="shared" si="4"/>
        <v>114336.4144</v>
      </c>
      <c r="M43" s="113">
        <f t="shared" si="4"/>
        <v>64220.744399999996</v>
      </c>
      <c r="N43" s="113">
        <f t="shared" si="4"/>
        <v>39963.63120000001</v>
      </c>
      <c r="O43" s="113">
        <f t="shared" si="4"/>
        <v>42744.973600000005</v>
      </c>
      <c r="P43" s="114">
        <f>SUM(D43:O43)</f>
        <v>880854.3115999999</v>
      </c>
      <c r="Q43" s="111" t="s">
        <v>322</v>
      </c>
      <c r="R43" s="99"/>
    </row>
    <row r="44" spans="1:18" s="2" customFormat="1" ht="36">
      <c r="A44" s="22" t="s">
        <v>259</v>
      </c>
      <c r="B44" s="7" t="s">
        <v>66</v>
      </c>
      <c r="C44" s="27" t="s">
        <v>244</v>
      </c>
      <c r="D44" s="45">
        <f>2155*1.0564</f>
        <v>2276.542</v>
      </c>
      <c r="E44" s="45">
        <f>1422*1.0564</f>
        <v>1502.2008</v>
      </c>
      <c r="F44" s="45">
        <f>1253*1.0564</f>
        <v>1323.6692</v>
      </c>
      <c r="G44" s="45">
        <f>1935*1.0564</f>
        <v>2044.134</v>
      </c>
      <c r="H44" s="45">
        <f>1533*1.0564</f>
        <v>1619.4612</v>
      </c>
      <c r="I44" s="45">
        <f>1906*1.0564</f>
        <v>2013.4984</v>
      </c>
      <c r="J44" s="45">
        <f>1800*1.0564</f>
        <v>1901.52</v>
      </c>
      <c r="K44" s="45">
        <f>3797*1.0564</f>
        <v>4011.1508</v>
      </c>
      <c r="L44" s="45">
        <f>2446*1.0564</f>
        <v>2583.9544</v>
      </c>
      <c r="M44" s="45">
        <f>2158*1.0564</f>
        <v>2279.7112</v>
      </c>
      <c r="N44" s="45">
        <f>2952*1.0564</f>
        <v>3118.4928</v>
      </c>
      <c r="O44" s="45">
        <f>1564*1.0564</f>
        <v>1652.2096</v>
      </c>
      <c r="P44" s="45">
        <f t="shared" si="3"/>
        <v>26326.5444</v>
      </c>
      <c r="Q44" s="27" t="s">
        <v>243</v>
      </c>
      <c r="R44" s="99"/>
    </row>
    <row r="45" spans="1:18" s="59" customFormat="1" ht="83.25" customHeight="1">
      <c r="A45" s="105" t="s">
        <v>261</v>
      </c>
      <c r="B45" s="27" t="s">
        <v>32</v>
      </c>
      <c r="C45" s="27" t="s">
        <v>67</v>
      </c>
      <c r="D45" s="45">
        <f aca="true" t="shared" si="5" ref="D45:O45">SUM(D36:D42)</f>
        <v>39872.97119999999</v>
      </c>
      <c r="E45" s="45">
        <f t="shared" si="5"/>
        <v>77802.9856</v>
      </c>
      <c r="F45" s="45">
        <f t="shared" si="5"/>
        <v>85754.49159999998</v>
      </c>
      <c r="G45" s="45">
        <f t="shared" si="5"/>
        <v>34241.315200000005</v>
      </c>
      <c r="H45" s="45">
        <f t="shared" si="5"/>
        <v>40794.07920000001</v>
      </c>
      <c r="I45" s="45">
        <f t="shared" si="5"/>
        <v>94819.4512</v>
      </c>
      <c r="J45" s="45">
        <f t="shared" si="5"/>
        <v>87004.6584</v>
      </c>
      <c r="K45" s="45">
        <f t="shared" si="5"/>
        <v>152887.304</v>
      </c>
      <c r="L45" s="45">
        <f t="shared" si="5"/>
        <v>113543.05799999999</v>
      </c>
      <c r="M45" s="45">
        <f t="shared" si="5"/>
        <v>63509.7872</v>
      </c>
      <c r="N45" s="45">
        <f t="shared" si="5"/>
        <v>39166.04920000001</v>
      </c>
      <c r="O45" s="45">
        <f t="shared" si="5"/>
        <v>42175.57400000001</v>
      </c>
      <c r="P45" s="45">
        <f t="shared" si="3"/>
        <v>871571.7248000001</v>
      </c>
      <c r="Q45" s="27" t="s">
        <v>90</v>
      </c>
      <c r="R45" s="104"/>
    </row>
    <row r="46" spans="1:18" s="59" customFormat="1" ht="76.5" customHeight="1">
      <c r="A46" s="105" t="s">
        <v>261</v>
      </c>
      <c r="B46" s="27" t="s">
        <v>32</v>
      </c>
      <c r="C46" s="27" t="s">
        <v>68</v>
      </c>
      <c r="D46" s="45">
        <f>D35</f>
        <v>949.7036</v>
      </c>
      <c r="E46" s="45">
        <f aca="true" t="shared" si="6" ref="E46:O46">E35</f>
        <v>717.2956</v>
      </c>
      <c r="F46" s="45">
        <f t="shared" si="6"/>
        <v>596.866</v>
      </c>
      <c r="G46" s="45">
        <f t="shared" si="6"/>
        <v>643.3476</v>
      </c>
      <c r="H46" s="45">
        <f t="shared" si="6"/>
        <v>810.2588</v>
      </c>
      <c r="I46" s="45">
        <f t="shared" si="6"/>
        <v>778.5668000000001</v>
      </c>
      <c r="J46" s="45">
        <f t="shared" si="6"/>
        <v>1005.6928</v>
      </c>
      <c r="K46" s="45">
        <f t="shared" si="6"/>
        <v>909.5604</v>
      </c>
      <c r="L46" s="45">
        <f t="shared" si="6"/>
        <v>793.3564</v>
      </c>
      <c r="M46" s="45">
        <f t="shared" si="6"/>
        <v>710.9572000000001</v>
      </c>
      <c r="N46" s="45">
        <f t="shared" si="6"/>
        <v>797.582</v>
      </c>
      <c r="O46" s="45">
        <f t="shared" si="6"/>
        <v>569.3996</v>
      </c>
      <c r="P46" s="45">
        <f t="shared" si="3"/>
        <v>9282.586800000001</v>
      </c>
      <c r="Q46" s="27" t="s">
        <v>94</v>
      </c>
      <c r="R46" s="104"/>
    </row>
    <row r="47" spans="1:18" s="2" customFormat="1" ht="36">
      <c r="A47" s="109" t="s">
        <v>262</v>
      </c>
      <c r="B47" s="110"/>
      <c r="C47" s="111"/>
      <c r="D47" s="113">
        <f>SUM(D45:D46)</f>
        <v>40822.67479999999</v>
      </c>
      <c r="E47" s="113">
        <f aca="true" t="shared" si="7" ref="E47:O47">SUM(E45:E46)</f>
        <v>78520.2812</v>
      </c>
      <c r="F47" s="113">
        <f t="shared" si="7"/>
        <v>86351.35759999997</v>
      </c>
      <c r="G47" s="113">
        <f t="shared" si="7"/>
        <v>34884.662800000006</v>
      </c>
      <c r="H47" s="113">
        <f t="shared" si="7"/>
        <v>41604.33800000001</v>
      </c>
      <c r="I47" s="113">
        <f t="shared" si="7"/>
        <v>95598.018</v>
      </c>
      <c r="J47" s="113">
        <f t="shared" si="7"/>
        <v>88010.3512</v>
      </c>
      <c r="K47" s="113">
        <f t="shared" si="7"/>
        <v>153796.8644</v>
      </c>
      <c r="L47" s="113">
        <f t="shared" si="7"/>
        <v>114336.4144</v>
      </c>
      <c r="M47" s="113">
        <f t="shared" si="7"/>
        <v>64220.744399999996</v>
      </c>
      <c r="N47" s="113">
        <f t="shared" si="7"/>
        <v>39963.63120000001</v>
      </c>
      <c r="O47" s="113">
        <f t="shared" si="7"/>
        <v>42744.973600000005</v>
      </c>
      <c r="P47" s="114">
        <f>SUM(D47:O47)</f>
        <v>880854.3116</v>
      </c>
      <c r="Q47" s="111" t="s">
        <v>280</v>
      </c>
      <c r="R47" s="99"/>
    </row>
    <row r="48" spans="1:18" s="2" customFormat="1" ht="102" customHeight="1">
      <c r="A48" s="6" t="s">
        <v>263</v>
      </c>
      <c r="B48" s="7" t="s">
        <v>126</v>
      </c>
      <c r="C48" s="27" t="s">
        <v>206</v>
      </c>
      <c r="D48" s="32">
        <f>(52585-27770)*1.0564</f>
        <v>26214.566</v>
      </c>
      <c r="E48" s="32">
        <f>(19380-8123)*1.0564</f>
        <v>11891.8948</v>
      </c>
      <c r="F48" s="32">
        <f>(31782-29810)*1.0564</f>
        <v>2083.2208</v>
      </c>
      <c r="G48" s="32">
        <f>(22585-2235)*1.0564</f>
        <v>21497.74</v>
      </c>
      <c r="H48" s="32">
        <f>(27630-4844)*1.0564</f>
        <v>24071.130400000002</v>
      </c>
      <c r="I48" s="32">
        <f>(229754-55441)*1.0564</f>
        <v>184144.2532</v>
      </c>
      <c r="J48" s="32">
        <f>(288619-54577)*1.0564</f>
        <v>247241.9688</v>
      </c>
      <c r="K48" s="32">
        <f>(359838-124704)*1.0564</f>
        <v>248395.5576</v>
      </c>
      <c r="L48" s="32">
        <f>(245769-82900)*1.0564</f>
        <v>172054.81160000002</v>
      </c>
      <c r="M48" s="32">
        <f>(141004-29974)*1.0564</f>
        <v>117292.092</v>
      </c>
      <c r="N48" s="32">
        <f>(72699-17493)*1.0564</f>
        <v>58319.6184</v>
      </c>
      <c r="O48" s="32">
        <f>(66576-30115)*1.0564</f>
        <v>38517.4004</v>
      </c>
      <c r="P48" s="57">
        <f t="shared" si="3"/>
        <v>1151724.254</v>
      </c>
      <c r="Q48" s="35" t="s">
        <v>209</v>
      </c>
      <c r="R48" s="117"/>
    </row>
    <row r="49" spans="1:18" s="2" customFormat="1" ht="36">
      <c r="A49" s="6" t="s">
        <v>263</v>
      </c>
      <c r="B49" s="7" t="s">
        <v>126</v>
      </c>
      <c r="C49" s="27" t="s">
        <v>207</v>
      </c>
      <c r="D49" s="56">
        <f>3180*1.2936</f>
        <v>4113.648</v>
      </c>
      <c r="E49" s="56">
        <f>1209*1.2936</f>
        <v>1563.9624000000001</v>
      </c>
      <c r="F49" s="56">
        <f>3360*1.2936</f>
        <v>4346.496</v>
      </c>
      <c r="G49" s="56">
        <f>1863*1.2936</f>
        <v>2409.9768000000004</v>
      </c>
      <c r="H49" s="56">
        <f>574*1.2936</f>
        <v>742.5264000000001</v>
      </c>
      <c r="I49" s="56">
        <f>1720*1.2936</f>
        <v>2224.992</v>
      </c>
      <c r="J49" s="56">
        <f>3215*1.2936</f>
        <v>4158.924</v>
      </c>
      <c r="K49" s="56">
        <f>1239*1.2936</f>
        <v>1602.7704</v>
      </c>
      <c r="L49" s="56">
        <f>4836*1.2936</f>
        <v>6255.8496000000005</v>
      </c>
      <c r="M49" s="56">
        <f>933*1.2936</f>
        <v>1206.9288000000001</v>
      </c>
      <c r="N49" s="56">
        <f>1993*1.2936</f>
        <v>2578.1448</v>
      </c>
      <c r="O49" s="56">
        <f>1973*1.2936</f>
        <v>2552.2728</v>
      </c>
      <c r="P49" s="57">
        <f t="shared" si="3"/>
        <v>33756.492000000006</v>
      </c>
      <c r="Q49" s="7" t="s">
        <v>58</v>
      </c>
      <c r="R49" s="117"/>
    </row>
    <row r="50" spans="1:18" s="2" customFormat="1" ht="36">
      <c r="A50" s="6" t="s">
        <v>263</v>
      </c>
      <c r="B50" s="7" t="s">
        <v>126</v>
      </c>
      <c r="C50" s="27" t="s">
        <v>208</v>
      </c>
      <c r="D50" s="10" t="s">
        <v>59</v>
      </c>
      <c r="E50" s="10" t="s">
        <v>59</v>
      </c>
      <c r="F50" s="10" t="s">
        <v>59</v>
      </c>
      <c r="G50" s="10" t="s">
        <v>59</v>
      </c>
      <c r="H50" s="10" t="s">
        <v>59</v>
      </c>
      <c r="I50" s="10" t="s">
        <v>59</v>
      </c>
      <c r="J50" s="10" t="s">
        <v>59</v>
      </c>
      <c r="K50" s="10" t="s">
        <v>59</v>
      </c>
      <c r="L50" s="10" t="s">
        <v>59</v>
      </c>
      <c r="M50" s="10" t="s">
        <v>59</v>
      </c>
      <c r="N50" s="10" t="s">
        <v>59</v>
      </c>
      <c r="O50" s="10" t="s">
        <v>59</v>
      </c>
      <c r="P50" s="44" t="s">
        <v>59</v>
      </c>
      <c r="Q50" s="7" t="s">
        <v>175</v>
      </c>
      <c r="R50" s="117"/>
    </row>
    <row r="51" spans="1:18" s="11" customFormat="1" ht="72">
      <c r="A51" s="6" t="s">
        <v>263</v>
      </c>
      <c r="B51" s="7" t="s">
        <v>126</v>
      </c>
      <c r="C51" s="27" t="s">
        <v>205</v>
      </c>
      <c r="D51" s="32">
        <f>(2494+27770)*1.0564</f>
        <v>31970.8896</v>
      </c>
      <c r="E51" s="32">
        <f>(5712+8123)*1.0564</f>
        <v>14615.294</v>
      </c>
      <c r="F51" s="32">
        <f>(1438+29810)*1.0564</f>
        <v>33010.3872</v>
      </c>
      <c r="G51" s="32">
        <f>(546+2235)*1.0564</f>
        <v>2937.8484</v>
      </c>
      <c r="H51" s="32">
        <f>(1375+4844)*1.0564</f>
        <v>6569.7516</v>
      </c>
      <c r="I51" s="32">
        <f>(4261+55441)*1.0564</f>
        <v>63069.1928</v>
      </c>
      <c r="J51" s="32">
        <f>(1761+54577)*1.0564</f>
        <v>59515.4632</v>
      </c>
      <c r="K51" s="32">
        <f>(754+124704)*1.0564</f>
        <v>132533.83120000002</v>
      </c>
      <c r="L51" s="32">
        <f>(0+82900)*1.0564</f>
        <v>87575.56</v>
      </c>
      <c r="M51" s="32">
        <f>(2205+29974)*1.0564</f>
        <v>33993.8956</v>
      </c>
      <c r="N51" s="32">
        <f>(362+17493)*1.0564</f>
        <v>18862.022</v>
      </c>
      <c r="O51" s="32">
        <f>(471+30115)*1.0564</f>
        <v>32311.0504</v>
      </c>
      <c r="P51" s="57">
        <f aca="true" t="shared" si="8" ref="P51:P58">SUM(D51:O51)</f>
        <v>516965.186</v>
      </c>
      <c r="Q51" s="7" t="s">
        <v>204</v>
      </c>
      <c r="R51" s="101"/>
    </row>
    <row r="52" spans="1:18" s="11" customFormat="1" ht="36">
      <c r="A52" s="6" t="s">
        <v>263</v>
      </c>
      <c r="B52" s="7" t="s">
        <v>126</v>
      </c>
      <c r="C52" s="27" t="s">
        <v>226</v>
      </c>
      <c r="D52" s="32">
        <f>D68</f>
        <v>278991.0144</v>
      </c>
      <c r="E52" s="32">
        <f aca="true" t="shared" si="9" ref="E52:O52">E68</f>
        <v>219524.1456</v>
      </c>
      <c r="F52" s="32">
        <f t="shared" si="9"/>
        <v>223392.6824</v>
      </c>
      <c r="G52" s="32">
        <f t="shared" si="9"/>
        <v>195856.56</v>
      </c>
      <c r="H52" s="32">
        <f t="shared" si="9"/>
        <v>209443.9768</v>
      </c>
      <c r="I52" s="32">
        <f t="shared" si="9"/>
        <v>276562.3508</v>
      </c>
      <c r="J52" s="32">
        <f t="shared" si="9"/>
        <v>366611.9996</v>
      </c>
      <c r="K52" s="32">
        <f t="shared" si="9"/>
        <v>476453.3024</v>
      </c>
      <c r="L52" s="32">
        <f t="shared" si="9"/>
        <v>381587.526</v>
      </c>
      <c r="M52" s="32">
        <f t="shared" si="9"/>
        <v>346378.7704</v>
      </c>
      <c r="N52" s="32">
        <f t="shared" si="9"/>
        <v>249365.3328</v>
      </c>
      <c r="O52" s="32">
        <f t="shared" si="9"/>
        <v>266032.1556</v>
      </c>
      <c r="P52" s="57">
        <f t="shared" si="8"/>
        <v>3490199.8168</v>
      </c>
      <c r="Q52" s="7" t="s">
        <v>281</v>
      </c>
      <c r="R52" s="101"/>
    </row>
    <row r="53" spans="1:18" s="2" customFormat="1" ht="24">
      <c r="A53" s="109" t="s">
        <v>264</v>
      </c>
      <c r="B53" s="110"/>
      <c r="C53" s="111"/>
      <c r="D53" s="113">
        <f>SUM(D48:D52)</f>
        <v>341290.118</v>
      </c>
      <c r="E53" s="113">
        <f aca="true" t="shared" si="10" ref="E53:O53">SUM(E48:E52)</f>
        <v>247595.29679999998</v>
      </c>
      <c r="F53" s="113">
        <f t="shared" si="10"/>
        <v>262832.7864</v>
      </c>
      <c r="G53" s="113">
        <f t="shared" si="10"/>
        <v>222702.1252</v>
      </c>
      <c r="H53" s="113">
        <f t="shared" si="10"/>
        <v>240827.38520000002</v>
      </c>
      <c r="I53" s="113">
        <f t="shared" si="10"/>
        <v>526000.7888</v>
      </c>
      <c r="J53" s="113">
        <f t="shared" si="10"/>
        <v>677528.3556</v>
      </c>
      <c r="K53" s="113">
        <f t="shared" si="10"/>
        <v>858985.4616</v>
      </c>
      <c r="L53" s="113">
        <f t="shared" si="10"/>
        <v>647473.7472000001</v>
      </c>
      <c r="M53" s="113">
        <f t="shared" si="10"/>
        <v>498871.68679999997</v>
      </c>
      <c r="N53" s="113">
        <f t="shared" si="10"/>
        <v>329125.118</v>
      </c>
      <c r="O53" s="113">
        <f t="shared" si="10"/>
        <v>339412.87919999997</v>
      </c>
      <c r="P53" s="114">
        <f t="shared" si="8"/>
        <v>5192645.7488</v>
      </c>
      <c r="Q53" s="111" t="s">
        <v>282</v>
      </c>
      <c r="R53" s="99"/>
    </row>
    <row r="54" spans="1:18" s="11" customFormat="1" ht="84">
      <c r="A54" s="6" t="s">
        <v>263</v>
      </c>
      <c r="B54" s="7" t="s">
        <v>126</v>
      </c>
      <c r="C54" s="7" t="s">
        <v>152</v>
      </c>
      <c r="D54" s="124">
        <f>0.01*D53</f>
        <v>3412.9011800000003</v>
      </c>
      <c r="E54" s="124">
        <f aca="true" t="shared" si="11" ref="E54:O54">0.01*E53</f>
        <v>2475.952968</v>
      </c>
      <c r="F54" s="124">
        <f t="shared" si="11"/>
        <v>2628.327864</v>
      </c>
      <c r="G54" s="124">
        <f t="shared" si="11"/>
        <v>2227.021252</v>
      </c>
      <c r="H54" s="124">
        <f t="shared" si="11"/>
        <v>2408.2738520000003</v>
      </c>
      <c r="I54" s="124">
        <f t="shared" si="11"/>
        <v>5260.007888</v>
      </c>
      <c r="J54" s="124">
        <f t="shared" si="11"/>
        <v>6775.283556</v>
      </c>
      <c r="K54" s="124">
        <f t="shared" si="11"/>
        <v>8589.854616</v>
      </c>
      <c r="L54" s="124">
        <f t="shared" si="11"/>
        <v>6474.737472000001</v>
      </c>
      <c r="M54" s="124">
        <f t="shared" si="11"/>
        <v>4988.7168679999995</v>
      </c>
      <c r="N54" s="124">
        <f t="shared" si="11"/>
        <v>3291.25118</v>
      </c>
      <c r="O54" s="124">
        <f t="shared" si="11"/>
        <v>3394.1287919999995</v>
      </c>
      <c r="P54" s="45">
        <f t="shared" si="8"/>
        <v>51926.457488</v>
      </c>
      <c r="Q54" s="7" t="s">
        <v>220</v>
      </c>
      <c r="R54" s="117"/>
    </row>
    <row r="55" spans="1:18" s="2" customFormat="1" ht="60">
      <c r="A55" s="4" t="s">
        <v>265</v>
      </c>
      <c r="B55" s="5" t="s">
        <v>27</v>
      </c>
      <c r="C55" s="5" t="s">
        <v>70</v>
      </c>
      <c r="D55" s="32">
        <f>(219632-200019)*1.0564</f>
        <v>20719.1732</v>
      </c>
      <c r="E55" s="32">
        <f>(7177-6536)*1.0564</f>
        <v>677.1524000000001</v>
      </c>
      <c r="F55" s="32">
        <f>(6105-5560)*1.0564</f>
        <v>575.738</v>
      </c>
      <c r="G55" s="32">
        <f>12152*1.0564</f>
        <v>12837.3728</v>
      </c>
      <c r="H55" s="32">
        <f>12982*1.0564</f>
        <v>13714.1848</v>
      </c>
      <c r="I55" s="32">
        <f>18021*1.0564</f>
        <v>19037.3844</v>
      </c>
      <c r="J55" s="32">
        <f>27965*1.0564</f>
        <v>29542.226</v>
      </c>
      <c r="K55" s="32">
        <f>35157*1.0564</f>
        <v>37139.8548</v>
      </c>
      <c r="L55" s="32">
        <f>36304*1.0564</f>
        <v>38351.5456</v>
      </c>
      <c r="M55" s="32">
        <f>10062*1.0564</f>
        <v>10629.4968</v>
      </c>
      <c r="N55" s="32">
        <f>8240*1.0564</f>
        <v>8704.736</v>
      </c>
      <c r="O55" s="32">
        <f>6559*1.0564</f>
        <v>6928.9276</v>
      </c>
      <c r="P55" s="51">
        <f t="shared" si="8"/>
        <v>198857.79239999998</v>
      </c>
      <c r="Q55" s="27" t="s">
        <v>291</v>
      </c>
      <c r="R55" s="99"/>
    </row>
    <row r="56" spans="1:18" s="2" customFormat="1" ht="36">
      <c r="A56" s="4" t="s">
        <v>265</v>
      </c>
      <c r="B56" s="5" t="s">
        <v>27</v>
      </c>
      <c r="C56" s="5" t="s">
        <v>71</v>
      </c>
      <c r="D56" s="32">
        <f>769*1.0564</f>
        <v>812.3716000000001</v>
      </c>
      <c r="E56" s="32">
        <f>133*1.0564</f>
        <v>140.5012</v>
      </c>
      <c r="F56" s="32">
        <f>0*1.0564</f>
        <v>0</v>
      </c>
      <c r="G56" s="32">
        <f>851*1.0564</f>
        <v>898.9964</v>
      </c>
      <c r="H56" s="32">
        <f>918*1.0564</f>
        <v>969.7752</v>
      </c>
      <c r="I56" s="32">
        <f>1012*1.0564</f>
        <v>1069.0768</v>
      </c>
      <c r="J56" s="32">
        <f>1159*1.0564</f>
        <v>1224.3676</v>
      </c>
      <c r="K56" s="32">
        <f>1269*1.0564</f>
        <v>1340.5716</v>
      </c>
      <c r="L56" s="32">
        <f>1586*1.0564</f>
        <v>1675.4504</v>
      </c>
      <c r="M56" s="32">
        <f>983*1.0564</f>
        <v>1038.4412</v>
      </c>
      <c r="N56" s="32">
        <f>661*1.0564</f>
        <v>698.2804</v>
      </c>
      <c r="O56" s="32">
        <f>741*1.0564</f>
        <v>782.7924</v>
      </c>
      <c r="P56" s="51">
        <f t="shared" si="8"/>
        <v>10650.6248</v>
      </c>
      <c r="Q56" s="27" t="s">
        <v>72</v>
      </c>
      <c r="R56" s="99"/>
    </row>
    <row r="57" spans="1:18" s="2" customFormat="1" ht="24">
      <c r="A57" s="109" t="s">
        <v>266</v>
      </c>
      <c r="B57" s="110"/>
      <c r="C57" s="111"/>
      <c r="D57" s="113">
        <f>SUM(D55:D56)</f>
        <v>21531.5448</v>
      </c>
      <c r="E57" s="113">
        <f>SUM(E55:E56)</f>
        <v>817.6536000000001</v>
      </c>
      <c r="F57" s="113">
        <f aca="true" t="shared" si="12" ref="F57:O57">SUM(F55:F56)</f>
        <v>575.738</v>
      </c>
      <c r="G57" s="113">
        <f t="shared" si="12"/>
        <v>13736.3692</v>
      </c>
      <c r="H57" s="113">
        <f t="shared" si="12"/>
        <v>14683.960000000001</v>
      </c>
      <c r="I57" s="113">
        <f t="shared" si="12"/>
        <v>20106.461199999998</v>
      </c>
      <c r="J57" s="113">
        <f t="shared" si="12"/>
        <v>30766.5936</v>
      </c>
      <c r="K57" s="113">
        <f t="shared" si="12"/>
        <v>38480.426400000004</v>
      </c>
      <c r="L57" s="113">
        <f t="shared" si="12"/>
        <v>40026.996</v>
      </c>
      <c r="M57" s="113">
        <f t="shared" si="12"/>
        <v>11667.938</v>
      </c>
      <c r="N57" s="113">
        <f t="shared" si="12"/>
        <v>9403.0164</v>
      </c>
      <c r="O57" s="113">
        <f t="shared" si="12"/>
        <v>7711.72</v>
      </c>
      <c r="P57" s="114">
        <f t="shared" si="8"/>
        <v>209508.4172</v>
      </c>
      <c r="Q57" s="111" t="s">
        <v>284</v>
      </c>
      <c r="R57" s="99"/>
    </row>
    <row r="58" spans="1:18" s="2" customFormat="1" ht="36">
      <c r="A58" s="4" t="s">
        <v>265</v>
      </c>
      <c r="B58" s="5" t="s">
        <v>27</v>
      </c>
      <c r="C58" s="26" t="s">
        <v>56</v>
      </c>
      <c r="D58" s="32">
        <f>16960*1.0564</f>
        <v>17916.544</v>
      </c>
      <c r="E58" s="32">
        <f>5197*1.0564</f>
        <v>5490.1108</v>
      </c>
      <c r="F58" s="32">
        <f>6490*1.0564</f>
        <v>6856.036</v>
      </c>
      <c r="G58" s="32">
        <f>3126*1.0564</f>
        <v>3302.3064</v>
      </c>
      <c r="H58" s="32">
        <f>15050*1.0564</f>
        <v>15898.82</v>
      </c>
      <c r="I58" s="32">
        <f>16446*1.0564</f>
        <v>17373.5544</v>
      </c>
      <c r="J58" s="32">
        <f>14515*1.0564</f>
        <v>15333.646</v>
      </c>
      <c r="K58" s="32">
        <f>30244*1.0564</f>
        <v>31949.7616</v>
      </c>
      <c r="L58" s="32">
        <f>11052*1.0564</f>
        <v>11675.3328</v>
      </c>
      <c r="M58" s="32">
        <f>26953*1.0564</f>
        <v>28473.1492</v>
      </c>
      <c r="N58" s="32">
        <f>10900*1.0564</f>
        <v>11514.76</v>
      </c>
      <c r="O58" s="32">
        <f>19852*1.0564</f>
        <v>20971.6528</v>
      </c>
      <c r="P58" s="51">
        <f t="shared" si="8"/>
        <v>186755.67400000003</v>
      </c>
      <c r="Q58" s="27" t="s">
        <v>69</v>
      </c>
      <c r="R58" s="99"/>
    </row>
    <row r="59" spans="1:18" s="3" customFormat="1" ht="12">
      <c r="A59" s="208" t="s">
        <v>267</v>
      </c>
      <c r="B59" s="209"/>
      <c r="C59" s="209"/>
      <c r="D59" s="209"/>
      <c r="E59" s="209"/>
      <c r="F59" s="209"/>
      <c r="G59" s="209"/>
      <c r="H59" s="209"/>
      <c r="I59" s="209"/>
      <c r="J59" s="209"/>
      <c r="K59" s="209"/>
      <c r="L59" s="209"/>
      <c r="M59" s="209"/>
      <c r="N59" s="209"/>
      <c r="O59" s="209"/>
      <c r="P59" s="209"/>
      <c r="Q59" s="210"/>
      <c r="R59" s="100"/>
    </row>
    <row r="60" spans="1:18" s="2" customFormat="1" ht="75.75" customHeight="1">
      <c r="A60" s="4" t="s">
        <v>25</v>
      </c>
      <c r="B60" s="9" t="s">
        <v>22</v>
      </c>
      <c r="C60" s="27" t="s">
        <v>154</v>
      </c>
      <c r="D60" s="45">
        <f>5617*1.0564</f>
        <v>5933.7988000000005</v>
      </c>
      <c r="E60" s="45">
        <f>1976*1.0564</f>
        <v>2087.4464</v>
      </c>
      <c r="F60" s="45">
        <f>2190*1.0564</f>
        <v>2313.516</v>
      </c>
      <c r="G60" s="45">
        <f>2570*1.0564</f>
        <v>2714.948</v>
      </c>
      <c r="H60" s="45">
        <f>1881*1.0564</f>
        <v>1987.0884</v>
      </c>
      <c r="I60" s="45">
        <f>2203*1.0564</f>
        <v>2327.2492</v>
      </c>
      <c r="J60" s="45">
        <f>4117*1.0564</f>
        <v>4349.1988</v>
      </c>
      <c r="K60" s="45">
        <f>3986*1.0564</f>
        <v>4210.8104</v>
      </c>
      <c r="L60" s="45">
        <f>5070*1.0564</f>
        <v>5355.948</v>
      </c>
      <c r="M60" s="45">
        <f>4596*1.0564</f>
        <v>4855.2144</v>
      </c>
      <c r="N60" s="45">
        <f>5273*1.0564</f>
        <v>5570.3972</v>
      </c>
      <c r="O60" s="45">
        <f>4417*1.0564</f>
        <v>4666.1188</v>
      </c>
      <c r="P60" s="45">
        <f>SUM(D60:O60)</f>
        <v>46371.7344</v>
      </c>
      <c r="Q60" s="7" t="s">
        <v>292</v>
      </c>
      <c r="R60" s="99"/>
    </row>
    <row r="61" spans="1:18" s="11" customFormat="1" ht="36">
      <c r="A61" s="6" t="s">
        <v>26</v>
      </c>
      <c r="B61" s="7" t="s">
        <v>151</v>
      </c>
      <c r="C61" s="7" t="s">
        <v>173</v>
      </c>
      <c r="D61" s="128">
        <f>(250+350)/2/12</f>
        <v>25</v>
      </c>
      <c r="E61" s="128">
        <f aca="true" t="shared" si="13" ref="E61:O61">(250+350)/2/12</f>
        <v>25</v>
      </c>
      <c r="F61" s="128">
        <f t="shared" si="13"/>
        <v>25</v>
      </c>
      <c r="G61" s="128">
        <f t="shared" si="13"/>
        <v>25</v>
      </c>
      <c r="H61" s="128">
        <f t="shared" si="13"/>
        <v>25</v>
      </c>
      <c r="I61" s="128">
        <f t="shared" si="13"/>
        <v>25</v>
      </c>
      <c r="J61" s="128">
        <f t="shared" si="13"/>
        <v>25</v>
      </c>
      <c r="K61" s="128">
        <f t="shared" si="13"/>
        <v>25</v>
      </c>
      <c r="L61" s="128">
        <f t="shared" si="13"/>
        <v>25</v>
      </c>
      <c r="M61" s="128">
        <f t="shared" si="13"/>
        <v>25</v>
      </c>
      <c r="N61" s="128">
        <f t="shared" si="13"/>
        <v>25</v>
      </c>
      <c r="O61" s="128">
        <f t="shared" si="13"/>
        <v>25</v>
      </c>
      <c r="P61" s="45">
        <f>SUM(D61:O61)</f>
        <v>300</v>
      </c>
      <c r="Q61" s="7" t="s">
        <v>227</v>
      </c>
      <c r="R61" s="117"/>
    </row>
    <row r="62" spans="1:18" s="2" customFormat="1" ht="48">
      <c r="A62" s="4" t="s">
        <v>29</v>
      </c>
      <c r="B62" s="5" t="s">
        <v>116</v>
      </c>
      <c r="C62" s="5" t="s">
        <v>128</v>
      </c>
      <c r="D62" s="30">
        <f>SUM(43+144)*1.0564</f>
        <v>197.5468</v>
      </c>
      <c r="E62" s="30">
        <f>(45+136)*1.0564</f>
        <v>191.2084</v>
      </c>
      <c r="F62" s="30">
        <f>(29+62)*1.0564</f>
        <v>96.1324</v>
      </c>
      <c r="G62" s="30">
        <f>(26+103)*1.0564</f>
        <v>136.2756</v>
      </c>
      <c r="H62" s="30">
        <f>(41+79)*1.0564</f>
        <v>126.768</v>
      </c>
      <c r="I62" s="30">
        <f>(64+82)*1.0564</f>
        <v>154.2344</v>
      </c>
      <c r="J62" s="30">
        <f>(80+77)*1.0564</f>
        <v>165.8548</v>
      </c>
      <c r="K62" s="30">
        <f>(58+118)*1.0564</f>
        <v>185.9264</v>
      </c>
      <c r="L62" s="30">
        <f>(24+82)*1.0564</f>
        <v>111.9784</v>
      </c>
      <c r="M62" s="30">
        <f>(44+98)*1.0564</f>
        <v>150.0088</v>
      </c>
      <c r="N62" s="30">
        <f>(20+62)*1.0564</f>
        <v>86.6248</v>
      </c>
      <c r="O62" s="32">
        <f>(35+108)*1.0564</f>
        <v>151.0652</v>
      </c>
      <c r="P62" s="51">
        <f>SUM(D62:O62)</f>
        <v>1753.6240000000003</v>
      </c>
      <c r="Q62" s="13" t="s">
        <v>80</v>
      </c>
      <c r="R62" s="99"/>
    </row>
    <row r="63" spans="1:18" s="3" customFormat="1" ht="12">
      <c r="A63" s="208" t="s">
        <v>268</v>
      </c>
      <c r="B63" s="209"/>
      <c r="C63" s="209"/>
      <c r="D63" s="215"/>
      <c r="E63" s="215"/>
      <c r="F63" s="215"/>
      <c r="G63" s="215"/>
      <c r="H63" s="215"/>
      <c r="I63" s="215"/>
      <c r="J63" s="215"/>
      <c r="K63" s="215"/>
      <c r="L63" s="215"/>
      <c r="M63" s="215"/>
      <c r="N63" s="215"/>
      <c r="O63" s="215"/>
      <c r="P63" s="215"/>
      <c r="Q63" s="210"/>
      <c r="R63" s="100"/>
    </row>
    <row r="64" spans="1:18"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c r="R64" s="101"/>
    </row>
    <row r="65" spans="1:18" s="2" customFormat="1" ht="24">
      <c r="A65" s="6" t="s">
        <v>119</v>
      </c>
      <c r="B65" s="5" t="s">
        <v>28</v>
      </c>
      <c r="C65" s="5" t="s">
        <v>57</v>
      </c>
      <c r="D65" s="96">
        <f>3089*1.0564</f>
        <v>3263.2196</v>
      </c>
      <c r="E65" s="39">
        <f>1376*1.0564</f>
        <v>1453.6064000000001</v>
      </c>
      <c r="F65" s="39">
        <f>1846*1.0564</f>
        <v>1950.1144</v>
      </c>
      <c r="G65" s="39">
        <f>1434*1.0564</f>
        <v>1514.8776</v>
      </c>
      <c r="H65" s="39">
        <f>658*1.0564</f>
        <v>695.1112</v>
      </c>
      <c r="I65" s="39">
        <f>1190*1.0564</f>
        <v>1257.116</v>
      </c>
      <c r="J65" s="39">
        <f>2222*1.0564</f>
        <v>2347.3208</v>
      </c>
      <c r="K65" s="39">
        <f>2927*1.0564</f>
        <v>3092.0828</v>
      </c>
      <c r="L65" s="39">
        <f>5336*1.0564</f>
        <v>5636.9504</v>
      </c>
      <c r="M65" s="39">
        <f>7246*1.0564</f>
        <v>7654.6744</v>
      </c>
      <c r="N65" s="39">
        <f>1722*1.0564</f>
        <v>1819.1208</v>
      </c>
      <c r="O65" s="39">
        <f>3614*1.0564</f>
        <v>3817.8296</v>
      </c>
      <c r="P65" s="97">
        <f>SUM(D65:O65)</f>
        <v>34502.024</v>
      </c>
      <c r="Q65" s="6" t="s">
        <v>55</v>
      </c>
      <c r="R65" s="99"/>
    </row>
    <row r="66" spans="1:18" s="2" customFormat="1" ht="60">
      <c r="A66" s="6" t="s">
        <v>120</v>
      </c>
      <c r="B66" s="7" t="s">
        <v>117</v>
      </c>
      <c r="C66" s="7" t="s">
        <v>223</v>
      </c>
      <c r="D66" s="96">
        <f aca="true" t="shared" si="14" ref="D66:O66">D68-D67</f>
        <v>225982.72166399998</v>
      </c>
      <c r="E66" s="96">
        <f t="shared" si="14"/>
        <v>186595.52375999998</v>
      </c>
      <c r="F66" s="96">
        <f t="shared" si="14"/>
        <v>169778.438624</v>
      </c>
      <c r="G66" s="96">
        <f t="shared" si="14"/>
        <v>144933.8544</v>
      </c>
      <c r="H66" s="96">
        <f t="shared" si="14"/>
        <v>180121.820048</v>
      </c>
      <c r="I66" s="96">
        <f t="shared" si="14"/>
        <v>182531.15152800002</v>
      </c>
      <c r="J66" s="96">
        <f t="shared" si="14"/>
        <v>252962.279724</v>
      </c>
      <c r="K66" s="96">
        <f t="shared" si="14"/>
        <v>304930.113536</v>
      </c>
      <c r="L66" s="96">
        <f t="shared" si="14"/>
        <v>255663.64242</v>
      </c>
      <c r="M66" s="96">
        <f t="shared" si="14"/>
        <v>245928.926984</v>
      </c>
      <c r="N66" s="96">
        <f t="shared" si="14"/>
        <v>189517.652928</v>
      </c>
      <c r="O66" s="96">
        <f t="shared" si="14"/>
        <v>194203.473588</v>
      </c>
      <c r="P66" s="97">
        <f>SUM(D66:O66)</f>
        <v>2533149.5992039996</v>
      </c>
      <c r="Q66" s="7" t="s">
        <v>239</v>
      </c>
      <c r="R66" s="99"/>
    </row>
    <row r="67" spans="1:18" s="2" customFormat="1" ht="72">
      <c r="A67" s="6" t="s">
        <v>120</v>
      </c>
      <c r="B67" s="7" t="s">
        <v>117</v>
      </c>
      <c r="C67" s="7" t="s">
        <v>224</v>
      </c>
      <c r="D67" s="33">
        <f>D68*0.19</f>
        <v>53008.292735999996</v>
      </c>
      <c r="E67" s="33">
        <f>E68*0.15</f>
        <v>32928.62184</v>
      </c>
      <c r="F67" s="33">
        <f>F68*0.24</f>
        <v>53614.243775999996</v>
      </c>
      <c r="G67" s="32">
        <f>G68*0.26</f>
        <v>50922.7056</v>
      </c>
      <c r="H67" s="32">
        <f>H68*0.14</f>
        <v>29322.156752000003</v>
      </c>
      <c r="I67" s="32">
        <f>I68*0.34</f>
        <v>94031.19927200001</v>
      </c>
      <c r="J67" s="32">
        <f>J68*0.31</f>
        <v>113649.71987599999</v>
      </c>
      <c r="K67" s="32">
        <f>K68*0.36</f>
        <v>171523.188864</v>
      </c>
      <c r="L67" s="32">
        <f>L68*0.33</f>
        <v>125923.88358000001</v>
      </c>
      <c r="M67" s="32">
        <f>M68*0.29</f>
        <v>100449.84341599999</v>
      </c>
      <c r="N67" s="32">
        <f>N68*0.24</f>
        <v>59847.679872</v>
      </c>
      <c r="O67" s="32">
        <f>O68*0.27</f>
        <v>71828.682012</v>
      </c>
      <c r="P67" s="51">
        <f>SUM(D67:O67)</f>
        <v>957050.2175960001</v>
      </c>
      <c r="Q67" s="7" t="s">
        <v>293</v>
      </c>
      <c r="R67" s="99"/>
    </row>
    <row r="68" spans="1:18" s="2" customFormat="1" ht="12">
      <c r="A68" s="133" t="s">
        <v>269</v>
      </c>
      <c r="B68" s="110"/>
      <c r="C68" s="111"/>
      <c r="D68" s="136">
        <f>264096*1.0564</f>
        <v>278991.0144</v>
      </c>
      <c r="E68" s="113">
        <f>207804*1.0564</f>
        <v>219524.1456</v>
      </c>
      <c r="F68" s="113">
        <f>211466*1.0564</f>
        <v>223392.6824</v>
      </c>
      <c r="G68" s="113">
        <f>185400*1.0564</f>
        <v>195856.56</v>
      </c>
      <c r="H68" s="113">
        <f>198262*1.0564</f>
        <v>209443.9768</v>
      </c>
      <c r="I68" s="113">
        <f>261797*1.0564</f>
        <v>276562.3508</v>
      </c>
      <c r="J68" s="113">
        <f>347039*1.0564</f>
        <v>366611.9996</v>
      </c>
      <c r="K68" s="113">
        <f>451016*1.0564</f>
        <v>476453.3024</v>
      </c>
      <c r="L68" s="113">
        <f>361215*1.0564</f>
        <v>381587.526</v>
      </c>
      <c r="M68" s="113">
        <f>327886*1.0564</f>
        <v>346378.7704</v>
      </c>
      <c r="N68" s="113">
        <f>236052*1.0564</f>
        <v>249365.3328</v>
      </c>
      <c r="O68" s="113">
        <f>251829*1.0564</f>
        <v>266032.1556</v>
      </c>
      <c r="P68" s="114">
        <f>SUM(D68:O68)</f>
        <v>3490199.8168</v>
      </c>
      <c r="Q68" s="110" t="s">
        <v>287</v>
      </c>
      <c r="R68" s="99"/>
    </row>
    <row r="69" spans="1:18" ht="84" customHeight="1">
      <c r="A69" s="161" t="s">
        <v>121</v>
      </c>
      <c r="B69" s="7" t="s">
        <v>127</v>
      </c>
      <c r="C69" s="7" t="s">
        <v>313</v>
      </c>
      <c r="D69" s="83">
        <f>5342*1.0564</f>
        <v>5643.2888</v>
      </c>
      <c r="E69" s="83">
        <f>4590*1.0564</f>
        <v>4848.876</v>
      </c>
      <c r="F69" s="83">
        <f>4508*1.0564</f>
        <v>4762.2512</v>
      </c>
      <c r="G69" s="83">
        <f>7496*1.0564</f>
        <v>7918.7744</v>
      </c>
      <c r="H69" s="83">
        <f>4950*1.0564</f>
        <v>5229.18</v>
      </c>
      <c r="I69" s="83">
        <f>9196*1.0564</f>
        <v>9714.6544</v>
      </c>
      <c r="J69" s="83">
        <f>11533*1.0564</f>
        <v>12183.4612</v>
      </c>
      <c r="K69" s="83">
        <f>10403*1.0564</f>
        <v>10989.7292</v>
      </c>
      <c r="L69" s="83">
        <f>8882*1.0564</f>
        <v>9382.9448</v>
      </c>
      <c r="M69" s="83">
        <f>7219*1.0564</f>
        <v>7626.1516</v>
      </c>
      <c r="N69" s="83">
        <f>6699*1.0564</f>
        <v>7076.8236</v>
      </c>
      <c r="O69" s="83">
        <f>5556*1.0564</f>
        <v>5869.3584</v>
      </c>
      <c r="P69" s="45">
        <f>SUM(D69:O69)</f>
        <v>91245.4936</v>
      </c>
      <c r="Q69" s="7" t="s">
        <v>321</v>
      </c>
      <c r="R69" s="117"/>
    </row>
    <row r="70" spans="1:18" s="3" customFormat="1" ht="12">
      <c r="A70" s="208" t="s">
        <v>270</v>
      </c>
      <c r="B70" s="209"/>
      <c r="C70" s="209"/>
      <c r="D70" s="209"/>
      <c r="E70" s="209"/>
      <c r="F70" s="209"/>
      <c r="G70" s="209"/>
      <c r="H70" s="209"/>
      <c r="I70" s="209"/>
      <c r="J70" s="209"/>
      <c r="K70" s="209"/>
      <c r="L70" s="209"/>
      <c r="M70" s="209"/>
      <c r="N70" s="209"/>
      <c r="O70" s="209"/>
      <c r="P70" s="209"/>
      <c r="Q70" s="210"/>
      <c r="R70" s="100"/>
    </row>
    <row r="71" spans="1:18" s="11" customFormat="1" ht="24">
      <c r="A71" s="28" t="s">
        <v>271</v>
      </c>
      <c r="B71" s="38" t="s">
        <v>33</v>
      </c>
      <c r="C71" s="7" t="s">
        <v>76</v>
      </c>
      <c r="D71" s="45">
        <v>0</v>
      </c>
      <c r="E71" s="45">
        <v>0</v>
      </c>
      <c r="F71" s="45">
        <v>0</v>
      </c>
      <c r="G71" s="69">
        <v>1</v>
      </c>
      <c r="H71" s="69">
        <v>0</v>
      </c>
      <c r="I71" s="69">
        <v>0</v>
      </c>
      <c r="J71" s="69">
        <v>0</v>
      </c>
      <c r="K71" s="69">
        <v>0</v>
      </c>
      <c r="L71" s="69">
        <v>0</v>
      </c>
      <c r="M71" s="69">
        <v>0</v>
      </c>
      <c r="N71" s="69">
        <v>0</v>
      </c>
      <c r="O71" s="69">
        <v>0</v>
      </c>
      <c r="P71" s="45">
        <f>SUM(D71:O71)</f>
        <v>1</v>
      </c>
      <c r="Q71" s="20" t="s">
        <v>159</v>
      </c>
      <c r="R71" s="101"/>
    </row>
    <row r="72" spans="1:18" s="11" customFormat="1" ht="24">
      <c r="A72" s="28" t="s">
        <v>272</v>
      </c>
      <c r="B72" s="38" t="s">
        <v>122</v>
      </c>
      <c r="C72" s="7" t="s">
        <v>124</v>
      </c>
      <c r="D72" s="32">
        <f>0*1.0564</f>
        <v>0</v>
      </c>
      <c r="E72" s="32">
        <f>0*1.0564</f>
        <v>0</v>
      </c>
      <c r="F72" s="32">
        <f>0*1.0564</f>
        <v>0</v>
      </c>
      <c r="G72" s="32">
        <f>4*1.0564</f>
        <v>4.2256</v>
      </c>
      <c r="H72" s="32">
        <f>3*1.0564</f>
        <v>3.1692</v>
      </c>
      <c r="I72" s="32">
        <f>3*1.0564</f>
        <v>3.1692</v>
      </c>
      <c r="J72" s="32">
        <f>30*1.0564</f>
        <v>31.692</v>
      </c>
      <c r="K72" s="32">
        <f>0*1.0564</f>
        <v>0</v>
      </c>
      <c r="L72" s="32">
        <f>0*1.0564</f>
        <v>0</v>
      </c>
      <c r="M72" s="32">
        <f>0*1.0564</f>
        <v>0</v>
      </c>
      <c r="N72" s="32">
        <f>0*1.0564</f>
        <v>0</v>
      </c>
      <c r="O72" s="32">
        <f>0*1.0564</f>
        <v>0</v>
      </c>
      <c r="P72" s="43">
        <f>SUM(D72:O72)</f>
        <v>42.256</v>
      </c>
      <c r="Q72" s="20" t="s">
        <v>190</v>
      </c>
      <c r="R72" s="101"/>
    </row>
    <row r="73" spans="1:18" s="11" customFormat="1" ht="24">
      <c r="A73" s="28" t="s">
        <v>273</v>
      </c>
      <c r="B73" s="38" t="s">
        <v>363</v>
      </c>
      <c r="C73" s="7" t="s">
        <v>100</v>
      </c>
      <c r="D73" s="32">
        <f>D72</f>
        <v>0</v>
      </c>
      <c r="E73" s="32">
        <f aca="true" t="shared" si="15" ref="E73:O73">E72</f>
        <v>0</v>
      </c>
      <c r="F73" s="32">
        <f t="shared" si="15"/>
        <v>0</v>
      </c>
      <c r="G73" s="32">
        <f t="shared" si="15"/>
        <v>4.2256</v>
      </c>
      <c r="H73" s="32">
        <f t="shared" si="15"/>
        <v>3.1692</v>
      </c>
      <c r="I73" s="32">
        <f t="shared" si="15"/>
        <v>3.1692</v>
      </c>
      <c r="J73" s="32">
        <f t="shared" si="15"/>
        <v>31.692</v>
      </c>
      <c r="K73" s="32">
        <f t="shared" si="15"/>
        <v>0</v>
      </c>
      <c r="L73" s="32">
        <f t="shared" si="15"/>
        <v>0</v>
      </c>
      <c r="M73" s="32">
        <f t="shared" si="15"/>
        <v>0</v>
      </c>
      <c r="N73" s="32">
        <f t="shared" si="15"/>
        <v>0</v>
      </c>
      <c r="O73" s="32">
        <f t="shared" si="15"/>
        <v>0</v>
      </c>
      <c r="P73" s="45">
        <f>SUM(D73:O73)</f>
        <v>42.256</v>
      </c>
      <c r="Q73" s="20" t="s">
        <v>190</v>
      </c>
      <c r="R73" s="117"/>
    </row>
    <row r="74" spans="1:18" s="11" customFormat="1" ht="36">
      <c r="A74" s="28" t="s">
        <v>274</v>
      </c>
      <c r="B74" s="38" t="s">
        <v>123</v>
      </c>
      <c r="C74" s="7" t="s">
        <v>77</v>
      </c>
      <c r="D74" s="32">
        <f>0*1.0564</f>
        <v>0</v>
      </c>
      <c r="E74" s="32">
        <f>0*1.0564</f>
        <v>0</v>
      </c>
      <c r="F74" s="32">
        <f>0*1.0564</f>
        <v>0</v>
      </c>
      <c r="G74" s="32">
        <f>5385*1.0564</f>
        <v>5688.714</v>
      </c>
      <c r="H74" s="32">
        <f>20787*1.0564</f>
        <v>21959.3868</v>
      </c>
      <c r="I74" s="32">
        <f>15325*1.0564</f>
        <v>16189.33</v>
      </c>
      <c r="J74" s="32">
        <f>6653*1.0564</f>
        <v>7028.2292</v>
      </c>
      <c r="K74" s="32">
        <f>0*1.0564</f>
        <v>0</v>
      </c>
      <c r="L74" s="32">
        <f>0*1.0564</f>
        <v>0</v>
      </c>
      <c r="M74" s="32">
        <f>0*1.0564</f>
        <v>0</v>
      </c>
      <c r="N74" s="32">
        <f>0*1.0564</f>
        <v>0</v>
      </c>
      <c r="O74" s="32">
        <f>0*1.0564</f>
        <v>0</v>
      </c>
      <c r="P74" s="45">
        <f>SUM(D74:O74)</f>
        <v>50865.66</v>
      </c>
      <c r="Q74" s="20" t="s">
        <v>190</v>
      </c>
      <c r="R74" s="101"/>
    </row>
    <row r="75" spans="1:18" s="3" customFormat="1" ht="12">
      <c r="A75" s="208" t="s">
        <v>275</v>
      </c>
      <c r="B75" s="209"/>
      <c r="C75" s="209"/>
      <c r="D75" s="209"/>
      <c r="E75" s="209"/>
      <c r="F75" s="209"/>
      <c r="G75" s="209"/>
      <c r="H75" s="209"/>
      <c r="I75" s="209"/>
      <c r="J75" s="209"/>
      <c r="K75" s="209"/>
      <c r="L75" s="209"/>
      <c r="M75" s="209"/>
      <c r="N75" s="209"/>
      <c r="O75" s="209"/>
      <c r="P75" s="209"/>
      <c r="Q75" s="210"/>
      <c r="R75" s="100"/>
    </row>
    <row r="76" spans="1:18" s="59" customFormat="1" ht="120">
      <c r="A76" s="170">
        <v>5.1</v>
      </c>
      <c r="B76" s="27" t="s">
        <v>179</v>
      </c>
      <c r="C76" s="34" t="s">
        <v>362</v>
      </c>
      <c r="D76" s="32">
        <f>0*1.0564</f>
        <v>0</v>
      </c>
      <c r="E76" s="32">
        <f>0*1.0564</f>
        <v>0</v>
      </c>
      <c r="F76" s="32">
        <f>0*1.0564</f>
        <v>0</v>
      </c>
      <c r="G76" s="45">
        <f>704000*1.0564</f>
        <v>743705.6</v>
      </c>
      <c r="H76" s="45">
        <f>81000*1.0564</f>
        <v>85568.4</v>
      </c>
      <c r="I76" s="32">
        <f>0*1.0564</f>
        <v>0</v>
      </c>
      <c r="J76" s="32">
        <f>0*1.0564</f>
        <v>0</v>
      </c>
      <c r="K76" s="32">
        <f>0*1.0564</f>
        <v>0</v>
      </c>
      <c r="L76" s="32">
        <f>0*1.0564</f>
        <v>0</v>
      </c>
      <c r="M76" s="45">
        <f>13000*1.0564</f>
        <v>13733.2</v>
      </c>
      <c r="N76" s="32">
        <f>0*1.0564</f>
        <v>0</v>
      </c>
      <c r="O76" s="32">
        <f>0*1.0564</f>
        <v>0</v>
      </c>
      <c r="P76" s="45">
        <f>SUM(D76:O76)</f>
        <v>843007.2</v>
      </c>
      <c r="Q76" s="27" t="s">
        <v>188</v>
      </c>
      <c r="R76" s="102"/>
    </row>
    <row r="77" spans="1:17" ht="12.75">
      <c r="A77" s="208" t="s">
        <v>276</v>
      </c>
      <c r="B77" s="209"/>
      <c r="C77" s="209"/>
      <c r="D77" s="209"/>
      <c r="E77" s="209"/>
      <c r="F77" s="209"/>
      <c r="G77" s="209"/>
      <c r="H77" s="209"/>
      <c r="I77" s="209"/>
      <c r="J77" s="209"/>
      <c r="K77" s="209"/>
      <c r="L77" s="209"/>
      <c r="M77" s="209"/>
      <c r="N77" s="209"/>
      <c r="O77" s="209"/>
      <c r="P77" s="209"/>
      <c r="Q77" s="210"/>
    </row>
    <row r="78" spans="1:18" s="87" customFormat="1" ht="76.5" customHeight="1">
      <c r="A78" s="14">
        <v>5.11</v>
      </c>
      <c r="B78" s="7" t="s">
        <v>125</v>
      </c>
      <c r="C78" s="27" t="s">
        <v>241</v>
      </c>
      <c r="D78" s="45">
        <v>200019.07004302015</v>
      </c>
      <c r="E78" s="45">
        <v>6536.100685231459</v>
      </c>
      <c r="F78" s="32">
        <v>5559.829271748371</v>
      </c>
      <c r="G78" s="32">
        <f aca="true" t="shared" si="16" ref="G78:O78">0*1.0564</f>
        <v>0</v>
      </c>
      <c r="H78" s="32">
        <f t="shared" si="16"/>
        <v>0</v>
      </c>
      <c r="I78" s="32">
        <f t="shared" si="16"/>
        <v>0</v>
      </c>
      <c r="J78" s="32">
        <f t="shared" si="16"/>
        <v>0</v>
      </c>
      <c r="K78" s="32">
        <f t="shared" si="16"/>
        <v>0</v>
      </c>
      <c r="L78" s="32">
        <f t="shared" si="16"/>
        <v>0</v>
      </c>
      <c r="M78" s="32">
        <f t="shared" si="16"/>
        <v>0</v>
      </c>
      <c r="N78" s="32">
        <f t="shared" si="16"/>
        <v>0</v>
      </c>
      <c r="O78" s="32">
        <f t="shared" si="16"/>
        <v>0</v>
      </c>
      <c r="P78" s="45">
        <f>SUM(D78:O78)</f>
        <v>212114.99999999997</v>
      </c>
      <c r="Q78" s="35" t="s">
        <v>228</v>
      </c>
      <c r="R78" s="117"/>
    </row>
    <row r="79" spans="1:18" s="2" customFormat="1" ht="12">
      <c r="A79" s="137"/>
      <c r="B79" s="129"/>
      <c r="C79" s="130"/>
      <c r="D79" s="140"/>
      <c r="E79" s="140"/>
      <c r="F79" s="140"/>
      <c r="G79" s="140"/>
      <c r="H79" s="140"/>
      <c r="I79" s="140"/>
      <c r="J79" s="140"/>
      <c r="K79" s="140"/>
      <c r="L79" s="140"/>
      <c r="M79" s="140"/>
      <c r="N79" s="140"/>
      <c r="O79" s="140"/>
      <c r="P79" s="139"/>
      <c r="Q79" s="130"/>
      <c r="R79" s="99"/>
    </row>
    <row r="80" spans="1:17" ht="27" customHeight="1">
      <c r="A80" s="216" t="s">
        <v>242</v>
      </c>
      <c r="B80" s="216"/>
      <c r="C80" s="216"/>
      <c r="D80" s="216"/>
      <c r="E80" s="216"/>
      <c r="F80" s="216"/>
      <c r="G80" s="216"/>
      <c r="H80" s="216"/>
      <c r="I80" s="216"/>
      <c r="J80" s="216"/>
      <c r="K80" s="216"/>
      <c r="L80" s="216"/>
      <c r="M80" s="216"/>
      <c r="N80" s="216"/>
      <c r="O80" s="216"/>
      <c r="P80" s="216"/>
      <c r="Q80" s="216"/>
    </row>
    <row r="82" ht="12.75">
      <c r="A82" s="63" t="s">
        <v>103</v>
      </c>
    </row>
    <row r="84" spans="1:3" ht="26.25" thickBot="1">
      <c r="A84" s="194" t="s">
        <v>376</v>
      </c>
      <c r="B84" s="61" t="s">
        <v>101</v>
      </c>
      <c r="C84" s="61" t="s">
        <v>102</v>
      </c>
    </row>
    <row r="85" spans="1:4" ht="12.75">
      <c r="A85">
        <v>2005</v>
      </c>
      <c r="B85" s="80">
        <v>0.2936</v>
      </c>
      <c r="C85" s="80">
        <v>0.0564</v>
      </c>
      <c r="D85" t="s">
        <v>324</v>
      </c>
    </row>
    <row r="86" spans="1:3" ht="12.75">
      <c r="A86">
        <v>2006</v>
      </c>
      <c r="B86" s="80">
        <v>0.1178</v>
      </c>
      <c r="C86" s="80">
        <v>-0.0415</v>
      </c>
    </row>
    <row r="87" spans="1:3" ht="12.75">
      <c r="A87">
        <v>2007</v>
      </c>
      <c r="B87" s="80">
        <v>0.098</v>
      </c>
      <c r="C87" s="80">
        <v>-0.0794</v>
      </c>
    </row>
    <row r="88" spans="1:3" ht="12.75">
      <c r="A88">
        <v>2008</v>
      </c>
      <c r="B88" s="80">
        <v>0.0794</v>
      </c>
      <c r="C88" s="80">
        <v>-0.1033</v>
      </c>
    </row>
    <row r="89" spans="1:3" ht="12.75">
      <c r="A89">
        <v>2009</v>
      </c>
      <c r="B89" s="80">
        <v>0.0673</v>
      </c>
      <c r="C89" s="80">
        <v>-0.2521</v>
      </c>
    </row>
    <row r="90" spans="1:2" ht="12.75">
      <c r="A90">
        <v>2010</v>
      </c>
      <c r="B90" t="s">
        <v>375</v>
      </c>
    </row>
  </sheetData>
  <mergeCells count="11">
    <mergeCell ref="A1:Q1"/>
    <mergeCell ref="A3:Q3"/>
    <mergeCell ref="C5:P5"/>
    <mergeCell ref="A17:Q17"/>
    <mergeCell ref="A80:Q80"/>
    <mergeCell ref="A75:Q75"/>
    <mergeCell ref="A77:Q77"/>
    <mergeCell ref="A31:Q31"/>
    <mergeCell ref="A59:Q59"/>
    <mergeCell ref="A63:Q63"/>
    <mergeCell ref="A70:Q70"/>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2" manualBreakCount="2">
    <brk id="58" max="255" man="1"/>
    <brk id="74" max="255" man="1"/>
  </rowBreaks>
</worksheet>
</file>

<file path=xl/worksheets/sheet4.xml><?xml version="1.0" encoding="utf-8"?>
<worksheet xmlns="http://schemas.openxmlformats.org/spreadsheetml/2006/main" xmlns:r="http://schemas.openxmlformats.org/officeDocument/2006/relationships">
  <dimension ref="A1:R89"/>
  <sheetViews>
    <sheetView zoomScale="75" zoomScaleNormal="75" workbookViewId="0" topLeftCell="A11">
      <selection activeCell="G21" sqref="G21"/>
    </sheetView>
  </sheetViews>
  <sheetFormatPr defaultColWidth="9.140625" defaultRowHeight="12.75"/>
  <cols>
    <col min="1" max="1" width="12.28125" style="0" customWidth="1"/>
    <col min="2" max="2" width="20.00390625" style="0" customWidth="1"/>
    <col min="3" max="3" width="16.140625" style="0" customWidth="1"/>
    <col min="4" max="4" width="9.8515625" style="0" bestFit="1" customWidth="1"/>
    <col min="6" max="6" width="8.7109375" style="0" customWidth="1"/>
    <col min="9" max="9" width="9.8515625" style="0" customWidth="1"/>
    <col min="10" max="10" width="9.28125" style="0" customWidth="1"/>
    <col min="11" max="11" width="9.8515625" style="0" customWidth="1"/>
    <col min="12" max="12" width="9.57421875" style="0" customWidth="1"/>
    <col min="14" max="14" width="9.28125" style="0" customWidth="1"/>
    <col min="15" max="15" width="9.8515625" style="0" customWidth="1"/>
    <col min="16" max="16" width="11.00390625" style="48" customWidth="1"/>
    <col min="17" max="17" width="19.421875" style="0" customWidth="1"/>
    <col min="20" max="20" width="11.57421875" style="0" bestFit="1"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1"/>
      <c r="G2" s="1"/>
      <c r="H2" s="1"/>
      <c r="I2" s="1"/>
      <c r="J2" s="1"/>
      <c r="K2" s="1"/>
      <c r="L2" s="1"/>
      <c r="M2" s="1"/>
      <c r="N2" s="1"/>
      <c r="O2" s="1"/>
      <c r="P2" s="47"/>
    </row>
    <row r="3" spans="1:17" ht="18">
      <c r="A3" s="211" t="s">
        <v>82</v>
      </c>
      <c r="B3" s="211"/>
      <c r="C3" s="211"/>
      <c r="D3" s="211"/>
      <c r="E3" s="211"/>
      <c r="F3" s="211"/>
      <c r="G3" s="211"/>
      <c r="H3" s="211"/>
      <c r="I3" s="211"/>
      <c r="J3" s="211"/>
      <c r="K3" s="211"/>
      <c r="L3" s="211"/>
      <c r="M3" s="211"/>
      <c r="N3" s="211"/>
      <c r="O3" s="211"/>
      <c r="P3" s="211"/>
      <c r="Q3" s="211"/>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78" t="s">
        <v>5</v>
      </c>
      <c r="G6" s="178" t="s">
        <v>6</v>
      </c>
      <c r="H6" s="178" t="s">
        <v>8</v>
      </c>
      <c r="I6" s="178" t="s">
        <v>7</v>
      </c>
      <c r="J6" s="178" t="s">
        <v>9</v>
      </c>
      <c r="K6" s="178" t="s">
        <v>10</v>
      </c>
      <c r="L6" s="178" t="s">
        <v>11</v>
      </c>
      <c r="M6" s="178" t="s">
        <v>12</v>
      </c>
      <c r="N6" s="178" t="s">
        <v>13</v>
      </c>
      <c r="O6" s="178" t="s">
        <v>14</v>
      </c>
      <c r="P6" s="181" t="s">
        <v>16</v>
      </c>
      <c r="Q6" s="174" t="s">
        <v>15</v>
      </c>
    </row>
    <row r="7" spans="1:17" s="3" customFormat="1" ht="12">
      <c r="A7" s="19" t="s">
        <v>40</v>
      </c>
      <c r="B7" s="15"/>
      <c r="C7" s="16"/>
      <c r="D7" s="17"/>
      <c r="E7" s="17"/>
      <c r="F7" s="17"/>
      <c r="G7" s="17"/>
      <c r="H7" s="17"/>
      <c r="I7" s="17"/>
      <c r="J7" s="17"/>
      <c r="K7" s="17"/>
      <c r="L7" s="17"/>
      <c r="M7" s="17"/>
      <c r="N7" s="17"/>
      <c r="O7" s="17"/>
      <c r="P7" s="49"/>
      <c r="Q7" s="18"/>
    </row>
    <row r="8" spans="1:17" s="58" customFormat="1" ht="48">
      <c r="A8" s="38" t="s">
        <v>41</v>
      </c>
      <c r="B8" s="27" t="s">
        <v>42</v>
      </c>
      <c r="C8" s="27" t="s">
        <v>43</v>
      </c>
      <c r="D8" s="45">
        <f>40*1.0206</f>
        <v>40.824</v>
      </c>
      <c r="E8" s="45">
        <f>48*1.0206</f>
        <v>48.9888</v>
      </c>
      <c r="F8" s="45">
        <f>38*1.0206</f>
        <v>38.782799999999995</v>
      </c>
      <c r="G8" s="45">
        <f>40*1.0206</f>
        <v>40.824</v>
      </c>
      <c r="H8" s="45">
        <f>25*1.0206</f>
        <v>25.515</v>
      </c>
      <c r="I8" s="45">
        <f>37*1.0206</f>
        <v>37.7622</v>
      </c>
      <c r="J8" s="45">
        <f>49*1.0206</f>
        <v>50.0094</v>
      </c>
      <c r="K8" s="45">
        <f>94*1.0206</f>
        <v>95.93639999999999</v>
      </c>
      <c r="L8" s="45">
        <f>119*1.0206</f>
        <v>121.45139999999999</v>
      </c>
      <c r="M8" s="45">
        <f>62*1.0206</f>
        <v>63.27719999999999</v>
      </c>
      <c r="N8" s="45">
        <f>50*1.0206</f>
        <v>51.03</v>
      </c>
      <c r="O8" s="45">
        <f>46*1.0206</f>
        <v>46.947599999999994</v>
      </c>
      <c r="P8" s="45">
        <f>SUM(D8:O8)</f>
        <v>661.3487999999999</v>
      </c>
      <c r="Q8" s="38" t="s">
        <v>163</v>
      </c>
    </row>
    <row r="9" spans="1:17" s="3" customFormat="1" ht="12">
      <c r="A9" s="19" t="s">
        <v>245</v>
      </c>
      <c r="B9" s="15"/>
      <c r="C9" s="16"/>
      <c r="D9" s="17"/>
      <c r="E9" s="17"/>
      <c r="F9" s="17"/>
      <c r="G9" s="17"/>
      <c r="H9" s="17"/>
      <c r="I9" s="17"/>
      <c r="J9" s="17"/>
      <c r="K9" s="17"/>
      <c r="L9" s="17"/>
      <c r="M9" s="17"/>
      <c r="N9" s="17"/>
      <c r="O9" s="17"/>
      <c r="P9" s="49"/>
      <c r="Q9" s="18"/>
    </row>
    <row r="10" spans="1:17" s="58"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row>
    <row r="11" spans="1:17" s="3" customFormat="1" ht="12">
      <c r="A11" s="19" t="s">
        <v>247</v>
      </c>
      <c r="B11" s="15"/>
      <c r="C11" s="16"/>
      <c r="D11" s="17"/>
      <c r="E11" s="17"/>
      <c r="F11" s="17"/>
      <c r="G11" s="17"/>
      <c r="H11" s="17"/>
      <c r="I11" s="17"/>
      <c r="J11" s="17"/>
      <c r="K11" s="17"/>
      <c r="L11" s="17"/>
      <c r="M11" s="17"/>
      <c r="N11" s="17"/>
      <c r="O11" s="17"/>
      <c r="P11" s="49"/>
      <c r="Q11" s="18"/>
    </row>
    <row r="12" spans="1:17" s="3" customFormat="1" ht="24">
      <c r="A12" s="24" t="s">
        <v>248</v>
      </c>
      <c r="B12" s="24" t="s">
        <v>148</v>
      </c>
      <c r="C12" s="24" t="s">
        <v>44</v>
      </c>
      <c r="D12" s="69">
        <v>5</v>
      </c>
      <c r="E12" s="69">
        <v>4</v>
      </c>
      <c r="F12" s="69">
        <v>5</v>
      </c>
      <c r="G12" s="69">
        <v>5</v>
      </c>
      <c r="H12" s="69">
        <v>4</v>
      </c>
      <c r="I12" s="69">
        <v>5</v>
      </c>
      <c r="J12" s="69">
        <v>4</v>
      </c>
      <c r="K12" s="69">
        <v>5</v>
      </c>
      <c r="L12" s="69">
        <v>4</v>
      </c>
      <c r="M12" s="69">
        <v>5</v>
      </c>
      <c r="N12" s="69">
        <v>4</v>
      </c>
      <c r="O12" s="69">
        <v>5</v>
      </c>
      <c r="P12" s="45">
        <f>SUM(D12:O12)</f>
        <v>55</v>
      </c>
      <c r="Q12" s="28" t="s">
        <v>79</v>
      </c>
    </row>
    <row r="13" spans="1:17"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43">
        <f>SUM(D13:O13)</f>
        <v>251</v>
      </c>
      <c r="Q13" s="28" t="s">
        <v>64</v>
      </c>
    </row>
    <row r="14" spans="1:17" s="3" customFormat="1" ht="12">
      <c r="A14" s="24" t="s">
        <v>250</v>
      </c>
      <c r="B14" s="38" t="s">
        <v>63</v>
      </c>
      <c r="C14" s="24" t="s">
        <v>44</v>
      </c>
      <c r="D14" s="69">
        <v>0</v>
      </c>
      <c r="E14" s="69">
        <v>0</v>
      </c>
      <c r="F14" s="69">
        <v>1</v>
      </c>
      <c r="G14" s="69">
        <v>0</v>
      </c>
      <c r="H14" s="69">
        <v>0</v>
      </c>
      <c r="I14" s="69">
        <v>1</v>
      </c>
      <c r="J14" s="69">
        <v>0</v>
      </c>
      <c r="K14" s="69">
        <v>0</v>
      </c>
      <c r="L14" s="69">
        <v>1</v>
      </c>
      <c r="M14" s="69">
        <v>0</v>
      </c>
      <c r="N14" s="69">
        <v>0</v>
      </c>
      <c r="O14" s="69">
        <v>1</v>
      </c>
      <c r="P14" s="43">
        <f>SUM(D14:O14)</f>
        <v>4</v>
      </c>
      <c r="Q14" s="28" t="s">
        <v>78</v>
      </c>
    </row>
    <row r="15" spans="1:17" s="3" customFormat="1" ht="12">
      <c r="A15" s="19" t="s">
        <v>251</v>
      </c>
      <c r="B15" s="15"/>
      <c r="C15" s="16"/>
      <c r="D15" s="17"/>
      <c r="E15" s="17"/>
      <c r="F15" s="17"/>
      <c r="G15" s="17"/>
      <c r="H15" s="17"/>
      <c r="I15" s="17"/>
      <c r="J15" s="17"/>
      <c r="K15" s="17"/>
      <c r="L15" s="17"/>
      <c r="M15" s="17"/>
      <c r="N15" s="17"/>
      <c r="O15" s="17"/>
      <c r="P15" s="49"/>
      <c r="Q15" s="66"/>
    </row>
    <row r="16" spans="1:17" s="85" customFormat="1" ht="24">
      <c r="A16" s="84">
        <v>5.4</v>
      </c>
      <c r="B16" s="34" t="s">
        <v>45</v>
      </c>
      <c r="C16" s="27" t="s">
        <v>46</v>
      </c>
      <c r="D16" s="45">
        <v>1101703.6661999999</v>
      </c>
      <c r="E16" s="45">
        <v>762388.1196</v>
      </c>
      <c r="F16" s="45">
        <v>684403.27</v>
      </c>
      <c r="G16" s="45">
        <v>718974.9378</v>
      </c>
      <c r="H16" s="45">
        <v>666502.83</v>
      </c>
      <c r="I16" s="45">
        <v>865814.7834</v>
      </c>
      <c r="J16" s="45">
        <v>1095032.358</v>
      </c>
      <c r="K16" s="45">
        <v>1437471.2141999998</v>
      </c>
      <c r="L16" s="45">
        <v>1178779.7322</v>
      </c>
      <c r="M16" s="45">
        <v>1062935.5085999998</v>
      </c>
      <c r="N16" s="45">
        <v>715082.3694</v>
      </c>
      <c r="O16" s="45">
        <v>737101.8144</v>
      </c>
      <c r="P16" s="45">
        <f>SUM(D16:O16)</f>
        <v>11026190.6038</v>
      </c>
      <c r="Q16" s="7" t="s">
        <v>231</v>
      </c>
    </row>
    <row r="17" spans="1:17" s="3" customFormat="1" ht="12">
      <c r="A17" s="171" t="s">
        <v>252</v>
      </c>
      <c r="B17" s="172"/>
      <c r="C17" s="172"/>
      <c r="D17" s="172"/>
      <c r="E17" s="172"/>
      <c r="F17" s="172"/>
      <c r="G17" s="172"/>
      <c r="H17" s="172"/>
      <c r="I17" s="172"/>
      <c r="J17" s="172"/>
      <c r="K17" s="172"/>
      <c r="L17" s="172"/>
      <c r="M17" s="172"/>
      <c r="N17" s="172"/>
      <c r="O17" s="172"/>
      <c r="P17" s="172"/>
      <c r="Q17" s="173"/>
    </row>
    <row r="18" spans="1:17" s="2" customFormat="1" ht="12">
      <c r="A18" s="4" t="s">
        <v>21</v>
      </c>
      <c r="B18" s="5" t="s">
        <v>18</v>
      </c>
      <c r="C18" s="40"/>
      <c r="D18" s="41"/>
      <c r="E18" s="41"/>
      <c r="F18" s="41"/>
      <c r="G18" s="41"/>
      <c r="H18" s="41"/>
      <c r="I18" s="41"/>
      <c r="J18" s="41"/>
      <c r="K18" s="41"/>
      <c r="L18" s="41"/>
      <c r="M18" s="41"/>
      <c r="N18" s="41"/>
      <c r="O18" s="41"/>
      <c r="P18" s="50"/>
      <c r="Q18" s="40"/>
    </row>
    <row r="19" spans="1:17" s="2" customFormat="1" ht="12">
      <c r="A19" s="21" t="s">
        <v>253</v>
      </c>
      <c r="B19" s="5" t="s">
        <v>149</v>
      </c>
      <c r="C19" s="40"/>
      <c r="D19" s="40"/>
      <c r="E19" s="40"/>
      <c r="F19" s="40"/>
      <c r="G19" s="40"/>
      <c r="H19" s="40"/>
      <c r="I19" s="40"/>
      <c r="J19" s="40"/>
      <c r="K19" s="40"/>
      <c r="L19" s="40"/>
      <c r="M19" s="40"/>
      <c r="N19" s="40"/>
      <c r="O19" s="40"/>
      <c r="P19" s="40"/>
      <c r="Q19" s="40"/>
    </row>
    <row r="20" spans="1:17" s="2" customFormat="1" ht="94.5" customHeight="1">
      <c r="A20" s="21" t="s">
        <v>254</v>
      </c>
      <c r="B20" s="5" t="s">
        <v>110</v>
      </c>
      <c r="C20" s="26" t="s">
        <v>47</v>
      </c>
      <c r="D20" s="33">
        <f>SUM(1296435-405729)*1.0206</f>
        <v>909054.5436</v>
      </c>
      <c r="E20" s="32">
        <f>SUM(449679-244553)*1.0206</f>
        <v>209351.5956</v>
      </c>
      <c r="F20" s="32">
        <f>SUM(388867-336477)*1.0206</f>
        <v>53469.234</v>
      </c>
      <c r="G20" s="32">
        <f>SUM(1445049-1074307)*1.0206</f>
        <v>378379.2852</v>
      </c>
      <c r="H20" s="32">
        <f>SUM(1264420-264518)*1.0206</f>
        <v>1020499.9811999999</v>
      </c>
      <c r="I20" s="32">
        <f>SUM(2589793-404032)*1.0206</f>
        <v>2230787.6766</v>
      </c>
      <c r="J20" s="32">
        <f>SUM(3678085-1946422)*1.0206</f>
        <v>1767335.2578</v>
      </c>
      <c r="K20" s="32">
        <f>SUM(5989065-228581)*1.0206</f>
        <v>5879149.9704</v>
      </c>
      <c r="L20" s="32">
        <f>SUM(2184796-997940)*1.0206</f>
        <v>1211305.2336</v>
      </c>
      <c r="M20" s="32">
        <f>SUM(755861-349997)*1.0206</f>
        <v>414224.79839999997</v>
      </c>
      <c r="N20" s="32">
        <f>SUM(587904-338177)*1.0206</f>
        <v>254871.3762</v>
      </c>
      <c r="O20" s="32">
        <f>SUM(1751329-205959)*1.0206</f>
        <v>1577204.622</v>
      </c>
      <c r="P20" s="51">
        <f>SUM(D20:O20)</f>
        <v>15905633.574599998</v>
      </c>
      <c r="Q20" s="5"/>
    </row>
    <row r="21" spans="1:17" s="2" customFormat="1" ht="84" customHeight="1">
      <c r="A21" s="21" t="s">
        <v>254</v>
      </c>
      <c r="B21" s="5" t="s">
        <v>110</v>
      </c>
      <c r="C21" s="26" t="s">
        <v>48</v>
      </c>
      <c r="D21" s="8" t="s">
        <v>59</v>
      </c>
      <c r="E21" s="8" t="s">
        <v>59</v>
      </c>
      <c r="F21" s="8" t="s">
        <v>59</v>
      </c>
      <c r="G21" s="8" t="s">
        <v>59</v>
      </c>
      <c r="H21" s="8" t="s">
        <v>59</v>
      </c>
      <c r="I21" s="8" t="s">
        <v>59</v>
      </c>
      <c r="J21" s="8" t="s">
        <v>59</v>
      </c>
      <c r="K21" s="8" t="s">
        <v>59</v>
      </c>
      <c r="L21" s="8" t="s">
        <v>59</v>
      </c>
      <c r="M21" s="8" t="s">
        <v>59</v>
      </c>
      <c r="N21" s="8" t="s">
        <v>59</v>
      </c>
      <c r="O21" s="8" t="s">
        <v>59</v>
      </c>
      <c r="P21" s="46" t="s">
        <v>59</v>
      </c>
      <c r="Q21" s="7" t="s">
        <v>170</v>
      </c>
    </row>
    <row r="22" spans="1:17" s="2" customFormat="1" ht="60">
      <c r="A22" s="21" t="s">
        <v>254</v>
      </c>
      <c r="B22" s="5" t="s">
        <v>110</v>
      </c>
      <c r="C22" s="27" t="s">
        <v>144</v>
      </c>
      <c r="D22" s="8" t="s">
        <v>59</v>
      </c>
      <c r="E22" s="8" t="s">
        <v>59</v>
      </c>
      <c r="F22" s="8" t="s">
        <v>59</v>
      </c>
      <c r="G22" s="8" t="s">
        <v>59</v>
      </c>
      <c r="H22" s="8" t="s">
        <v>59</v>
      </c>
      <c r="I22" s="8" t="s">
        <v>59</v>
      </c>
      <c r="J22" s="8" t="s">
        <v>59</v>
      </c>
      <c r="K22" s="8" t="s">
        <v>59</v>
      </c>
      <c r="L22" s="8" t="s">
        <v>59</v>
      </c>
      <c r="M22" s="8" t="s">
        <v>59</v>
      </c>
      <c r="N22" s="8" t="s">
        <v>59</v>
      </c>
      <c r="O22" s="8" t="s">
        <v>59</v>
      </c>
      <c r="P22" s="46" t="s">
        <v>59</v>
      </c>
      <c r="Q22" s="5"/>
    </row>
    <row r="23" spans="1:17" s="2" customFormat="1" ht="84">
      <c r="A23" s="21" t="s">
        <v>254</v>
      </c>
      <c r="B23" s="5" t="s">
        <v>110</v>
      </c>
      <c r="C23" s="26" t="s">
        <v>49</v>
      </c>
      <c r="D23" s="8" t="s">
        <v>59</v>
      </c>
      <c r="E23" s="8" t="s">
        <v>59</v>
      </c>
      <c r="F23" s="8" t="s">
        <v>59</v>
      </c>
      <c r="G23" s="8" t="s">
        <v>59</v>
      </c>
      <c r="H23" s="8" t="s">
        <v>59</v>
      </c>
      <c r="I23" s="8" t="s">
        <v>59</v>
      </c>
      <c r="J23" s="8" t="s">
        <v>59</v>
      </c>
      <c r="K23" s="8" t="s">
        <v>59</v>
      </c>
      <c r="L23" s="8" t="s">
        <v>59</v>
      </c>
      <c r="M23" s="8" t="s">
        <v>59</v>
      </c>
      <c r="N23" s="8" t="s">
        <v>59</v>
      </c>
      <c r="O23" s="8" t="s">
        <v>59</v>
      </c>
      <c r="P23" s="46" t="s">
        <v>59</v>
      </c>
      <c r="Q23" s="7" t="s">
        <v>200</v>
      </c>
    </row>
    <row r="24" spans="1:17" s="2" customFormat="1" ht="96">
      <c r="A24" s="21" t="s">
        <v>254</v>
      </c>
      <c r="B24" s="5" t="s">
        <v>110</v>
      </c>
      <c r="C24" s="26" t="s">
        <v>50</v>
      </c>
      <c r="D24" s="8" t="s">
        <v>59</v>
      </c>
      <c r="E24" s="8" t="s">
        <v>59</v>
      </c>
      <c r="F24" s="8" t="s">
        <v>59</v>
      </c>
      <c r="G24" s="8" t="s">
        <v>59</v>
      </c>
      <c r="H24" s="8" t="s">
        <v>59</v>
      </c>
      <c r="I24" s="8" t="s">
        <v>59</v>
      </c>
      <c r="J24" s="8" t="s">
        <v>59</v>
      </c>
      <c r="K24" s="8" t="s">
        <v>59</v>
      </c>
      <c r="L24" s="8" t="s">
        <v>59</v>
      </c>
      <c r="M24" s="8" t="s">
        <v>59</v>
      </c>
      <c r="N24" s="8" t="s">
        <v>59</v>
      </c>
      <c r="O24" s="8" t="s">
        <v>59</v>
      </c>
      <c r="P24" s="46" t="s">
        <v>59</v>
      </c>
      <c r="Q24" s="5" t="s">
        <v>88</v>
      </c>
    </row>
    <row r="25" spans="1:17" s="2" customFormat="1" ht="120">
      <c r="A25" s="21" t="s">
        <v>254</v>
      </c>
      <c r="B25" s="5" t="s">
        <v>110</v>
      </c>
      <c r="C25" s="26" t="s">
        <v>51</v>
      </c>
      <c r="D25" s="8" t="s">
        <v>59</v>
      </c>
      <c r="E25" s="8" t="s">
        <v>59</v>
      </c>
      <c r="F25" s="8" t="s">
        <v>59</v>
      </c>
      <c r="G25" s="8" t="s">
        <v>59</v>
      </c>
      <c r="H25" s="8" t="s">
        <v>59</v>
      </c>
      <c r="I25" s="8" t="s">
        <v>59</v>
      </c>
      <c r="J25" s="8" t="s">
        <v>59</v>
      </c>
      <c r="K25" s="8" t="s">
        <v>59</v>
      </c>
      <c r="L25" s="8" t="s">
        <v>59</v>
      </c>
      <c r="M25" s="8" t="s">
        <v>59</v>
      </c>
      <c r="N25" s="8" t="s">
        <v>59</v>
      </c>
      <c r="O25" s="8" t="s">
        <v>59</v>
      </c>
      <c r="P25" s="46" t="s">
        <v>59</v>
      </c>
      <c r="Q25" s="5" t="s">
        <v>84</v>
      </c>
    </row>
    <row r="26" spans="1:17" s="2" customFormat="1" ht="84">
      <c r="A26" s="21" t="s">
        <v>254</v>
      </c>
      <c r="B26" s="5" t="s">
        <v>110</v>
      </c>
      <c r="C26" s="27" t="s">
        <v>75</v>
      </c>
      <c r="D26" s="8" t="s">
        <v>59</v>
      </c>
      <c r="E26" s="8" t="s">
        <v>59</v>
      </c>
      <c r="F26" s="8" t="s">
        <v>59</v>
      </c>
      <c r="G26" s="8" t="s">
        <v>59</v>
      </c>
      <c r="H26" s="8" t="s">
        <v>59</v>
      </c>
      <c r="I26" s="8" t="s">
        <v>59</v>
      </c>
      <c r="J26" s="8" t="s">
        <v>59</v>
      </c>
      <c r="K26" s="8" t="s">
        <v>59</v>
      </c>
      <c r="L26" s="8" t="s">
        <v>59</v>
      </c>
      <c r="M26" s="8" t="s">
        <v>59</v>
      </c>
      <c r="N26" s="8" t="s">
        <v>59</v>
      </c>
      <c r="O26" s="8" t="s">
        <v>59</v>
      </c>
      <c r="P26" s="46" t="s">
        <v>59</v>
      </c>
      <c r="Q26" s="26" t="s">
        <v>85</v>
      </c>
    </row>
    <row r="27" spans="1:17" s="2" customFormat="1" ht="36">
      <c r="A27" s="109" t="s">
        <v>255</v>
      </c>
      <c r="B27" s="110"/>
      <c r="C27" s="111"/>
      <c r="D27" s="113">
        <f aca="true" t="shared" si="0" ref="D27:O27">SUM(D20:D26)</f>
        <v>909054.5436</v>
      </c>
      <c r="E27" s="113">
        <f t="shared" si="0"/>
        <v>209351.5956</v>
      </c>
      <c r="F27" s="113">
        <f t="shared" si="0"/>
        <v>53469.234</v>
      </c>
      <c r="G27" s="113">
        <f t="shared" si="0"/>
        <v>378379.2852</v>
      </c>
      <c r="H27" s="113">
        <f t="shared" si="0"/>
        <v>1020499.9811999999</v>
      </c>
      <c r="I27" s="113">
        <f t="shared" si="0"/>
        <v>2230787.6766</v>
      </c>
      <c r="J27" s="113">
        <f t="shared" si="0"/>
        <v>1767335.2578</v>
      </c>
      <c r="K27" s="113">
        <f t="shared" si="0"/>
        <v>5879149.9704</v>
      </c>
      <c r="L27" s="113">
        <f t="shared" si="0"/>
        <v>1211305.2336</v>
      </c>
      <c r="M27" s="113">
        <f t="shared" si="0"/>
        <v>414224.79839999997</v>
      </c>
      <c r="N27" s="113">
        <f t="shared" si="0"/>
        <v>254871.3762</v>
      </c>
      <c r="O27" s="113">
        <f t="shared" si="0"/>
        <v>1577204.622</v>
      </c>
      <c r="P27" s="113">
        <f>SUM(D27:O27)</f>
        <v>15905633.574599998</v>
      </c>
      <c r="Q27" s="111" t="s">
        <v>277</v>
      </c>
    </row>
    <row r="28" spans="1:17" s="2" customFormat="1" ht="48">
      <c r="A28" s="21" t="s">
        <v>256</v>
      </c>
      <c r="B28" s="5" t="s">
        <v>30</v>
      </c>
      <c r="C28" s="5" t="s">
        <v>99</v>
      </c>
      <c r="D28" s="8" t="s">
        <v>59</v>
      </c>
      <c r="E28" s="8" t="s">
        <v>59</v>
      </c>
      <c r="F28" s="8" t="s">
        <v>59</v>
      </c>
      <c r="G28" s="8" t="s">
        <v>59</v>
      </c>
      <c r="H28" s="8" t="s">
        <v>59</v>
      </c>
      <c r="I28" s="8" t="s">
        <v>59</v>
      </c>
      <c r="J28" s="8" t="s">
        <v>59</v>
      </c>
      <c r="K28" s="8" t="s">
        <v>59</v>
      </c>
      <c r="L28" s="8" t="s">
        <v>59</v>
      </c>
      <c r="M28" s="8" t="s">
        <v>59</v>
      </c>
      <c r="N28" s="8" t="s">
        <v>59</v>
      </c>
      <c r="O28" s="8" t="s">
        <v>59</v>
      </c>
      <c r="P28" s="46" t="s">
        <v>59</v>
      </c>
      <c r="Q28" s="7" t="s">
        <v>358</v>
      </c>
    </row>
    <row r="29" spans="1:17" s="11" customFormat="1" ht="36" customHeight="1">
      <c r="A29" s="23" t="s">
        <v>257</v>
      </c>
      <c r="B29" s="7" t="s">
        <v>111</v>
      </c>
      <c r="C29" s="34" t="s">
        <v>61</v>
      </c>
      <c r="D29" s="32">
        <f>23*1.0206</f>
        <v>23.473799999999997</v>
      </c>
      <c r="E29" s="32">
        <f>24*1.0206</f>
        <v>24.4944</v>
      </c>
      <c r="F29" s="32">
        <f>236*1.0206</f>
        <v>240.86159999999998</v>
      </c>
      <c r="G29" s="32">
        <f>31*1.0206</f>
        <v>31.638599999999997</v>
      </c>
      <c r="H29" s="32">
        <f>67*1.0206</f>
        <v>68.3802</v>
      </c>
      <c r="I29" s="32">
        <f>90*1.0206</f>
        <v>91.854</v>
      </c>
      <c r="J29" s="32">
        <f>109*1.0206</f>
        <v>111.24539999999999</v>
      </c>
      <c r="K29" s="32">
        <f>285*1.0206</f>
        <v>290.871</v>
      </c>
      <c r="L29" s="32">
        <f>113*1.0206</f>
        <v>115.3278</v>
      </c>
      <c r="M29" s="32">
        <f>15*1.0206</f>
        <v>15.309</v>
      </c>
      <c r="N29" s="32">
        <f>35*1.0206</f>
        <v>35.721</v>
      </c>
      <c r="O29" s="32">
        <f>234*1.0206</f>
        <v>238.82039999999998</v>
      </c>
      <c r="P29" s="45">
        <f>SUM(D29:O29)</f>
        <v>1287.9972</v>
      </c>
      <c r="Q29" s="7" t="s">
        <v>168</v>
      </c>
    </row>
    <row r="30" spans="1:17" s="2" customFormat="1" ht="60" customHeight="1">
      <c r="A30" s="4" t="s">
        <v>23</v>
      </c>
      <c r="B30" s="5" t="s">
        <v>19</v>
      </c>
      <c r="C30" s="26" t="s">
        <v>52</v>
      </c>
      <c r="D30" s="46">
        <f>D27</f>
        <v>909054.5436</v>
      </c>
      <c r="E30" s="46">
        <f aca="true" t="shared" si="1" ref="E30:O30">E27</f>
        <v>209351.5956</v>
      </c>
      <c r="F30" s="46">
        <f t="shared" si="1"/>
        <v>53469.234</v>
      </c>
      <c r="G30" s="46">
        <f t="shared" si="1"/>
        <v>378379.2852</v>
      </c>
      <c r="H30" s="46">
        <f t="shared" si="1"/>
        <v>1020499.9811999999</v>
      </c>
      <c r="I30" s="46">
        <f t="shared" si="1"/>
        <v>2230787.6766</v>
      </c>
      <c r="J30" s="46">
        <f t="shared" si="1"/>
        <v>1767335.2578</v>
      </c>
      <c r="K30" s="46">
        <f t="shared" si="1"/>
        <v>5879149.9704</v>
      </c>
      <c r="L30" s="46">
        <f t="shared" si="1"/>
        <v>1211305.2336</v>
      </c>
      <c r="M30" s="46">
        <f t="shared" si="1"/>
        <v>414224.79839999997</v>
      </c>
      <c r="N30" s="46">
        <f t="shared" si="1"/>
        <v>254871.3762</v>
      </c>
      <c r="O30" s="46">
        <f t="shared" si="1"/>
        <v>1577204.622</v>
      </c>
      <c r="P30" s="45">
        <f>SUM(D30:O30)</f>
        <v>15905633.574599998</v>
      </c>
      <c r="Q30" s="7"/>
    </row>
    <row r="31" spans="1:17" s="3" customFormat="1" ht="12">
      <c r="A31" s="208" t="s">
        <v>258</v>
      </c>
      <c r="B31" s="209"/>
      <c r="C31" s="209"/>
      <c r="D31" s="209"/>
      <c r="E31" s="209"/>
      <c r="F31" s="209"/>
      <c r="G31" s="209"/>
      <c r="H31" s="209"/>
      <c r="I31" s="209"/>
      <c r="J31" s="209"/>
      <c r="K31" s="209"/>
      <c r="L31" s="209"/>
      <c r="M31" s="209"/>
      <c r="N31" s="209"/>
      <c r="O31" s="209"/>
      <c r="P31" s="209"/>
      <c r="Q31" s="210"/>
    </row>
    <row r="32" spans="1:17" s="59" customFormat="1" ht="73.5" customHeight="1">
      <c r="A32" s="32" t="s">
        <v>24</v>
      </c>
      <c r="B32" s="27" t="s">
        <v>112</v>
      </c>
      <c r="C32" s="27" t="s">
        <v>53</v>
      </c>
      <c r="D32" s="32">
        <f>SUM(D20:D26)</f>
        <v>909054.5436</v>
      </c>
      <c r="E32" s="32">
        <f aca="true" t="shared" si="2" ref="E32:O32">SUM(E20:E26)</f>
        <v>209351.5956</v>
      </c>
      <c r="F32" s="32">
        <f t="shared" si="2"/>
        <v>53469.234</v>
      </c>
      <c r="G32" s="32">
        <f t="shared" si="2"/>
        <v>378379.2852</v>
      </c>
      <c r="H32" s="32">
        <f t="shared" si="2"/>
        <v>1020499.9811999999</v>
      </c>
      <c r="I32" s="32">
        <f t="shared" si="2"/>
        <v>2230787.6766</v>
      </c>
      <c r="J32" s="32">
        <f t="shared" si="2"/>
        <v>1767335.2578</v>
      </c>
      <c r="K32" s="32">
        <f t="shared" si="2"/>
        <v>5879149.9704</v>
      </c>
      <c r="L32" s="32">
        <f t="shared" si="2"/>
        <v>1211305.2336</v>
      </c>
      <c r="M32" s="32">
        <f t="shared" si="2"/>
        <v>414224.79839999997</v>
      </c>
      <c r="N32" s="32">
        <f t="shared" si="2"/>
        <v>254871.3762</v>
      </c>
      <c r="O32" s="32">
        <f t="shared" si="2"/>
        <v>1577204.622</v>
      </c>
      <c r="P32" s="45">
        <f>SUM(D32:O32)</f>
        <v>15905633.574599998</v>
      </c>
      <c r="Q32" s="27" t="s">
        <v>288</v>
      </c>
    </row>
    <row r="33" spans="1:17" s="59" customFormat="1" ht="37.5" customHeight="1">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row>
    <row r="34" spans="1:17" s="2" customFormat="1" ht="13.5" customHeight="1">
      <c r="A34" s="4" t="s">
        <v>115</v>
      </c>
      <c r="B34" s="5" t="s">
        <v>20</v>
      </c>
      <c r="C34" s="40"/>
      <c r="D34" s="41"/>
      <c r="E34" s="41"/>
      <c r="F34" s="41"/>
      <c r="G34" s="41"/>
      <c r="H34" s="41"/>
      <c r="I34" s="41"/>
      <c r="J34" s="41"/>
      <c r="K34" s="41"/>
      <c r="L34" s="41"/>
      <c r="M34" s="41"/>
      <c r="N34" s="41"/>
      <c r="O34" s="41"/>
      <c r="P34" s="50"/>
      <c r="Q34" s="40"/>
    </row>
    <row r="35" spans="1:17" s="2" customFormat="1" ht="36">
      <c r="A35" s="22" t="s">
        <v>259</v>
      </c>
      <c r="B35" s="5" t="s">
        <v>66</v>
      </c>
      <c r="C35" s="27" t="s">
        <v>150</v>
      </c>
      <c r="D35" s="98">
        <f>498*1.0206</f>
        <v>508.25879999999995</v>
      </c>
      <c r="E35" s="45">
        <f>139*1.0206</f>
        <v>141.86339999999998</v>
      </c>
      <c r="F35" s="45">
        <f>123*1.0206</f>
        <v>125.5338</v>
      </c>
      <c r="G35" s="45">
        <f>121*1.0206</f>
        <v>123.4926</v>
      </c>
      <c r="H35" s="45">
        <f>409*1.0206</f>
        <v>417.42539999999997</v>
      </c>
      <c r="I35" s="45">
        <f>185*1.0206</f>
        <v>188.81099999999998</v>
      </c>
      <c r="J35" s="45">
        <f>322*1.0206</f>
        <v>328.6332</v>
      </c>
      <c r="K35" s="45">
        <f>251*1.0206</f>
        <v>256.1706</v>
      </c>
      <c r="L35" s="45">
        <f>113*1.0206</f>
        <v>115.3278</v>
      </c>
      <c r="M35" s="45">
        <f>453*1.0206</f>
        <v>462.3318</v>
      </c>
      <c r="N35" s="45">
        <f>360*1.0206</f>
        <v>367.416</v>
      </c>
      <c r="O35" s="45">
        <f>374*1.0206</f>
        <v>381.70439999999996</v>
      </c>
      <c r="P35" s="45">
        <f>SUM(D35:O35)</f>
        <v>3416.9688</v>
      </c>
      <c r="Q35" s="67" t="s">
        <v>73</v>
      </c>
    </row>
    <row r="36" spans="1:17" s="2" customFormat="1" ht="36">
      <c r="A36" s="22" t="s">
        <v>259</v>
      </c>
      <c r="B36" s="5" t="s">
        <v>66</v>
      </c>
      <c r="C36" s="27" t="s">
        <v>181</v>
      </c>
      <c r="D36" s="39">
        <f>50440*1.0206</f>
        <v>51479.064</v>
      </c>
      <c r="E36" s="39">
        <f>87603*1.0206</f>
        <v>89407.6218</v>
      </c>
      <c r="F36" s="39">
        <f>87459*1.0206</f>
        <v>89260.65539999999</v>
      </c>
      <c r="G36" s="39">
        <f>67427*1.0206</f>
        <v>68815.9962</v>
      </c>
      <c r="H36" s="39">
        <f>56473*1.0206</f>
        <v>57636.343799999995</v>
      </c>
      <c r="I36" s="39">
        <f>130494*1.0206</f>
        <v>133182.1764</v>
      </c>
      <c r="J36" s="39">
        <f>122840*1.0206</f>
        <v>125370.504</v>
      </c>
      <c r="K36" s="39">
        <f>212320*1.0206</f>
        <v>216693.792</v>
      </c>
      <c r="L36" s="39">
        <f>151286*1.0206</f>
        <v>154402.49159999998</v>
      </c>
      <c r="M36" s="39">
        <f>72756*1.0206</f>
        <v>74254.7736</v>
      </c>
      <c r="N36" s="39">
        <f>51058*1.0206</f>
        <v>52109.794799999996</v>
      </c>
      <c r="O36" s="39">
        <f>56725*1.0206</f>
        <v>57893.534999999996</v>
      </c>
      <c r="P36" s="51">
        <f>SUM(D36:O36)</f>
        <v>1170506.7485999998</v>
      </c>
      <c r="Q36" s="35" t="s">
        <v>211</v>
      </c>
    </row>
    <row r="37" spans="1:17" s="2" customFormat="1" ht="36">
      <c r="A37" s="22" t="s">
        <v>259</v>
      </c>
      <c r="B37" s="5" t="s">
        <v>66</v>
      </c>
      <c r="C37" s="5" t="s">
        <v>182</v>
      </c>
      <c r="D37" s="44" t="s">
        <v>59</v>
      </c>
      <c r="E37" s="46" t="s">
        <v>59</v>
      </c>
      <c r="F37" s="46" t="s">
        <v>59</v>
      </c>
      <c r="G37" s="46" t="s">
        <v>59</v>
      </c>
      <c r="H37" s="46" t="s">
        <v>59</v>
      </c>
      <c r="I37" s="46" t="s">
        <v>59</v>
      </c>
      <c r="J37" s="46" t="s">
        <v>59</v>
      </c>
      <c r="K37" s="46" t="s">
        <v>59</v>
      </c>
      <c r="L37" s="46" t="s">
        <v>59</v>
      </c>
      <c r="M37" s="46" t="s">
        <v>59</v>
      </c>
      <c r="N37" s="46" t="s">
        <v>59</v>
      </c>
      <c r="O37" s="46" t="s">
        <v>59</v>
      </c>
      <c r="P37" s="46" t="s">
        <v>59</v>
      </c>
      <c r="Q37" s="5" t="s">
        <v>60</v>
      </c>
    </row>
    <row r="38" spans="1:17" s="2" customFormat="1" ht="36">
      <c r="A38" s="22" t="s">
        <v>259</v>
      </c>
      <c r="B38" s="5" t="s">
        <v>66</v>
      </c>
      <c r="C38" s="5" t="s">
        <v>183</v>
      </c>
      <c r="D38" s="33">
        <f>5248*1.0206</f>
        <v>5356.1088</v>
      </c>
      <c r="E38" s="30">
        <f>11031*1.0206</f>
        <v>11258.238599999999</v>
      </c>
      <c r="F38" s="30">
        <f>784*1.0206</f>
        <v>800.1504</v>
      </c>
      <c r="G38" s="30">
        <f>2727*1.0206</f>
        <v>2783.1762</v>
      </c>
      <c r="H38" s="30">
        <f>4184*1.0206</f>
        <v>4270.1903999999995</v>
      </c>
      <c r="I38" s="30">
        <f>3812*1.0206</f>
        <v>3890.5272</v>
      </c>
      <c r="J38" s="30">
        <f>6956*1.0206</f>
        <v>7099.2936</v>
      </c>
      <c r="K38" s="30">
        <f>10269*1.0206</f>
        <v>10480.5414</v>
      </c>
      <c r="L38" s="30">
        <f>1452*1.0206</f>
        <v>1481.9112</v>
      </c>
      <c r="M38" s="30">
        <f>1272*1.0206</f>
        <v>1298.2032</v>
      </c>
      <c r="N38" s="30">
        <f>1091*1.0206</f>
        <v>1113.4746</v>
      </c>
      <c r="O38" s="36">
        <f>1151*1.0206</f>
        <v>1174.7105999999999</v>
      </c>
      <c r="P38" s="51">
        <f>SUM(D38:O38)</f>
        <v>51006.5262</v>
      </c>
      <c r="Q38" s="5" t="s">
        <v>83</v>
      </c>
    </row>
    <row r="39" spans="1:17" s="2" customFormat="1" ht="36">
      <c r="A39" s="22" t="s">
        <v>259</v>
      </c>
      <c r="B39" s="5" t="s">
        <v>66</v>
      </c>
      <c r="C39" s="26" t="s">
        <v>184</v>
      </c>
      <c r="D39" s="91" t="s">
        <v>59</v>
      </c>
      <c r="E39" s="37" t="s">
        <v>59</v>
      </c>
      <c r="F39" s="37" t="s">
        <v>59</v>
      </c>
      <c r="G39" s="37" t="s">
        <v>59</v>
      </c>
      <c r="H39" s="37" t="s">
        <v>59</v>
      </c>
      <c r="I39" s="37" t="s">
        <v>59</v>
      </c>
      <c r="J39" s="37" t="s">
        <v>59</v>
      </c>
      <c r="K39" s="37" t="s">
        <v>59</v>
      </c>
      <c r="L39" s="37" t="s">
        <v>59</v>
      </c>
      <c r="M39" s="37" t="s">
        <v>59</v>
      </c>
      <c r="N39" s="37" t="s">
        <v>59</v>
      </c>
      <c r="O39" s="37" t="s">
        <v>59</v>
      </c>
      <c r="P39" s="46" t="s">
        <v>59</v>
      </c>
      <c r="Q39" s="5" t="s">
        <v>86</v>
      </c>
    </row>
    <row r="40" spans="1:17" s="2" customFormat="1" ht="48">
      <c r="A40" s="22" t="s">
        <v>259</v>
      </c>
      <c r="B40" s="5" t="s">
        <v>66</v>
      </c>
      <c r="C40" s="26" t="s">
        <v>185</v>
      </c>
      <c r="D40" s="91" t="s">
        <v>59</v>
      </c>
      <c r="E40" s="37" t="s">
        <v>59</v>
      </c>
      <c r="F40" s="37" t="s">
        <v>59</v>
      </c>
      <c r="G40" s="37" t="s">
        <v>59</v>
      </c>
      <c r="H40" s="37" t="s">
        <v>59</v>
      </c>
      <c r="I40" s="37" t="s">
        <v>59</v>
      </c>
      <c r="J40" s="37" t="s">
        <v>59</v>
      </c>
      <c r="K40" s="37" t="s">
        <v>59</v>
      </c>
      <c r="L40" s="37" t="s">
        <v>59</v>
      </c>
      <c r="M40" s="37" t="s">
        <v>59</v>
      </c>
      <c r="N40" s="37" t="s">
        <v>59</v>
      </c>
      <c r="O40" s="37" t="s">
        <v>59</v>
      </c>
      <c r="P40" s="46" t="s">
        <v>59</v>
      </c>
      <c r="Q40" s="5" t="s">
        <v>176</v>
      </c>
    </row>
    <row r="41" spans="1:17" s="2" customFormat="1" ht="36">
      <c r="A41" s="22" t="s">
        <v>259</v>
      </c>
      <c r="B41" s="5" t="s">
        <v>66</v>
      </c>
      <c r="C41" s="26" t="s">
        <v>186</v>
      </c>
      <c r="D41" s="91" t="s">
        <v>59</v>
      </c>
      <c r="E41" s="37" t="s">
        <v>59</v>
      </c>
      <c r="F41" s="37" t="s">
        <v>59</v>
      </c>
      <c r="G41" s="37" t="s">
        <v>59</v>
      </c>
      <c r="H41" s="37" t="s">
        <v>59</v>
      </c>
      <c r="I41" s="37" t="s">
        <v>59</v>
      </c>
      <c r="J41" s="37" t="s">
        <v>59</v>
      </c>
      <c r="K41" s="37" t="s">
        <v>59</v>
      </c>
      <c r="L41" s="37" t="s">
        <v>59</v>
      </c>
      <c r="M41" s="37" t="s">
        <v>59</v>
      </c>
      <c r="N41" s="37" t="s">
        <v>59</v>
      </c>
      <c r="O41" s="37" t="s">
        <v>59</v>
      </c>
      <c r="P41" s="46" t="s">
        <v>59</v>
      </c>
      <c r="Q41" s="5" t="s">
        <v>97</v>
      </c>
    </row>
    <row r="42" spans="1:17" s="2" customFormat="1" ht="36">
      <c r="A42" s="22" t="s">
        <v>259</v>
      </c>
      <c r="B42" s="5" t="s">
        <v>66</v>
      </c>
      <c r="C42" s="27" t="s">
        <v>187</v>
      </c>
      <c r="D42" s="45">
        <f>1253*1.0206</f>
        <v>1278.8118</v>
      </c>
      <c r="E42" s="43">
        <f>700*1.0206</f>
        <v>714.42</v>
      </c>
      <c r="F42" s="43">
        <f>27*1.0206</f>
        <v>27.556199999999997</v>
      </c>
      <c r="G42" s="43">
        <f>56*1.0206</f>
        <v>57.1536</v>
      </c>
      <c r="H42" s="43">
        <f>346*1.0206</f>
        <v>353.1276</v>
      </c>
      <c r="I42" s="43">
        <f>760*1.0206</f>
        <v>775.656</v>
      </c>
      <c r="J42" s="43">
        <f>828*1.0206</f>
        <v>845.0568</v>
      </c>
      <c r="K42" s="43">
        <f>2949*1.0206</f>
        <v>3009.7493999999997</v>
      </c>
      <c r="L42" s="43">
        <f>1316*1.0206</f>
        <v>1343.1096</v>
      </c>
      <c r="M42" s="43">
        <f>373*1.0206</f>
        <v>380.68379999999996</v>
      </c>
      <c r="N42" s="43">
        <f>649*1.0206</f>
        <v>662.3693999999999</v>
      </c>
      <c r="O42" s="43">
        <f>483*1.0206</f>
        <v>492.9498</v>
      </c>
      <c r="P42" s="45">
        <f aca="true" t="shared" si="3" ref="P42:P48">SUM(D42:O42)</f>
        <v>9940.644</v>
      </c>
      <c r="Q42" s="5" t="s">
        <v>107</v>
      </c>
    </row>
    <row r="43" spans="1:17" s="2" customFormat="1" ht="84">
      <c r="A43" s="109" t="s">
        <v>260</v>
      </c>
      <c r="B43" s="110"/>
      <c r="C43" s="111"/>
      <c r="D43" s="113">
        <f>SUM(D35:D42)</f>
        <v>58622.24340000001</v>
      </c>
      <c r="E43" s="113">
        <f aca="true" t="shared" si="4" ref="E43:O43">SUM(E35:E42)</f>
        <v>101522.14379999999</v>
      </c>
      <c r="F43" s="113">
        <f t="shared" si="4"/>
        <v>90213.8958</v>
      </c>
      <c r="G43" s="113">
        <f t="shared" si="4"/>
        <v>71779.8186</v>
      </c>
      <c r="H43" s="113">
        <f t="shared" si="4"/>
        <v>62677.087199999994</v>
      </c>
      <c r="I43" s="113">
        <f t="shared" si="4"/>
        <v>138037.17059999998</v>
      </c>
      <c r="J43" s="113">
        <f t="shared" si="4"/>
        <v>133643.4876</v>
      </c>
      <c r="K43" s="113">
        <f t="shared" si="4"/>
        <v>230440.2534</v>
      </c>
      <c r="L43" s="113">
        <f t="shared" si="4"/>
        <v>157342.84019999998</v>
      </c>
      <c r="M43" s="113">
        <f t="shared" si="4"/>
        <v>76395.9924</v>
      </c>
      <c r="N43" s="113">
        <f t="shared" si="4"/>
        <v>54253.0548</v>
      </c>
      <c r="O43" s="113">
        <f t="shared" si="4"/>
        <v>59942.8998</v>
      </c>
      <c r="P43" s="113">
        <f t="shared" si="3"/>
        <v>1234870.8876</v>
      </c>
      <c r="Q43" s="111" t="s">
        <v>322</v>
      </c>
    </row>
    <row r="44" spans="1:17" s="2" customFormat="1" ht="36">
      <c r="A44" s="22" t="s">
        <v>259</v>
      </c>
      <c r="B44" s="5" t="s">
        <v>66</v>
      </c>
      <c r="C44" s="27" t="s">
        <v>244</v>
      </c>
      <c r="D44" s="45">
        <f>4341*1.0206</f>
        <v>4430.424599999999</v>
      </c>
      <c r="E44" s="45">
        <f>4170*1.0206</f>
        <v>4255.902</v>
      </c>
      <c r="F44" s="45">
        <f>2697*1.0206</f>
        <v>2752.5582</v>
      </c>
      <c r="G44" s="45">
        <f>2863*1.0206</f>
        <v>2921.9777999999997</v>
      </c>
      <c r="H44" s="45">
        <f>3716*1.0206</f>
        <v>3792.5496</v>
      </c>
      <c r="I44" s="45">
        <f>3451*1.0206</f>
        <v>3522.0906</v>
      </c>
      <c r="J44" s="45">
        <f>3335*1.0206</f>
        <v>3403.701</v>
      </c>
      <c r="K44" s="45">
        <f>3704*1.0206</f>
        <v>3780.3024</v>
      </c>
      <c r="L44" s="45">
        <f>2712*1.0206</f>
        <v>2767.8671999999997</v>
      </c>
      <c r="M44" s="45">
        <f>4021*1.0206</f>
        <v>4103.8326</v>
      </c>
      <c r="N44" s="45">
        <f>3783*1.0206</f>
        <v>3860.9298</v>
      </c>
      <c r="O44" s="45">
        <f>3761*1.0206</f>
        <v>3838.4766</v>
      </c>
      <c r="P44" s="45">
        <f t="shared" si="3"/>
        <v>43430.6124</v>
      </c>
      <c r="Q44" s="27" t="s">
        <v>243</v>
      </c>
    </row>
    <row r="45" spans="1:17" s="59" customFormat="1" ht="39.75" customHeight="1">
      <c r="A45" s="105" t="s">
        <v>261</v>
      </c>
      <c r="B45" s="27" t="s">
        <v>32</v>
      </c>
      <c r="C45" s="27" t="s">
        <v>67</v>
      </c>
      <c r="D45" s="45">
        <f aca="true" t="shared" si="5" ref="D45:O45">SUM(D36:D42)</f>
        <v>58113.9846</v>
      </c>
      <c r="E45" s="45">
        <f t="shared" si="5"/>
        <v>101380.28039999999</v>
      </c>
      <c r="F45" s="45">
        <f t="shared" si="5"/>
        <v>90088.362</v>
      </c>
      <c r="G45" s="45">
        <f t="shared" si="5"/>
        <v>71656.326</v>
      </c>
      <c r="H45" s="45">
        <f t="shared" si="5"/>
        <v>62259.661799999994</v>
      </c>
      <c r="I45" s="45">
        <f t="shared" si="5"/>
        <v>137848.3596</v>
      </c>
      <c r="J45" s="45">
        <f t="shared" si="5"/>
        <v>133314.85439999998</v>
      </c>
      <c r="K45" s="45">
        <f t="shared" si="5"/>
        <v>230184.08279999997</v>
      </c>
      <c r="L45" s="45">
        <f t="shared" si="5"/>
        <v>157227.51239999998</v>
      </c>
      <c r="M45" s="45">
        <f t="shared" si="5"/>
        <v>75933.6606</v>
      </c>
      <c r="N45" s="45">
        <f t="shared" si="5"/>
        <v>53885.6388</v>
      </c>
      <c r="O45" s="45">
        <f t="shared" si="5"/>
        <v>59561.1954</v>
      </c>
      <c r="P45" s="45">
        <f t="shared" si="3"/>
        <v>1231453.9188</v>
      </c>
      <c r="Q45" s="27" t="s">
        <v>91</v>
      </c>
    </row>
    <row r="46" spans="1:18" s="2" customFormat="1" ht="36.75" customHeight="1">
      <c r="A46" s="105" t="s">
        <v>261</v>
      </c>
      <c r="B46" s="7" t="s">
        <v>32</v>
      </c>
      <c r="C46" s="7" t="s">
        <v>68</v>
      </c>
      <c r="D46" s="45">
        <f>D35</f>
        <v>508.25879999999995</v>
      </c>
      <c r="E46" s="45">
        <f aca="true" t="shared" si="6" ref="E46:O46">E35</f>
        <v>141.86339999999998</v>
      </c>
      <c r="F46" s="45">
        <f t="shared" si="6"/>
        <v>125.5338</v>
      </c>
      <c r="G46" s="45">
        <f t="shared" si="6"/>
        <v>123.4926</v>
      </c>
      <c r="H46" s="45">
        <f t="shared" si="6"/>
        <v>417.42539999999997</v>
      </c>
      <c r="I46" s="45">
        <f t="shared" si="6"/>
        <v>188.81099999999998</v>
      </c>
      <c r="J46" s="45">
        <f t="shared" si="6"/>
        <v>328.6332</v>
      </c>
      <c r="K46" s="45">
        <f t="shared" si="6"/>
        <v>256.1706</v>
      </c>
      <c r="L46" s="45">
        <f t="shared" si="6"/>
        <v>115.3278</v>
      </c>
      <c r="M46" s="45">
        <f t="shared" si="6"/>
        <v>462.3318</v>
      </c>
      <c r="N46" s="45">
        <f t="shared" si="6"/>
        <v>367.416</v>
      </c>
      <c r="O46" s="45">
        <f t="shared" si="6"/>
        <v>381.70439999999996</v>
      </c>
      <c r="P46" s="45">
        <f t="shared" si="3"/>
        <v>3416.9688</v>
      </c>
      <c r="Q46" s="27" t="s">
        <v>94</v>
      </c>
      <c r="R46" s="11"/>
    </row>
    <row r="47" spans="1:17" s="2" customFormat="1" ht="36">
      <c r="A47" s="109" t="s">
        <v>262</v>
      </c>
      <c r="B47" s="110"/>
      <c r="C47" s="111"/>
      <c r="D47" s="113">
        <f>SUM(D45:D46)</f>
        <v>58622.24340000001</v>
      </c>
      <c r="E47" s="113">
        <f aca="true" t="shared" si="7" ref="E47:O47">SUM(E45:E46)</f>
        <v>101522.14379999999</v>
      </c>
      <c r="F47" s="113">
        <f t="shared" si="7"/>
        <v>90213.8958</v>
      </c>
      <c r="G47" s="113">
        <f t="shared" si="7"/>
        <v>71779.8186</v>
      </c>
      <c r="H47" s="113">
        <f t="shared" si="7"/>
        <v>62677.087199999994</v>
      </c>
      <c r="I47" s="113">
        <f t="shared" si="7"/>
        <v>138037.17059999998</v>
      </c>
      <c r="J47" s="113">
        <f t="shared" si="7"/>
        <v>133643.4876</v>
      </c>
      <c r="K47" s="113">
        <f t="shared" si="7"/>
        <v>230440.2534</v>
      </c>
      <c r="L47" s="113">
        <f t="shared" si="7"/>
        <v>157342.84019999998</v>
      </c>
      <c r="M47" s="113">
        <f t="shared" si="7"/>
        <v>76395.9924</v>
      </c>
      <c r="N47" s="113">
        <f t="shared" si="7"/>
        <v>54253.0548</v>
      </c>
      <c r="O47" s="113">
        <f t="shared" si="7"/>
        <v>59942.8998</v>
      </c>
      <c r="P47" s="113">
        <f t="shared" si="3"/>
        <v>1234870.8876</v>
      </c>
      <c r="Q47" s="111" t="s">
        <v>280</v>
      </c>
    </row>
    <row r="48" spans="1:17" s="2" customFormat="1" ht="36" customHeight="1">
      <c r="A48" s="6" t="s">
        <v>263</v>
      </c>
      <c r="B48" s="7" t="s">
        <v>126</v>
      </c>
      <c r="C48" s="27" t="s">
        <v>206</v>
      </c>
      <c r="D48" s="32">
        <f>(39305-20757)*1.0206</f>
        <v>18930.088799999998</v>
      </c>
      <c r="E48" s="32">
        <f>(107360-44997)*1.0206</f>
        <v>63647.6778</v>
      </c>
      <c r="F48" s="32">
        <f>(35444-33245)*1.0206</f>
        <v>2244.2994</v>
      </c>
      <c r="G48" s="32">
        <f>(75128-7434)*1.0206</f>
        <v>69088.4964</v>
      </c>
      <c r="H48" s="32">
        <f>(66491-11656)*1.0206</f>
        <v>55964.600999999995</v>
      </c>
      <c r="I48" s="32">
        <f>(154539-37291)*1.0206</f>
        <v>119663.3088</v>
      </c>
      <c r="J48" s="32">
        <f>(169532-32058)*1.0206</f>
        <v>140305.9644</v>
      </c>
      <c r="K48" s="32">
        <f>(177850-61635)*1.0206</f>
        <v>118609.029</v>
      </c>
      <c r="L48" s="32">
        <f>(192526-64941)*1.0206</f>
        <v>130213.25099999999</v>
      </c>
      <c r="M48" s="32">
        <f>(192719-40968)*1.0206</f>
        <v>154877.0706</v>
      </c>
      <c r="N48" s="32">
        <f>(120408-28973)*1.0206</f>
        <v>93318.561</v>
      </c>
      <c r="O48" s="32">
        <f>(85183-38532)*1.0206</f>
        <v>47612.010599999994</v>
      </c>
      <c r="P48" s="57">
        <f t="shared" si="3"/>
        <v>1014474.3587999999</v>
      </c>
      <c r="Q48" s="35" t="s">
        <v>209</v>
      </c>
    </row>
    <row r="49" spans="1:17" s="2" customFormat="1" ht="36">
      <c r="A49" s="6" t="s">
        <v>263</v>
      </c>
      <c r="B49" s="7" t="s">
        <v>126</v>
      </c>
      <c r="C49" s="27" t="s">
        <v>207</v>
      </c>
      <c r="D49" s="10" t="s">
        <v>59</v>
      </c>
      <c r="E49" s="10" t="s">
        <v>59</v>
      </c>
      <c r="F49" s="10" t="s">
        <v>59</v>
      </c>
      <c r="G49" s="10" t="s">
        <v>59</v>
      </c>
      <c r="H49" s="10" t="s">
        <v>59</v>
      </c>
      <c r="I49" s="10" t="s">
        <v>59</v>
      </c>
      <c r="J49" s="10" t="s">
        <v>59</v>
      </c>
      <c r="K49" s="10" t="s">
        <v>59</v>
      </c>
      <c r="L49" s="10" t="s">
        <v>59</v>
      </c>
      <c r="M49" s="10" t="s">
        <v>59</v>
      </c>
      <c r="N49" s="10" t="s">
        <v>59</v>
      </c>
      <c r="O49" s="10" t="s">
        <v>59</v>
      </c>
      <c r="P49" s="44" t="s">
        <v>59</v>
      </c>
      <c r="Q49" s="7" t="s">
        <v>58</v>
      </c>
    </row>
    <row r="50" spans="1:17" s="2" customFormat="1" ht="36">
      <c r="A50" s="6" t="s">
        <v>263</v>
      </c>
      <c r="B50" s="7" t="s">
        <v>126</v>
      </c>
      <c r="C50" s="27" t="s">
        <v>208</v>
      </c>
      <c r="D50" s="10" t="s">
        <v>59</v>
      </c>
      <c r="E50" s="10" t="s">
        <v>59</v>
      </c>
      <c r="F50" s="10" t="s">
        <v>59</v>
      </c>
      <c r="G50" s="10" t="s">
        <v>59</v>
      </c>
      <c r="H50" s="10" t="s">
        <v>59</v>
      </c>
      <c r="I50" s="10" t="s">
        <v>59</v>
      </c>
      <c r="J50" s="10" t="s">
        <v>59</v>
      </c>
      <c r="K50" s="10" t="s">
        <v>59</v>
      </c>
      <c r="L50" s="10" t="s">
        <v>59</v>
      </c>
      <c r="M50" s="10" t="s">
        <v>59</v>
      </c>
      <c r="N50" s="10" t="s">
        <v>59</v>
      </c>
      <c r="O50" s="10" t="s">
        <v>59</v>
      </c>
      <c r="P50" s="44" t="s">
        <v>59</v>
      </c>
      <c r="Q50" s="7" t="s">
        <v>175</v>
      </c>
    </row>
    <row r="51" spans="1:17" s="2" customFormat="1" ht="48" customHeight="1">
      <c r="A51" s="6" t="s">
        <v>263</v>
      </c>
      <c r="B51" s="7" t="s">
        <v>126</v>
      </c>
      <c r="C51" s="27" t="s">
        <v>205</v>
      </c>
      <c r="D51" s="32">
        <f>(1516+20757)*1.0206</f>
        <v>22731.8238</v>
      </c>
      <c r="E51" s="32">
        <f>(8858+44997)*1.0206</f>
        <v>54964.413</v>
      </c>
      <c r="F51" s="32">
        <f>(208+33245)*1.0206</f>
        <v>34142.131799999996</v>
      </c>
      <c r="G51" s="32">
        <f>(1025+7434)*1.0206</f>
        <v>8633.2554</v>
      </c>
      <c r="H51" s="32">
        <f>(0+11656)*1.0206</f>
        <v>11896.113599999999</v>
      </c>
      <c r="I51" s="32">
        <f>(3240+37291)*1.0206</f>
        <v>41365.9386</v>
      </c>
      <c r="J51" s="32">
        <f>(3729+32058)*1.0206</f>
        <v>36524.2122</v>
      </c>
      <c r="K51" s="32">
        <f>(6860+61635)*1.0206</f>
        <v>69905.997</v>
      </c>
      <c r="L51" s="32">
        <f>(5230+64941)*1.0206</f>
        <v>71616.5226</v>
      </c>
      <c r="M51" s="32">
        <f>(902+40968)*1.0206</f>
        <v>42732.522</v>
      </c>
      <c r="N51" s="32">
        <f>(892+28973)*1.0206</f>
        <v>30480.218999999997</v>
      </c>
      <c r="O51" s="32">
        <f>(478+38532)*1.0206</f>
        <v>39813.606</v>
      </c>
      <c r="P51" s="57">
        <f aca="true" t="shared" si="8" ref="P51:P58">SUM(D51:O51)</f>
        <v>464806.755</v>
      </c>
      <c r="Q51" s="7" t="s">
        <v>204</v>
      </c>
    </row>
    <row r="52" spans="1:17" s="2" customFormat="1" ht="48" customHeight="1">
      <c r="A52" s="6" t="s">
        <v>263</v>
      </c>
      <c r="B52" s="7" t="s">
        <v>126</v>
      </c>
      <c r="C52" s="27" t="s">
        <v>226</v>
      </c>
      <c r="D52" s="32">
        <f>D68</f>
        <v>483363.30419999996</v>
      </c>
      <c r="E52" s="32">
        <f aca="true" t="shared" si="9" ref="E52:O52">E68</f>
        <v>387474.8724</v>
      </c>
      <c r="F52" s="32">
        <f t="shared" si="9"/>
        <v>345855.825</v>
      </c>
      <c r="G52" s="32">
        <f t="shared" si="9"/>
        <v>414954.52739999996</v>
      </c>
      <c r="H52" s="32">
        <f t="shared" si="9"/>
        <v>360177.90479999996</v>
      </c>
      <c r="I52" s="32">
        <f t="shared" si="9"/>
        <v>446209.3818</v>
      </c>
      <c r="J52" s="32">
        <f t="shared" si="9"/>
        <v>516381.75539999997</v>
      </c>
      <c r="K52" s="32">
        <f t="shared" si="9"/>
        <v>647094.0798</v>
      </c>
      <c r="L52" s="32">
        <f t="shared" si="9"/>
        <v>638415.918</v>
      </c>
      <c r="M52" s="32">
        <f t="shared" si="9"/>
        <v>609896.2716</v>
      </c>
      <c r="N52" s="32">
        <f t="shared" si="9"/>
        <v>419986.0854</v>
      </c>
      <c r="O52" s="32">
        <f t="shared" si="9"/>
        <v>467108.208</v>
      </c>
      <c r="P52" s="57">
        <f t="shared" si="8"/>
        <v>5736918.133799999</v>
      </c>
      <c r="Q52" s="7" t="s">
        <v>281</v>
      </c>
    </row>
    <row r="53" spans="1:17" s="2" customFormat="1" ht="24">
      <c r="A53" s="109" t="s">
        <v>264</v>
      </c>
      <c r="B53" s="110"/>
      <c r="C53" s="111"/>
      <c r="D53" s="113">
        <f>SUM(D48:D52)</f>
        <v>525025.2167999999</v>
      </c>
      <c r="E53" s="113">
        <f aca="true" t="shared" si="10" ref="E53:O53">SUM(E48:E52)</f>
        <v>506086.9632</v>
      </c>
      <c r="F53" s="113">
        <f t="shared" si="10"/>
        <v>382242.2562</v>
      </c>
      <c r="G53" s="113">
        <f t="shared" si="10"/>
        <v>492676.2792</v>
      </c>
      <c r="H53" s="113">
        <f t="shared" si="10"/>
        <v>428038.61939999997</v>
      </c>
      <c r="I53" s="113">
        <f t="shared" si="10"/>
        <v>607238.6292</v>
      </c>
      <c r="J53" s="113">
        <f t="shared" si="10"/>
        <v>693211.932</v>
      </c>
      <c r="K53" s="113">
        <f t="shared" si="10"/>
        <v>835609.1058</v>
      </c>
      <c r="L53" s="113">
        <f t="shared" si="10"/>
        <v>840245.6915999999</v>
      </c>
      <c r="M53" s="113">
        <f t="shared" si="10"/>
        <v>807505.8642</v>
      </c>
      <c r="N53" s="113">
        <f t="shared" si="10"/>
        <v>543784.8654</v>
      </c>
      <c r="O53" s="113">
        <f t="shared" si="10"/>
        <v>554533.8245999999</v>
      </c>
      <c r="P53" s="113">
        <f t="shared" si="8"/>
        <v>7216199.2475999985</v>
      </c>
      <c r="Q53" s="111" t="s">
        <v>282</v>
      </c>
    </row>
    <row r="54" spans="1:17" s="2" customFormat="1" ht="84">
      <c r="A54" s="6" t="s">
        <v>263</v>
      </c>
      <c r="B54" s="7" t="s">
        <v>126</v>
      </c>
      <c r="C54" s="7" t="s">
        <v>152</v>
      </c>
      <c r="D54" s="124">
        <f>0.01*D53</f>
        <v>5250.252167999999</v>
      </c>
      <c r="E54" s="124">
        <f aca="true" t="shared" si="11" ref="E54:O54">0.01*E53</f>
        <v>5060.869632</v>
      </c>
      <c r="F54" s="124">
        <f t="shared" si="11"/>
        <v>3822.422562</v>
      </c>
      <c r="G54" s="124">
        <f t="shared" si="11"/>
        <v>4926.762792</v>
      </c>
      <c r="H54" s="124">
        <f t="shared" si="11"/>
        <v>4280.386194</v>
      </c>
      <c r="I54" s="124">
        <f t="shared" si="11"/>
        <v>6072.386292</v>
      </c>
      <c r="J54" s="124">
        <f t="shared" si="11"/>
        <v>6932.119320000001</v>
      </c>
      <c r="K54" s="124">
        <f t="shared" si="11"/>
        <v>8356.091058</v>
      </c>
      <c r="L54" s="124">
        <f t="shared" si="11"/>
        <v>8402.456916</v>
      </c>
      <c r="M54" s="124">
        <f t="shared" si="11"/>
        <v>8075.058642</v>
      </c>
      <c r="N54" s="124">
        <f t="shared" si="11"/>
        <v>5437.848654</v>
      </c>
      <c r="O54" s="124">
        <f t="shared" si="11"/>
        <v>5545.338245999999</v>
      </c>
      <c r="P54" s="45">
        <f t="shared" si="8"/>
        <v>72161.992476</v>
      </c>
      <c r="Q54" s="7" t="s">
        <v>220</v>
      </c>
    </row>
    <row r="55" spans="1:17" s="2" customFormat="1" ht="60">
      <c r="A55" s="4" t="s">
        <v>265</v>
      </c>
      <c r="B55" s="5" t="s">
        <v>27</v>
      </c>
      <c r="C55" s="5" t="s">
        <v>70</v>
      </c>
      <c r="D55" s="32">
        <f>(294872+75051-329235)*1.0206</f>
        <v>41526.1728</v>
      </c>
      <c r="E55" s="32">
        <f>(54279-48309)*1.0206</f>
        <v>6092.982</v>
      </c>
      <c r="F55" s="32">
        <f>(5893-5245)*1.0206</f>
        <v>661.3488</v>
      </c>
      <c r="G55" s="32">
        <f>8982*1.0206</f>
        <v>9167.029199999999</v>
      </c>
      <c r="H55" s="32">
        <f>42936*1.0206</f>
        <v>43820.4816</v>
      </c>
      <c r="I55" s="32">
        <f>11507*1.0206</f>
        <v>11744.0442</v>
      </c>
      <c r="J55" s="32">
        <f>72404*1.0206</f>
        <v>73895.5224</v>
      </c>
      <c r="K55" s="32">
        <f>97751*1.0206</f>
        <v>99764.6706</v>
      </c>
      <c r="L55" s="32">
        <f>11056*1.0206</f>
        <v>11283.7536</v>
      </c>
      <c r="M55" s="32">
        <f>19492*1.0206</f>
        <v>19893.5352</v>
      </c>
      <c r="N55" s="32">
        <f>11159*1.0206</f>
        <v>11388.875399999999</v>
      </c>
      <c r="O55" s="32">
        <f>9888*1.0206</f>
        <v>10091.692799999999</v>
      </c>
      <c r="P55" s="51">
        <f t="shared" si="8"/>
        <v>339330.10860000004</v>
      </c>
      <c r="Q55" s="27" t="s">
        <v>291</v>
      </c>
    </row>
    <row r="56" spans="1:17" s="2" customFormat="1" ht="36">
      <c r="A56" s="4" t="s">
        <v>265</v>
      </c>
      <c r="B56" s="5" t="s">
        <v>27</v>
      </c>
      <c r="C56" s="5" t="s">
        <v>71</v>
      </c>
      <c r="D56" s="32">
        <f>1235*1.0206</f>
        <v>1260.441</v>
      </c>
      <c r="E56" s="32">
        <f>781*1.0206</f>
        <v>797.0885999999999</v>
      </c>
      <c r="F56" s="32">
        <f>199*1.0206</f>
        <v>203.0994</v>
      </c>
      <c r="G56" s="32">
        <f>436*1.0206</f>
        <v>444.98159999999996</v>
      </c>
      <c r="H56" s="32">
        <f>588*1.0206</f>
        <v>600.1128</v>
      </c>
      <c r="I56" s="32">
        <f>1324*1.0206</f>
        <v>1351.2744</v>
      </c>
      <c r="J56" s="32">
        <f>3602*1.0206</f>
        <v>3676.2012</v>
      </c>
      <c r="K56" s="32">
        <f>984*1.0206</f>
        <v>1004.2704</v>
      </c>
      <c r="L56" s="32">
        <f>167*1.0206</f>
        <v>170.4402</v>
      </c>
      <c r="M56" s="32">
        <f>1021*1.0206</f>
        <v>1042.0326</v>
      </c>
      <c r="N56" s="32">
        <f>739*1.0206</f>
        <v>754.2234</v>
      </c>
      <c r="O56" s="32">
        <f>459*1.0206</f>
        <v>468.4554</v>
      </c>
      <c r="P56" s="51">
        <f t="shared" si="8"/>
        <v>11772.621000000001</v>
      </c>
      <c r="Q56" s="27" t="s">
        <v>72</v>
      </c>
    </row>
    <row r="57" spans="1:17" s="2" customFormat="1" ht="24">
      <c r="A57" s="109" t="s">
        <v>266</v>
      </c>
      <c r="B57" s="110"/>
      <c r="C57" s="111"/>
      <c r="D57" s="113">
        <f>SUM(D55:D56)</f>
        <v>42786.6138</v>
      </c>
      <c r="E57" s="113">
        <f>SUM(E55:E56)</f>
        <v>6890.0706</v>
      </c>
      <c r="F57" s="113">
        <f aca="true" t="shared" si="12" ref="F57:O57">SUM(F55:F56)</f>
        <v>864.4482</v>
      </c>
      <c r="G57" s="113">
        <f t="shared" si="12"/>
        <v>9612.010799999998</v>
      </c>
      <c r="H57" s="113">
        <f t="shared" si="12"/>
        <v>44420.5944</v>
      </c>
      <c r="I57" s="113">
        <f t="shared" si="12"/>
        <v>13095.3186</v>
      </c>
      <c r="J57" s="113">
        <f t="shared" si="12"/>
        <v>77571.7236</v>
      </c>
      <c r="K57" s="113">
        <f t="shared" si="12"/>
        <v>100768.94099999999</v>
      </c>
      <c r="L57" s="113">
        <f t="shared" si="12"/>
        <v>11454.193800000001</v>
      </c>
      <c r="M57" s="113">
        <f t="shared" si="12"/>
        <v>20935.567799999997</v>
      </c>
      <c r="N57" s="113">
        <f t="shared" si="12"/>
        <v>12143.0988</v>
      </c>
      <c r="O57" s="113">
        <f t="shared" si="12"/>
        <v>10560.1482</v>
      </c>
      <c r="P57" s="113">
        <f t="shared" si="8"/>
        <v>351102.7296</v>
      </c>
      <c r="Q57" s="111" t="s">
        <v>284</v>
      </c>
    </row>
    <row r="58" spans="1:17" s="2" customFormat="1" ht="36">
      <c r="A58" s="4" t="s">
        <v>265</v>
      </c>
      <c r="B58" s="5" t="s">
        <v>27</v>
      </c>
      <c r="C58" s="26" t="s">
        <v>56</v>
      </c>
      <c r="D58" s="32">
        <f>29268*1.0206</f>
        <v>29870.9208</v>
      </c>
      <c r="E58" s="32">
        <f>27825*1.0206</f>
        <v>28398.195</v>
      </c>
      <c r="F58" s="32">
        <f>16201*1.0206</f>
        <v>16534.7406</v>
      </c>
      <c r="G58" s="32">
        <f>19237*1.0206</f>
        <v>19633.282199999998</v>
      </c>
      <c r="H58" s="32">
        <f>28605*1.0206</f>
        <v>29194.263</v>
      </c>
      <c r="I58" s="32">
        <f>39065*1.0206</f>
        <v>39869.739</v>
      </c>
      <c r="J58" s="32">
        <f>54811*1.0206</f>
        <v>55940.1066</v>
      </c>
      <c r="K58" s="32">
        <f>33438*1.0206</f>
        <v>34126.8228</v>
      </c>
      <c r="L58" s="32">
        <f>31064*1.0206</f>
        <v>31703.9184</v>
      </c>
      <c r="M58" s="32">
        <f>47359*1.0206</f>
        <v>48334.5954</v>
      </c>
      <c r="N58" s="32">
        <f>39428*1.0206</f>
        <v>40240.216799999995</v>
      </c>
      <c r="O58" s="32">
        <f>28810*1.0206</f>
        <v>29403.485999999997</v>
      </c>
      <c r="P58" s="51">
        <f t="shared" si="8"/>
        <v>403250.2866</v>
      </c>
      <c r="Q58" s="27" t="s">
        <v>69</v>
      </c>
    </row>
    <row r="59" spans="1:17" s="3" customFormat="1" ht="12">
      <c r="A59" s="208" t="s">
        <v>267</v>
      </c>
      <c r="B59" s="209"/>
      <c r="C59" s="209"/>
      <c r="D59" s="209"/>
      <c r="E59" s="209"/>
      <c r="F59" s="209"/>
      <c r="G59" s="209"/>
      <c r="H59" s="209"/>
      <c r="I59" s="209"/>
      <c r="J59" s="209"/>
      <c r="K59" s="209"/>
      <c r="L59" s="209"/>
      <c r="M59" s="209"/>
      <c r="N59" s="209"/>
      <c r="O59" s="209"/>
      <c r="P59" s="209"/>
      <c r="Q59" s="210"/>
    </row>
    <row r="60" spans="1:17" s="11" customFormat="1" ht="76.5" customHeight="1">
      <c r="A60" s="6" t="s">
        <v>25</v>
      </c>
      <c r="B60" s="125" t="s">
        <v>22</v>
      </c>
      <c r="C60" s="27" t="s">
        <v>154</v>
      </c>
      <c r="D60" s="45">
        <f>5749*1.0206</f>
        <v>5867.4294</v>
      </c>
      <c r="E60" s="45">
        <f>5329*1.0206</f>
        <v>5438.7774</v>
      </c>
      <c r="F60" s="45">
        <f>1178*1.0206</f>
        <v>1202.2667999999999</v>
      </c>
      <c r="G60" s="45">
        <f>6858*1.0206</f>
        <v>6999.274799999999</v>
      </c>
      <c r="H60" s="45">
        <f>2341*1.0206</f>
        <v>2389.2246</v>
      </c>
      <c r="I60" s="45">
        <f>2980*1.0206</f>
        <v>3041.388</v>
      </c>
      <c r="J60" s="45">
        <f>2124*1.0206</f>
        <v>2167.7544</v>
      </c>
      <c r="K60" s="45">
        <f>6590*1.0206</f>
        <v>6725.754</v>
      </c>
      <c r="L60" s="45">
        <f>5781*1.0206</f>
        <v>5900.0886</v>
      </c>
      <c r="M60" s="45">
        <f>4934*1.0206</f>
        <v>5035.640399999999</v>
      </c>
      <c r="N60" s="45">
        <f>5288*1.0206</f>
        <v>5396.9328</v>
      </c>
      <c r="O60" s="45">
        <f>2281*1.0206</f>
        <v>2327.9885999999997</v>
      </c>
      <c r="P60" s="45">
        <f>SUM(D60:O60)</f>
        <v>52492.519799999995</v>
      </c>
      <c r="Q60" s="7" t="s">
        <v>292</v>
      </c>
    </row>
    <row r="61" spans="1:17" s="11" customFormat="1" ht="36">
      <c r="A61" s="6" t="s">
        <v>26</v>
      </c>
      <c r="B61" s="7" t="s">
        <v>151</v>
      </c>
      <c r="C61" s="7" t="s">
        <v>173</v>
      </c>
      <c r="D61" s="128">
        <f>(250+350)/2/12</f>
        <v>25</v>
      </c>
      <c r="E61" s="128">
        <f aca="true" t="shared" si="13" ref="E61:O61">(250+350)/2/12</f>
        <v>25</v>
      </c>
      <c r="F61" s="128">
        <f t="shared" si="13"/>
        <v>25</v>
      </c>
      <c r="G61" s="128">
        <f t="shared" si="13"/>
        <v>25</v>
      </c>
      <c r="H61" s="128">
        <f t="shared" si="13"/>
        <v>25</v>
      </c>
      <c r="I61" s="128">
        <f t="shared" si="13"/>
        <v>25</v>
      </c>
      <c r="J61" s="128">
        <f t="shared" si="13"/>
        <v>25</v>
      </c>
      <c r="K61" s="128">
        <f t="shared" si="13"/>
        <v>25</v>
      </c>
      <c r="L61" s="128">
        <f t="shared" si="13"/>
        <v>25</v>
      </c>
      <c r="M61" s="128">
        <f t="shared" si="13"/>
        <v>25</v>
      </c>
      <c r="N61" s="128">
        <f t="shared" si="13"/>
        <v>25</v>
      </c>
      <c r="O61" s="128">
        <f t="shared" si="13"/>
        <v>25</v>
      </c>
      <c r="P61" s="45">
        <f>SUM(D61:O61)</f>
        <v>300</v>
      </c>
      <c r="Q61" s="7" t="s">
        <v>227</v>
      </c>
    </row>
    <row r="62" spans="1:17" s="2" customFormat="1" ht="48">
      <c r="A62" s="4" t="s">
        <v>29</v>
      </c>
      <c r="B62" s="5" t="s">
        <v>116</v>
      </c>
      <c r="C62" s="5" t="s">
        <v>128</v>
      </c>
      <c r="D62" s="30">
        <f>349*1.0206</f>
        <v>356.1894</v>
      </c>
      <c r="E62" s="30">
        <f>279*1.0206</f>
        <v>284.74739999999997</v>
      </c>
      <c r="F62" s="30">
        <f>332*1.0206</f>
        <v>338.8392</v>
      </c>
      <c r="G62" s="30">
        <f>154*1.0206</f>
        <v>157.17239999999998</v>
      </c>
      <c r="H62" s="30">
        <f>422*1.0206</f>
        <v>430.6932</v>
      </c>
      <c r="I62" s="30">
        <f>494*1.0206</f>
        <v>504.1764</v>
      </c>
      <c r="J62" s="30">
        <f>239*1.0206</f>
        <v>243.9234</v>
      </c>
      <c r="K62" s="30">
        <f>309*1.0206</f>
        <v>315.36539999999997</v>
      </c>
      <c r="L62" s="30">
        <f>241*1.0206</f>
        <v>245.9646</v>
      </c>
      <c r="M62" s="30">
        <f>428*1.0206</f>
        <v>436.8168</v>
      </c>
      <c r="N62" s="30">
        <f>136*1.0206</f>
        <v>138.8016</v>
      </c>
      <c r="O62" s="32">
        <f>269*1.0206</f>
        <v>274.5414</v>
      </c>
      <c r="P62" s="51">
        <f>SUM(D62:O62)</f>
        <v>3727.2312</v>
      </c>
      <c r="Q62" s="13" t="s">
        <v>54</v>
      </c>
    </row>
    <row r="63" spans="1:17" s="3" customFormat="1" ht="12">
      <c r="A63" s="208" t="s">
        <v>268</v>
      </c>
      <c r="B63" s="209"/>
      <c r="C63" s="209"/>
      <c r="D63" s="209"/>
      <c r="E63" s="209"/>
      <c r="F63" s="209"/>
      <c r="G63" s="209"/>
      <c r="H63" s="209"/>
      <c r="I63" s="209"/>
      <c r="J63" s="209"/>
      <c r="K63" s="209"/>
      <c r="L63" s="209"/>
      <c r="M63" s="209"/>
      <c r="N63" s="209"/>
      <c r="O63" s="209"/>
      <c r="P63" s="209"/>
      <c r="Q63" s="210"/>
    </row>
    <row r="64" spans="1:17"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33">
        <f>4649*1.0206</f>
        <v>4744.7694</v>
      </c>
      <c r="E65" s="32">
        <f>(2368-1000)*1.0206</f>
        <v>1396.1807999999999</v>
      </c>
      <c r="F65" s="32">
        <f>(-153+1000)*1.0206</f>
        <v>864.4481999999999</v>
      </c>
      <c r="G65" s="32">
        <f>3825*1.0206</f>
        <v>3903.7949999999996</v>
      </c>
      <c r="H65" s="32">
        <f>3495*1.0206</f>
        <v>3566.997</v>
      </c>
      <c r="I65" s="32">
        <f>1809*1.0206</f>
        <v>1846.2654</v>
      </c>
      <c r="J65" s="32">
        <f>1405*1.0206</f>
        <v>1433.943</v>
      </c>
      <c r="K65" s="32">
        <f>2331*1.0206</f>
        <v>2379.0186</v>
      </c>
      <c r="L65" s="32">
        <f>2909*1.0206</f>
        <v>2968.9254</v>
      </c>
      <c r="M65" s="32">
        <f>1245*1.0206</f>
        <v>1270.647</v>
      </c>
      <c r="N65" s="32">
        <f>15141*1.0206</f>
        <v>15452.9046</v>
      </c>
      <c r="O65" s="32">
        <f>654*1.0206</f>
        <v>667.4724</v>
      </c>
      <c r="P65" s="51">
        <f>SUM(D65:O65)</f>
        <v>40495.366799999996</v>
      </c>
      <c r="Q65" s="6" t="s">
        <v>55</v>
      </c>
    </row>
    <row r="66" spans="1:17" s="2" customFormat="1" ht="60">
      <c r="A66" s="6" t="s">
        <v>120</v>
      </c>
      <c r="B66" s="7" t="s">
        <v>117</v>
      </c>
      <c r="C66" s="7" t="s">
        <v>223</v>
      </c>
      <c r="D66" s="33">
        <f aca="true" t="shared" si="14" ref="D66:O66">D68-D67</f>
        <v>396567.3978</v>
      </c>
      <c r="E66" s="33">
        <f t="shared" si="14"/>
        <v>321585.957</v>
      </c>
      <c r="F66" s="33">
        <f t="shared" si="14"/>
        <v>284196.276</v>
      </c>
      <c r="G66" s="33">
        <f t="shared" si="14"/>
        <v>324458.946</v>
      </c>
      <c r="H66" s="33">
        <f t="shared" si="14"/>
        <v>278845.27019999997</v>
      </c>
      <c r="I66" s="33">
        <f t="shared" si="14"/>
        <v>289393.1712</v>
      </c>
      <c r="J66" s="33">
        <f t="shared" si="14"/>
        <v>308142.61379999993</v>
      </c>
      <c r="K66" s="33">
        <f t="shared" si="14"/>
        <v>444513.1446</v>
      </c>
      <c r="L66" s="33">
        <f t="shared" si="14"/>
        <v>410626.16279999993</v>
      </c>
      <c r="M66" s="33">
        <f t="shared" si="14"/>
        <v>456168.3966</v>
      </c>
      <c r="N66" s="33">
        <f t="shared" si="14"/>
        <v>317096.33759999997</v>
      </c>
      <c r="O66" s="33">
        <f t="shared" si="14"/>
        <v>350530.173</v>
      </c>
      <c r="P66" s="51">
        <f>SUM(D66:O66)</f>
        <v>4182123.8465999993</v>
      </c>
      <c r="Q66" s="7" t="s">
        <v>294</v>
      </c>
    </row>
    <row r="67" spans="1:17" s="2" customFormat="1" ht="72">
      <c r="A67" s="6" t="s">
        <v>120</v>
      </c>
      <c r="B67" s="7" t="s">
        <v>117</v>
      </c>
      <c r="C67" s="7" t="s">
        <v>224</v>
      </c>
      <c r="D67" s="33">
        <f>(77399+7645)*1.0206</f>
        <v>86795.90639999999</v>
      </c>
      <c r="E67" s="32">
        <f>(56969+7590)*1.0206</f>
        <v>65888.9154</v>
      </c>
      <c r="F67" s="32">
        <f>(51639+8776)*1.0206</f>
        <v>61659.549</v>
      </c>
      <c r="G67" s="32">
        <f>(84843+3826)*1.0206</f>
        <v>90495.5814</v>
      </c>
      <c r="H67" s="32">
        <f>(74932+4759)*1.0206</f>
        <v>81332.63459999999</v>
      </c>
      <c r="I67" s="32">
        <f>(148690+4961)*1.0206</f>
        <v>156816.2106</v>
      </c>
      <c r="J67" s="32">
        <f>(197130+6906)*1.0206</f>
        <v>208239.1416</v>
      </c>
      <c r="K67" s="32">
        <f>(193726+4766)*1.0206</f>
        <v>202580.93519999998</v>
      </c>
      <c r="L67" s="32">
        <f>(218126+5066)*1.0206</f>
        <v>227789.75519999999</v>
      </c>
      <c r="M67" s="32">
        <f>(142008+8617)*1.0206</f>
        <v>153727.875</v>
      </c>
      <c r="N67" s="32">
        <f>(94270+6543)*1.0206</f>
        <v>102889.7478</v>
      </c>
      <c r="O67" s="32">
        <f>(99397+14828)*1.0206</f>
        <v>116578.03499999999</v>
      </c>
      <c r="P67" s="45">
        <f>SUM(D67:O67)</f>
        <v>1554794.2871999997</v>
      </c>
      <c r="Q67" s="7" t="s">
        <v>295</v>
      </c>
    </row>
    <row r="68" spans="1:17" s="2" customFormat="1" ht="12">
      <c r="A68" s="133" t="s">
        <v>269</v>
      </c>
      <c r="B68" s="110"/>
      <c r="C68" s="111"/>
      <c r="D68" s="134">
        <f>473607*1.0206</f>
        <v>483363.30419999996</v>
      </c>
      <c r="E68" s="135">
        <f>379654*1.0206</f>
        <v>387474.8724</v>
      </c>
      <c r="F68" s="135">
        <f>338875*1.0206</f>
        <v>345855.825</v>
      </c>
      <c r="G68" s="135">
        <f>406579*1.0206</f>
        <v>414954.52739999996</v>
      </c>
      <c r="H68" s="135">
        <f>352908*1.0206</f>
        <v>360177.90479999996</v>
      </c>
      <c r="I68" s="135">
        <f>437203*1.0206</f>
        <v>446209.3818</v>
      </c>
      <c r="J68" s="135">
        <f>505959*1.0206</f>
        <v>516381.75539999997</v>
      </c>
      <c r="K68" s="135">
        <f>634033*1.0206</f>
        <v>647094.0798</v>
      </c>
      <c r="L68" s="135">
        <f>625530*1.0206</f>
        <v>638415.918</v>
      </c>
      <c r="M68" s="135">
        <f>597586*1.0206</f>
        <v>609896.2716</v>
      </c>
      <c r="N68" s="135">
        <f>411509*1.0206</f>
        <v>419986.0854</v>
      </c>
      <c r="O68" s="135">
        <f>457680*1.0206</f>
        <v>467108.208</v>
      </c>
      <c r="P68" s="114">
        <f>SUM(D68:O68)</f>
        <v>5736918.133799999</v>
      </c>
      <c r="Q68" s="110" t="s">
        <v>287</v>
      </c>
    </row>
    <row r="69" spans="1:17" ht="96">
      <c r="A69" s="161" t="s">
        <v>121</v>
      </c>
      <c r="B69" s="7" t="s">
        <v>127</v>
      </c>
      <c r="C69" s="7" t="s">
        <v>313</v>
      </c>
      <c r="D69" s="83">
        <f>5484*1.0206</f>
        <v>5596.9704</v>
      </c>
      <c r="E69" s="83">
        <f>4388*1.0206</f>
        <v>4478.3928</v>
      </c>
      <c r="F69" s="83">
        <f>4100*1.0206</f>
        <v>4184.46</v>
      </c>
      <c r="G69" s="83">
        <f>3077*1.0206</f>
        <v>3140.3862</v>
      </c>
      <c r="H69" s="83">
        <f>3466*1.0206</f>
        <v>3537.3995999999997</v>
      </c>
      <c r="I69" s="83">
        <f>4137*1.0206</f>
        <v>4222.2222</v>
      </c>
      <c r="J69" s="83">
        <f>5756*1.0206</f>
        <v>5874.5736</v>
      </c>
      <c r="K69" s="83">
        <f>5750*1.0206</f>
        <v>5868.45</v>
      </c>
      <c r="L69" s="83">
        <f>9218*1.0206</f>
        <v>9407.8908</v>
      </c>
      <c r="M69" s="83">
        <f>8452*1.0206</f>
        <v>8626.1112</v>
      </c>
      <c r="N69" s="83">
        <f>7160*1.0206</f>
        <v>7307.496</v>
      </c>
      <c r="O69" s="83">
        <f>7219*1.0206</f>
        <v>7367.711399999999</v>
      </c>
      <c r="P69" s="45">
        <f>SUM(D69:O69)</f>
        <v>69612.0642</v>
      </c>
      <c r="Q69" s="7" t="s">
        <v>321</v>
      </c>
    </row>
    <row r="70" spans="1:17" s="3" customFormat="1" ht="12">
      <c r="A70" s="208" t="s">
        <v>270</v>
      </c>
      <c r="B70" s="209"/>
      <c r="C70" s="209"/>
      <c r="D70" s="209"/>
      <c r="E70" s="209"/>
      <c r="F70" s="209"/>
      <c r="G70" s="209"/>
      <c r="H70" s="209"/>
      <c r="I70" s="209"/>
      <c r="J70" s="209"/>
      <c r="K70" s="209"/>
      <c r="L70" s="209"/>
      <c r="M70" s="209"/>
      <c r="N70" s="209"/>
      <c r="O70" s="209"/>
      <c r="P70" s="209"/>
      <c r="Q70" s="210"/>
    </row>
    <row r="71" spans="1:17" s="11" customFormat="1" ht="24">
      <c r="A71" s="28" t="s">
        <v>271</v>
      </c>
      <c r="B71" s="38" t="s">
        <v>33</v>
      </c>
      <c r="C71" s="7" t="s">
        <v>76</v>
      </c>
      <c r="D71" s="45">
        <v>0</v>
      </c>
      <c r="E71" s="45">
        <v>0</v>
      </c>
      <c r="F71" s="45">
        <v>0</v>
      </c>
      <c r="G71" s="69">
        <v>1</v>
      </c>
      <c r="H71" s="69">
        <v>0</v>
      </c>
      <c r="I71" s="69">
        <v>0</v>
      </c>
      <c r="J71" s="69">
        <v>0</v>
      </c>
      <c r="K71" s="69">
        <v>0</v>
      </c>
      <c r="L71" s="69">
        <v>0</v>
      </c>
      <c r="M71" s="69">
        <v>0</v>
      </c>
      <c r="N71" s="69">
        <v>0</v>
      </c>
      <c r="O71" s="69">
        <v>0</v>
      </c>
      <c r="P71" s="43">
        <f>SUM(D71:O71)</f>
        <v>1</v>
      </c>
      <c r="Q71" s="20" t="s">
        <v>159</v>
      </c>
    </row>
    <row r="72" spans="1:17" s="11" customFormat="1" ht="62.25" customHeight="1">
      <c r="A72" s="28" t="s">
        <v>272</v>
      </c>
      <c r="B72" s="38" t="s">
        <v>122</v>
      </c>
      <c r="C72" s="7" t="s">
        <v>124</v>
      </c>
      <c r="D72" s="98">
        <f>0*1.0206</f>
        <v>0</v>
      </c>
      <c r="E72" s="98">
        <f aca="true" t="shared" si="15" ref="E72:O72">0*1.0206</f>
        <v>0</v>
      </c>
      <c r="F72" s="98">
        <f t="shared" si="15"/>
        <v>0</v>
      </c>
      <c r="G72" s="98">
        <f>2*1.0206</f>
        <v>2.0412</v>
      </c>
      <c r="H72" s="98">
        <f>7*1.0206</f>
        <v>7.1442</v>
      </c>
      <c r="I72" s="98">
        <f>5*1.0206</f>
        <v>5.103</v>
      </c>
      <c r="J72" s="98">
        <f>18*1.0206</f>
        <v>18.3708</v>
      </c>
      <c r="K72" s="98">
        <f t="shared" si="15"/>
        <v>0</v>
      </c>
      <c r="L72" s="98">
        <f t="shared" si="15"/>
        <v>0</v>
      </c>
      <c r="M72" s="98">
        <f t="shared" si="15"/>
        <v>0</v>
      </c>
      <c r="N72" s="98">
        <f>8*1.0206</f>
        <v>8.1648</v>
      </c>
      <c r="O72" s="98">
        <f t="shared" si="15"/>
        <v>0</v>
      </c>
      <c r="P72" s="45">
        <f>SUM(D72:O72)</f>
        <v>40.824</v>
      </c>
      <c r="Q72" s="20" t="s">
        <v>190</v>
      </c>
    </row>
    <row r="73" spans="1:17" s="11" customFormat="1" ht="24">
      <c r="A73" s="28" t="s">
        <v>273</v>
      </c>
      <c r="B73" s="38" t="s">
        <v>363</v>
      </c>
      <c r="C73" s="7" t="s">
        <v>100</v>
      </c>
      <c r="D73" s="32">
        <f>D72</f>
        <v>0</v>
      </c>
      <c r="E73" s="32">
        <f aca="true" t="shared" si="16" ref="E73:O73">E72</f>
        <v>0</v>
      </c>
      <c r="F73" s="32">
        <f t="shared" si="16"/>
        <v>0</v>
      </c>
      <c r="G73" s="32">
        <f t="shared" si="16"/>
        <v>2.0412</v>
      </c>
      <c r="H73" s="32">
        <f t="shared" si="16"/>
        <v>7.1442</v>
      </c>
      <c r="I73" s="32">
        <f t="shared" si="16"/>
        <v>5.103</v>
      </c>
      <c r="J73" s="32">
        <f t="shared" si="16"/>
        <v>18.3708</v>
      </c>
      <c r="K73" s="32">
        <f t="shared" si="16"/>
        <v>0</v>
      </c>
      <c r="L73" s="32">
        <f t="shared" si="16"/>
        <v>0</v>
      </c>
      <c r="M73" s="32">
        <f t="shared" si="16"/>
        <v>0</v>
      </c>
      <c r="N73" s="32">
        <f t="shared" si="16"/>
        <v>8.1648</v>
      </c>
      <c r="O73" s="32">
        <f t="shared" si="16"/>
        <v>0</v>
      </c>
      <c r="P73" s="45">
        <f>SUM(D73:O73)</f>
        <v>40.824</v>
      </c>
      <c r="Q73" s="20" t="s">
        <v>190</v>
      </c>
    </row>
    <row r="74" spans="1:17" s="11" customFormat="1" ht="63" customHeight="1">
      <c r="A74" s="28" t="s">
        <v>274</v>
      </c>
      <c r="B74" s="38" t="s">
        <v>123</v>
      </c>
      <c r="C74" s="7" t="s">
        <v>77</v>
      </c>
      <c r="D74" s="98">
        <f>0*1.0206</f>
        <v>0</v>
      </c>
      <c r="E74" s="98">
        <f>0*1.0206</f>
        <v>0</v>
      </c>
      <c r="F74" s="98">
        <f>0*1.0206</f>
        <v>0</v>
      </c>
      <c r="G74" s="98">
        <f>4758*1.0206</f>
        <v>4856.0148</v>
      </c>
      <c r="H74" s="98">
        <f>18622*1.0206</f>
        <v>19005.6132</v>
      </c>
      <c r="I74" s="98">
        <f>18662*1.0206</f>
        <v>19046.4372</v>
      </c>
      <c r="J74" s="98">
        <f>15850*1.0206</f>
        <v>16176.509999999998</v>
      </c>
      <c r="K74" s="98">
        <f>0*1.0206</f>
        <v>0</v>
      </c>
      <c r="L74" s="98">
        <f>0*1.0206</f>
        <v>0</v>
      </c>
      <c r="M74" s="98">
        <f>0*1.0206</f>
        <v>0</v>
      </c>
      <c r="N74" s="98">
        <f>6697*1.0206</f>
        <v>6834.9582</v>
      </c>
      <c r="O74" s="98">
        <f>0*1.0206</f>
        <v>0</v>
      </c>
      <c r="P74" s="45">
        <f>SUM(D74:O74)</f>
        <v>65919.53339999999</v>
      </c>
      <c r="Q74" s="20" t="s">
        <v>190</v>
      </c>
    </row>
    <row r="75" spans="1:17" s="3" customFormat="1" ht="12">
      <c r="A75" s="208" t="s">
        <v>275</v>
      </c>
      <c r="B75" s="209"/>
      <c r="C75" s="209"/>
      <c r="D75" s="209"/>
      <c r="E75" s="209"/>
      <c r="F75" s="209"/>
      <c r="G75" s="209"/>
      <c r="H75" s="209"/>
      <c r="I75" s="209"/>
      <c r="J75" s="209"/>
      <c r="K75" s="209"/>
      <c r="L75" s="209"/>
      <c r="M75" s="209"/>
      <c r="N75" s="209"/>
      <c r="O75" s="209"/>
      <c r="P75" s="209"/>
      <c r="Q75" s="210"/>
    </row>
    <row r="76" spans="1:17" s="11" customFormat="1" ht="120">
      <c r="A76" s="170">
        <v>5.1</v>
      </c>
      <c r="B76" s="7" t="s">
        <v>179</v>
      </c>
      <c r="C76" s="34" t="s">
        <v>362</v>
      </c>
      <c r="D76" s="98">
        <f>38000*1.0206</f>
        <v>38782.799999999996</v>
      </c>
      <c r="E76" s="45">
        <f>33500*1.0206</f>
        <v>34190.1</v>
      </c>
      <c r="F76" s="45">
        <f>31500*1.0206</f>
        <v>32148.899999999998</v>
      </c>
      <c r="G76" s="45">
        <f>1030000*1.0206</f>
        <v>1051218</v>
      </c>
      <c r="H76" s="45">
        <f>38500*1.0206</f>
        <v>39293.1</v>
      </c>
      <c r="I76" s="45">
        <f>17500*1.0206</f>
        <v>17860.5</v>
      </c>
      <c r="J76" s="45">
        <f>25000*1.0206</f>
        <v>25515</v>
      </c>
      <c r="K76" s="45">
        <f>2000*1.0206</f>
        <v>2041.1999999999998</v>
      </c>
      <c r="L76" s="45">
        <f>24000*1.0206</f>
        <v>24494.399999999998</v>
      </c>
      <c r="M76" s="45">
        <f>12000*1.0206</f>
        <v>12247.199999999999</v>
      </c>
      <c r="N76" s="45">
        <f>80000*1.0206</f>
        <v>81648</v>
      </c>
      <c r="O76" s="45">
        <f>12000*1.0206</f>
        <v>12247.199999999999</v>
      </c>
      <c r="P76" s="45">
        <f>SUM(D76:O76)</f>
        <v>1371686.4</v>
      </c>
      <c r="Q76" s="27" t="s">
        <v>188</v>
      </c>
    </row>
    <row r="77" spans="1:17" ht="12.75">
      <c r="A77" s="208" t="s">
        <v>276</v>
      </c>
      <c r="B77" s="209"/>
      <c r="C77" s="209"/>
      <c r="D77" s="209"/>
      <c r="E77" s="209"/>
      <c r="F77" s="209"/>
      <c r="G77" s="209"/>
      <c r="H77" s="209"/>
      <c r="I77" s="209"/>
      <c r="J77" s="209"/>
      <c r="K77" s="209"/>
      <c r="L77" s="209"/>
      <c r="M77" s="209"/>
      <c r="N77" s="209"/>
      <c r="O77" s="209"/>
      <c r="P77" s="209"/>
      <c r="Q77" s="210"/>
    </row>
    <row r="78" spans="1:17" s="87" customFormat="1" ht="46.5" customHeight="1">
      <c r="A78" s="14">
        <v>5.11</v>
      </c>
      <c r="B78" s="7" t="s">
        <v>125</v>
      </c>
      <c r="C78" s="27" t="s">
        <v>241</v>
      </c>
      <c r="D78" s="98">
        <v>329235.29742731253</v>
      </c>
      <c r="E78" s="98">
        <v>48308.871600460356</v>
      </c>
      <c r="F78" s="98">
        <v>5244.830972227065</v>
      </c>
      <c r="G78" s="98">
        <f aca="true" t="shared" si="17" ref="G78:O78">0*1.0206</f>
        <v>0</v>
      </c>
      <c r="H78" s="98">
        <f t="shared" si="17"/>
        <v>0</v>
      </c>
      <c r="I78" s="98">
        <f t="shared" si="17"/>
        <v>0</v>
      </c>
      <c r="J78" s="98">
        <f t="shared" si="17"/>
        <v>0</v>
      </c>
      <c r="K78" s="98">
        <f t="shared" si="17"/>
        <v>0</v>
      </c>
      <c r="L78" s="98">
        <f t="shared" si="17"/>
        <v>0</v>
      </c>
      <c r="M78" s="98">
        <f t="shared" si="17"/>
        <v>0</v>
      </c>
      <c r="N78" s="98">
        <f t="shared" si="17"/>
        <v>0</v>
      </c>
      <c r="O78" s="98">
        <f t="shared" si="17"/>
        <v>0</v>
      </c>
      <c r="P78" s="45">
        <f>SUM(D78:O78)</f>
        <v>382789</v>
      </c>
      <c r="Q78" s="35" t="s">
        <v>228</v>
      </c>
    </row>
    <row r="79" spans="1:17" s="11" customFormat="1" ht="12">
      <c r="A79" s="137"/>
      <c r="B79" s="129"/>
      <c r="C79" s="130"/>
      <c r="D79" s="138"/>
      <c r="E79" s="138"/>
      <c r="F79" s="138"/>
      <c r="G79" s="138"/>
      <c r="H79" s="138"/>
      <c r="I79" s="138"/>
      <c r="J79" s="138"/>
      <c r="K79" s="138"/>
      <c r="L79" s="138"/>
      <c r="M79" s="138"/>
      <c r="N79" s="138"/>
      <c r="O79" s="138"/>
      <c r="P79" s="138"/>
      <c r="Q79" s="130"/>
    </row>
    <row r="80" spans="1:18" s="87" customFormat="1" ht="27" customHeight="1">
      <c r="A80" s="216" t="s">
        <v>242</v>
      </c>
      <c r="B80" s="216"/>
      <c r="C80" s="216"/>
      <c r="D80" s="216"/>
      <c r="E80" s="216"/>
      <c r="F80" s="216"/>
      <c r="G80" s="216"/>
      <c r="H80" s="216"/>
      <c r="I80" s="216"/>
      <c r="J80" s="216"/>
      <c r="K80" s="216"/>
      <c r="L80" s="216"/>
      <c r="M80" s="216"/>
      <c r="N80" s="216"/>
      <c r="O80" s="216"/>
      <c r="P80" s="216"/>
      <c r="Q80" s="216"/>
      <c r="R80" s="103"/>
    </row>
    <row r="81" s="87" customFormat="1" ht="12.75">
      <c r="P81" s="108"/>
    </row>
    <row r="82" spans="1:16" s="87" customFormat="1" ht="12.75">
      <c r="A82" s="147" t="s">
        <v>103</v>
      </c>
      <c r="P82" s="108"/>
    </row>
    <row r="83" ht="12.75">
      <c r="B83" s="64"/>
    </row>
    <row r="84" spans="1:3" ht="12.75">
      <c r="A84">
        <v>2005</v>
      </c>
      <c r="B84" s="80">
        <v>0.0206</v>
      </c>
      <c r="C84" t="s">
        <v>325</v>
      </c>
    </row>
    <row r="85" spans="1:2" ht="12.75">
      <c r="A85">
        <v>2006</v>
      </c>
      <c r="B85" s="80">
        <v>-0.0329</v>
      </c>
    </row>
    <row r="86" spans="1:2" ht="12.75">
      <c r="A86">
        <v>2007</v>
      </c>
      <c r="B86" s="80">
        <v>0.044</v>
      </c>
    </row>
    <row r="87" spans="1:2" ht="12.75">
      <c r="A87">
        <v>2008</v>
      </c>
      <c r="B87" s="80">
        <v>-0.1244</v>
      </c>
    </row>
    <row r="88" spans="1:2" ht="12.75">
      <c r="A88">
        <v>2009</v>
      </c>
      <c r="B88" s="80">
        <v>0.0019</v>
      </c>
    </row>
    <row r="89" spans="1:2" ht="12.75">
      <c r="A89">
        <v>2010</v>
      </c>
      <c r="B89" s="195" t="s">
        <v>377</v>
      </c>
    </row>
  </sheetData>
  <mergeCells count="10">
    <mergeCell ref="A1:Q1"/>
    <mergeCell ref="A3:Q3"/>
    <mergeCell ref="C5:P5"/>
    <mergeCell ref="A80:Q80"/>
    <mergeCell ref="A75:Q75"/>
    <mergeCell ref="A77:Q77"/>
    <mergeCell ref="A31:Q31"/>
    <mergeCell ref="A59:Q59"/>
    <mergeCell ref="A63:Q63"/>
    <mergeCell ref="A70:Q70"/>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1" manualBreakCount="1">
    <brk id="76" max="255" man="1"/>
  </rowBreaks>
</worksheet>
</file>

<file path=xl/worksheets/sheet5.xml><?xml version="1.0" encoding="utf-8"?>
<worksheet xmlns="http://schemas.openxmlformats.org/spreadsheetml/2006/main" xmlns:r="http://schemas.openxmlformats.org/officeDocument/2006/relationships">
  <dimension ref="A1:S90"/>
  <sheetViews>
    <sheetView zoomScale="75" zoomScaleNormal="75" workbookViewId="0" topLeftCell="A49">
      <selection activeCell="F55" sqref="F55"/>
    </sheetView>
  </sheetViews>
  <sheetFormatPr defaultColWidth="9.140625" defaultRowHeight="12.75"/>
  <cols>
    <col min="1" max="1" width="12.28125" style="0" customWidth="1"/>
    <col min="2" max="2" width="20.00390625" style="0" customWidth="1"/>
    <col min="3" max="3" width="16.140625" style="0" customWidth="1"/>
    <col min="7" max="8" width="9.421875" style="0" bestFit="1" customWidth="1"/>
    <col min="9" max="9" width="9.8515625" style="0" customWidth="1"/>
    <col min="10" max="10" width="9.28125" style="0" customWidth="1"/>
    <col min="11" max="11" width="9.8515625" style="0" customWidth="1"/>
    <col min="12" max="12" width="10.140625" style="0" customWidth="1"/>
    <col min="13" max="13" width="9.57421875" style="0" bestFit="1" customWidth="1"/>
    <col min="15" max="15" width="9.8515625" style="0" customWidth="1"/>
    <col min="16" max="16" width="11.7109375" style="0" customWidth="1"/>
    <col min="17" max="17" width="19.421875" style="0" customWidth="1"/>
    <col min="20" max="20" width="11.57421875" style="0" bestFit="1" customWidth="1"/>
  </cols>
  <sheetData>
    <row r="1" spans="1:17" ht="18">
      <c r="A1" s="206" t="s">
        <v>17</v>
      </c>
      <c r="B1" s="206"/>
      <c r="C1" s="206"/>
      <c r="D1" s="206"/>
      <c r="E1" s="206"/>
      <c r="F1" s="206"/>
      <c r="G1" s="206"/>
      <c r="H1" s="206"/>
      <c r="I1" s="206"/>
      <c r="J1" s="206"/>
      <c r="K1" s="206"/>
      <c r="L1" s="206"/>
      <c r="M1" s="206"/>
      <c r="N1" s="206"/>
      <c r="O1" s="206"/>
      <c r="P1" s="206"/>
      <c r="Q1" s="206"/>
    </row>
    <row r="2" spans="1:16" ht="13.5" customHeight="1">
      <c r="A2" s="1"/>
      <c r="B2" s="1"/>
      <c r="C2" s="1"/>
      <c r="D2" s="1"/>
      <c r="E2" s="1"/>
      <c r="F2" s="1"/>
      <c r="G2" s="1"/>
      <c r="H2" s="1"/>
      <c r="I2" s="1"/>
      <c r="J2" s="1"/>
      <c r="K2" s="1"/>
      <c r="L2" s="1"/>
      <c r="M2" s="1"/>
      <c r="N2" s="1"/>
      <c r="O2" s="1"/>
      <c r="P2" s="1"/>
    </row>
    <row r="3" spans="1:17" ht="18">
      <c r="A3" s="206" t="s">
        <v>34</v>
      </c>
      <c r="B3" s="206"/>
      <c r="C3" s="206"/>
      <c r="D3" s="206"/>
      <c r="E3" s="206"/>
      <c r="F3" s="206"/>
      <c r="G3" s="206"/>
      <c r="H3" s="206"/>
      <c r="I3" s="206"/>
      <c r="J3" s="206"/>
      <c r="K3" s="206"/>
      <c r="L3" s="206"/>
      <c r="M3" s="206"/>
      <c r="N3" s="206"/>
      <c r="O3" s="206"/>
      <c r="P3" s="206"/>
      <c r="Q3" s="206"/>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78" t="s">
        <v>5</v>
      </c>
      <c r="G6" s="178" t="s">
        <v>6</v>
      </c>
      <c r="H6" s="178" t="s">
        <v>8</v>
      </c>
      <c r="I6" s="178" t="s">
        <v>7</v>
      </c>
      <c r="J6" s="178" t="s">
        <v>9</v>
      </c>
      <c r="K6" s="178" t="s">
        <v>10</v>
      </c>
      <c r="L6" s="178" t="s">
        <v>11</v>
      </c>
      <c r="M6" s="178" t="s">
        <v>12</v>
      </c>
      <c r="N6" s="178" t="s">
        <v>13</v>
      </c>
      <c r="O6" s="178" t="s">
        <v>14</v>
      </c>
      <c r="P6" s="180" t="s">
        <v>16</v>
      </c>
      <c r="Q6" s="174" t="s">
        <v>15</v>
      </c>
    </row>
    <row r="7" spans="1:17" s="3" customFormat="1" ht="12">
      <c r="A7" s="19" t="s">
        <v>40</v>
      </c>
      <c r="B7" s="15"/>
      <c r="C7" s="16"/>
      <c r="D7" s="17"/>
      <c r="E7" s="17"/>
      <c r="F7" s="17"/>
      <c r="G7" s="17"/>
      <c r="H7" s="17"/>
      <c r="I7" s="17"/>
      <c r="J7" s="17"/>
      <c r="K7" s="17"/>
      <c r="L7" s="17"/>
      <c r="M7" s="17"/>
      <c r="N7" s="17"/>
      <c r="O7" s="17"/>
      <c r="P7" s="16"/>
      <c r="Q7" s="18"/>
    </row>
    <row r="8" spans="1:17" s="3" customFormat="1" ht="48">
      <c r="A8" s="24" t="s">
        <v>41</v>
      </c>
      <c r="B8" s="27" t="s">
        <v>42</v>
      </c>
      <c r="C8" s="27" t="s">
        <v>43</v>
      </c>
      <c r="D8" s="45">
        <f>1*1.0618</f>
        <v>1.0618</v>
      </c>
      <c r="E8" s="45">
        <f>14*1.0618</f>
        <v>14.865200000000002</v>
      </c>
      <c r="F8" s="45">
        <f>10*1.0618</f>
        <v>10.618</v>
      </c>
      <c r="G8" s="45">
        <f>9*1.0618</f>
        <v>9.5562</v>
      </c>
      <c r="H8" s="45">
        <f>1*1.0618</f>
        <v>1.0618</v>
      </c>
      <c r="I8" s="45">
        <f>5*1.0618</f>
        <v>5.309</v>
      </c>
      <c r="J8" s="45">
        <f>14*1.0618</f>
        <v>14.865200000000002</v>
      </c>
      <c r="K8" s="45">
        <f>42*1.0618</f>
        <v>44.595600000000005</v>
      </c>
      <c r="L8" s="45">
        <f>72*1.0618</f>
        <v>76.4496</v>
      </c>
      <c r="M8" s="45">
        <f>24*1.0618</f>
        <v>25.483200000000004</v>
      </c>
      <c r="N8" s="45">
        <f>13*1.0618</f>
        <v>13.803400000000002</v>
      </c>
      <c r="O8" s="45">
        <f>25*1.0618</f>
        <v>26.545</v>
      </c>
      <c r="P8" s="43">
        <f>SUM(D8:O8)</f>
        <v>244.21400000000006</v>
      </c>
      <c r="Q8" s="38" t="s">
        <v>163</v>
      </c>
    </row>
    <row r="9" spans="1:17" s="3" customFormat="1" ht="12">
      <c r="A9" s="19" t="s">
        <v>245</v>
      </c>
      <c r="B9" s="15"/>
      <c r="C9" s="16"/>
      <c r="D9" s="17"/>
      <c r="E9" s="17"/>
      <c r="F9" s="17"/>
      <c r="G9" s="17"/>
      <c r="H9" s="17"/>
      <c r="I9" s="17"/>
      <c r="J9" s="17"/>
      <c r="K9" s="17"/>
      <c r="L9" s="17"/>
      <c r="M9" s="17"/>
      <c r="N9" s="17"/>
      <c r="O9" s="17"/>
      <c r="P9" s="16"/>
      <c r="Q9" s="18"/>
    </row>
    <row r="10" spans="1:17" s="3"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row>
    <row r="11" spans="1:17" s="3" customFormat="1" ht="12">
      <c r="A11" s="19" t="s">
        <v>247</v>
      </c>
      <c r="B11" s="15"/>
      <c r="C11" s="16"/>
      <c r="D11" s="17"/>
      <c r="E11" s="17"/>
      <c r="F11" s="17"/>
      <c r="G11" s="17"/>
      <c r="H11" s="17"/>
      <c r="I11" s="17"/>
      <c r="J11" s="17"/>
      <c r="K11" s="17"/>
      <c r="L11" s="17"/>
      <c r="M11" s="17"/>
      <c r="N11" s="17"/>
      <c r="O11" s="17"/>
      <c r="P11" s="16"/>
      <c r="Q11" s="18"/>
    </row>
    <row r="12" spans="1:17" s="3" customFormat="1" ht="24">
      <c r="A12" s="24" t="s">
        <v>248</v>
      </c>
      <c r="B12" s="24" t="s">
        <v>148</v>
      </c>
      <c r="C12" s="24" t="s">
        <v>44</v>
      </c>
      <c r="D12" s="69">
        <v>5</v>
      </c>
      <c r="E12" s="69">
        <v>4</v>
      </c>
      <c r="F12" s="69">
        <v>5</v>
      </c>
      <c r="G12" s="69">
        <v>5</v>
      </c>
      <c r="H12" s="69">
        <v>4</v>
      </c>
      <c r="I12" s="69">
        <v>5</v>
      </c>
      <c r="J12" s="69">
        <v>4</v>
      </c>
      <c r="K12" s="69">
        <v>5</v>
      </c>
      <c r="L12" s="69">
        <v>4</v>
      </c>
      <c r="M12" s="69">
        <v>5</v>
      </c>
      <c r="N12" s="69">
        <v>4</v>
      </c>
      <c r="O12" s="69">
        <v>5</v>
      </c>
      <c r="P12" s="69">
        <f>SUM(D12:O12)</f>
        <v>55</v>
      </c>
      <c r="Q12" s="28" t="s">
        <v>79</v>
      </c>
    </row>
    <row r="13" spans="1:17"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12">
        <f>SUM(D13:O13)</f>
        <v>251</v>
      </c>
      <c r="Q13" s="28" t="s">
        <v>64</v>
      </c>
    </row>
    <row r="14" spans="1:17" s="3" customFormat="1" ht="12">
      <c r="A14" s="24" t="s">
        <v>250</v>
      </c>
      <c r="B14" s="38" t="s">
        <v>63</v>
      </c>
      <c r="C14" s="24" t="s">
        <v>44</v>
      </c>
      <c r="D14" s="69">
        <v>0</v>
      </c>
      <c r="E14" s="69">
        <v>0</v>
      </c>
      <c r="F14" s="69">
        <v>1</v>
      </c>
      <c r="G14" s="69">
        <v>0</v>
      </c>
      <c r="H14" s="69">
        <v>0</v>
      </c>
      <c r="I14" s="69">
        <v>1</v>
      </c>
      <c r="J14" s="69">
        <v>0</v>
      </c>
      <c r="K14" s="69">
        <v>0</v>
      </c>
      <c r="L14" s="69">
        <v>1</v>
      </c>
      <c r="M14" s="69">
        <v>0</v>
      </c>
      <c r="N14" s="69">
        <v>0</v>
      </c>
      <c r="O14" s="69">
        <v>1</v>
      </c>
      <c r="P14" s="12">
        <f>SUM(D14:O14)</f>
        <v>4</v>
      </c>
      <c r="Q14" s="28" t="s">
        <v>78</v>
      </c>
    </row>
    <row r="15" spans="1:17" s="3" customFormat="1" ht="12">
      <c r="A15" s="19" t="s">
        <v>251</v>
      </c>
      <c r="B15" s="15"/>
      <c r="C15" s="16"/>
      <c r="D15" s="17"/>
      <c r="E15" s="17"/>
      <c r="F15" s="17"/>
      <c r="G15" s="17"/>
      <c r="H15" s="17"/>
      <c r="I15" s="17"/>
      <c r="J15" s="17"/>
      <c r="K15" s="17"/>
      <c r="L15" s="17"/>
      <c r="M15" s="17"/>
      <c r="N15" s="17"/>
      <c r="O15" s="17"/>
      <c r="P15" s="16"/>
      <c r="Q15" s="66"/>
    </row>
    <row r="16" spans="1:17" s="58" customFormat="1" ht="24">
      <c r="A16" s="28">
        <v>5.4</v>
      </c>
      <c r="B16" s="38" t="s">
        <v>45</v>
      </c>
      <c r="C16" s="27" t="s">
        <v>46</v>
      </c>
      <c r="D16" s="45">
        <v>939394.9168</v>
      </c>
      <c r="E16" s="45">
        <v>940757.0556</v>
      </c>
      <c r="F16" s="45">
        <v>928384.9576</v>
      </c>
      <c r="G16" s="45">
        <v>879553.1151999999</v>
      </c>
      <c r="H16" s="45">
        <v>778684.3912</v>
      </c>
      <c r="I16" s="45">
        <v>1093838.5652</v>
      </c>
      <c r="J16" s="45">
        <v>1331760.9492000001</v>
      </c>
      <c r="K16" s="45">
        <v>1705031.6124</v>
      </c>
      <c r="L16" s="45">
        <v>1422805.9279999998</v>
      </c>
      <c r="M16" s="45">
        <v>1387871.3408</v>
      </c>
      <c r="N16" s="45">
        <v>941443.4023999999</v>
      </c>
      <c r="O16" s="45">
        <v>962912.01</v>
      </c>
      <c r="P16" s="45">
        <f>SUM(D16:O16)</f>
        <v>13312438.2444</v>
      </c>
      <c r="Q16" s="7" t="s">
        <v>232</v>
      </c>
    </row>
    <row r="17" spans="1:17" s="3" customFormat="1" ht="12">
      <c r="A17" s="217" t="s">
        <v>252</v>
      </c>
      <c r="B17" s="218"/>
      <c r="C17" s="218"/>
      <c r="D17" s="218"/>
      <c r="E17" s="218"/>
      <c r="F17" s="218"/>
      <c r="G17" s="218"/>
      <c r="H17" s="218"/>
      <c r="I17" s="218"/>
      <c r="J17" s="218"/>
      <c r="K17" s="218"/>
      <c r="L17" s="218"/>
      <c r="M17" s="218"/>
      <c r="N17" s="218"/>
      <c r="O17" s="218"/>
      <c r="P17" s="218"/>
      <c r="Q17" s="219"/>
    </row>
    <row r="18" spans="1:17" s="2" customFormat="1" ht="12">
      <c r="A18" s="4" t="s">
        <v>21</v>
      </c>
      <c r="B18" s="5" t="s">
        <v>18</v>
      </c>
      <c r="C18" s="40"/>
      <c r="D18" s="41"/>
      <c r="E18" s="41"/>
      <c r="F18" s="41"/>
      <c r="G18" s="41"/>
      <c r="H18" s="41"/>
      <c r="I18" s="41"/>
      <c r="J18" s="41"/>
      <c r="K18" s="41"/>
      <c r="L18" s="41"/>
      <c r="M18" s="41"/>
      <c r="N18" s="41"/>
      <c r="O18" s="41"/>
      <c r="P18" s="42"/>
      <c r="Q18" s="40"/>
    </row>
    <row r="19" spans="1:17" s="2" customFormat="1" ht="12">
      <c r="A19" s="21" t="s">
        <v>253</v>
      </c>
      <c r="B19" s="5" t="s">
        <v>149</v>
      </c>
      <c r="C19" s="40"/>
      <c r="D19" s="40"/>
      <c r="E19" s="40"/>
      <c r="F19" s="40"/>
      <c r="G19" s="40"/>
      <c r="H19" s="40"/>
      <c r="I19" s="40"/>
      <c r="J19" s="40"/>
      <c r="K19" s="40"/>
      <c r="L19" s="40"/>
      <c r="M19" s="40"/>
      <c r="N19" s="40"/>
      <c r="O19" s="40"/>
      <c r="P19" s="40"/>
      <c r="Q19" s="40"/>
    </row>
    <row r="20" spans="1:17" s="2" customFormat="1" ht="81.75" customHeight="1">
      <c r="A20" s="21" t="s">
        <v>254</v>
      </c>
      <c r="B20" s="5" t="s">
        <v>110</v>
      </c>
      <c r="C20" s="26" t="s">
        <v>47</v>
      </c>
      <c r="D20" s="33">
        <f>SUM(894889-396309)*0.9892</f>
        <v>493195.336</v>
      </c>
      <c r="E20" s="32">
        <f>SUM(560736-238875)*0.9892</f>
        <v>318384.90119999996</v>
      </c>
      <c r="F20" s="32">
        <f>SUM(375744-328665)*0.9892</f>
        <v>46570.5468</v>
      </c>
      <c r="G20" s="32">
        <f>SUM(1458517-1049364)*0.9892</f>
        <v>404734.14759999997</v>
      </c>
      <c r="H20" s="32">
        <f>SUM(1215963-258376)*0.9892</f>
        <v>947245.0604</v>
      </c>
      <c r="I20" s="32">
        <f>SUM(2639587-394651)*0.9892</f>
        <v>2220690.6912</v>
      </c>
      <c r="J20" s="32">
        <f>SUM(3363381-1901230)*0.9892</f>
        <v>1446359.7692</v>
      </c>
      <c r="K20" s="32">
        <f>SUM(5371346-223274)*0.9892</f>
        <v>5092472.8224</v>
      </c>
      <c r="L20" s="32">
        <f>SUM(2152422-974770)*0.9892</f>
        <v>1164933.3584</v>
      </c>
      <c r="M20" s="32">
        <f>SUM(1003478-341871)*0.9892</f>
        <v>654461.6444</v>
      </c>
      <c r="N20" s="32">
        <f>SUM(742326-330325)*0.9892</f>
        <v>407551.3892</v>
      </c>
      <c r="O20" s="32">
        <f>SUM(2083292-201177)*0.9892</f>
        <v>1861788.158</v>
      </c>
      <c r="P20" s="31">
        <f>SUM(D20:O20)</f>
        <v>15058387.8248</v>
      </c>
      <c r="Q20" s="5"/>
    </row>
    <row r="21" spans="1:17" s="11" customFormat="1" ht="84">
      <c r="A21" s="21" t="s">
        <v>254</v>
      </c>
      <c r="B21" s="7" t="s">
        <v>110</v>
      </c>
      <c r="C21" s="27" t="s">
        <v>48</v>
      </c>
      <c r="D21" s="32">
        <f>10285*0.9892</f>
        <v>10173.922</v>
      </c>
      <c r="E21" s="32">
        <f>6510*0.9892</f>
        <v>6439.692</v>
      </c>
      <c r="F21" s="32">
        <f>4247*0.9892</f>
        <v>4201.1323999999995</v>
      </c>
      <c r="G21" s="32">
        <f>8129*0.9892</f>
        <v>8041.2068</v>
      </c>
      <c r="H21" s="32">
        <f>9166*0.9892</f>
        <v>9067.0072</v>
      </c>
      <c r="I21" s="32">
        <f>6385*0.9892</f>
        <v>6316.0419999999995</v>
      </c>
      <c r="J21" s="32">
        <f>8066*0.9892</f>
        <v>7978.8872</v>
      </c>
      <c r="K21" s="32">
        <f>9850*0.9892</f>
        <v>9743.619999999999</v>
      </c>
      <c r="L21" s="32">
        <f>3802*0.9892</f>
        <v>3760.9384</v>
      </c>
      <c r="M21" s="32">
        <f>5744*0.9892</f>
        <v>5681.9648</v>
      </c>
      <c r="N21" s="32">
        <f>5053*0.9892</f>
        <v>4998.4276</v>
      </c>
      <c r="O21" s="32">
        <f>5446*0.9892</f>
        <v>5387.1831999999995</v>
      </c>
      <c r="P21" s="83">
        <f>SUM(D21:O21)</f>
        <v>81790.02359999999</v>
      </c>
      <c r="Q21" s="7" t="s">
        <v>196</v>
      </c>
    </row>
    <row r="22" spans="1:17" s="2" customFormat="1" ht="60">
      <c r="A22" s="21" t="s">
        <v>254</v>
      </c>
      <c r="B22" s="5" t="s">
        <v>110</v>
      </c>
      <c r="C22" s="27" t="s">
        <v>144</v>
      </c>
      <c r="D22" s="30">
        <f>57897*1.2502</f>
        <v>72382.8294</v>
      </c>
      <c r="E22" s="30">
        <f>12240*1.2502</f>
        <v>15302.448</v>
      </c>
      <c r="F22" s="30">
        <f>5618*1.2502</f>
        <v>7023.6236</v>
      </c>
      <c r="G22" s="30">
        <f>29338*1.2502</f>
        <v>36678.3676</v>
      </c>
      <c r="H22" s="30">
        <f>19900*1.2502</f>
        <v>24878.98</v>
      </c>
      <c r="I22" s="30">
        <f>3227331*1.2502</f>
        <v>4034809.2162</v>
      </c>
      <c r="J22" s="30">
        <f>1584144*1.2502</f>
        <v>1980496.8288</v>
      </c>
      <c r="K22" s="30">
        <f>1575183*1.2502</f>
        <v>1969293.7866</v>
      </c>
      <c r="L22" s="30">
        <f>167493*1.2502</f>
        <v>209399.7486</v>
      </c>
      <c r="M22" s="30">
        <f>43422*1.2502</f>
        <v>54286.1844</v>
      </c>
      <c r="N22" s="30">
        <f>165925*1.2502</f>
        <v>207439.435</v>
      </c>
      <c r="O22" s="30">
        <f>147085*1.2502</f>
        <v>183885.667</v>
      </c>
      <c r="P22" s="31">
        <f>SUM(D22:O22)</f>
        <v>8795877.1152</v>
      </c>
      <c r="Q22" s="5" t="s">
        <v>192</v>
      </c>
    </row>
    <row r="23" spans="1:17" s="2" customFormat="1" ht="84">
      <c r="A23" s="21" t="s">
        <v>254</v>
      </c>
      <c r="B23" s="5" t="s">
        <v>110</v>
      </c>
      <c r="C23" s="26" t="s">
        <v>49</v>
      </c>
      <c r="D23" s="8" t="s">
        <v>59</v>
      </c>
      <c r="E23" s="8" t="s">
        <v>59</v>
      </c>
      <c r="F23" s="8" t="s">
        <v>59</v>
      </c>
      <c r="G23" s="8" t="s">
        <v>59</v>
      </c>
      <c r="H23" s="8" t="s">
        <v>59</v>
      </c>
      <c r="I23" s="8" t="s">
        <v>59</v>
      </c>
      <c r="J23" s="8" t="s">
        <v>59</v>
      </c>
      <c r="K23" s="8" t="s">
        <v>59</v>
      </c>
      <c r="L23" s="8" t="s">
        <v>59</v>
      </c>
      <c r="M23" s="8" t="s">
        <v>59</v>
      </c>
      <c r="N23" s="8" t="s">
        <v>59</v>
      </c>
      <c r="O23" s="8" t="s">
        <v>59</v>
      </c>
      <c r="P23" s="8" t="s">
        <v>59</v>
      </c>
      <c r="Q23" s="7" t="s">
        <v>200</v>
      </c>
    </row>
    <row r="24" spans="1:17" s="2" customFormat="1" ht="96">
      <c r="A24" s="21" t="s">
        <v>254</v>
      </c>
      <c r="B24" s="5" t="s">
        <v>110</v>
      </c>
      <c r="C24" s="26" t="s">
        <v>50</v>
      </c>
      <c r="D24" s="8" t="s">
        <v>59</v>
      </c>
      <c r="E24" s="8" t="s">
        <v>59</v>
      </c>
      <c r="F24" s="8" t="s">
        <v>59</v>
      </c>
      <c r="G24" s="8" t="s">
        <v>59</v>
      </c>
      <c r="H24" s="8" t="s">
        <v>59</v>
      </c>
      <c r="I24" s="8" t="s">
        <v>59</v>
      </c>
      <c r="J24" s="8" t="s">
        <v>59</v>
      </c>
      <c r="K24" s="8" t="s">
        <v>59</v>
      </c>
      <c r="L24" s="8" t="s">
        <v>59</v>
      </c>
      <c r="M24" s="8" t="s">
        <v>59</v>
      </c>
      <c r="N24" s="8" t="s">
        <v>59</v>
      </c>
      <c r="O24" s="8" t="s">
        <v>59</v>
      </c>
      <c r="P24" s="8" t="s">
        <v>59</v>
      </c>
      <c r="Q24" s="5" t="s">
        <v>88</v>
      </c>
    </row>
    <row r="25" spans="1:17" s="2" customFormat="1" ht="120">
      <c r="A25" s="21" t="s">
        <v>254</v>
      </c>
      <c r="B25" s="5" t="s">
        <v>110</v>
      </c>
      <c r="C25" s="26" t="s">
        <v>51</v>
      </c>
      <c r="D25" s="8" t="s">
        <v>59</v>
      </c>
      <c r="E25" s="8" t="s">
        <v>59</v>
      </c>
      <c r="F25" s="8" t="s">
        <v>59</v>
      </c>
      <c r="G25" s="8" t="s">
        <v>59</v>
      </c>
      <c r="H25" s="8" t="s">
        <v>59</v>
      </c>
      <c r="I25" s="8" t="s">
        <v>59</v>
      </c>
      <c r="J25" s="8" t="s">
        <v>59</v>
      </c>
      <c r="K25" s="8" t="s">
        <v>59</v>
      </c>
      <c r="L25" s="8" t="s">
        <v>59</v>
      </c>
      <c r="M25" s="8" t="s">
        <v>59</v>
      </c>
      <c r="N25" s="8" t="s">
        <v>59</v>
      </c>
      <c r="O25" s="8" t="s">
        <v>59</v>
      </c>
      <c r="P25" s="8" t="s">
        <v>59</v>
      </c>
      <c r="Q25" s="5" t="s">
        <v>84</v>
      </c>
    </row>
    <row r="26" spans="1:17" s="2" customFormat="1" ht="84">
      <c r="A26" s="21" t="s">
        <v>254</v>
      </c>
      <c r="B26" s="5" t="s">
        <v>110</v>
      </c>
      <c r="C26" s="27" t="s">
        <v>75</v>
      </c>
      <c r="D26" s="8" t="s">
        <v>59</v>
      </c>
      <c r="E26" s="8" t="s">
        <v>59</v>
      </c>
      <c r="F26" s="8" t="s">
        <v>59</v>
      </c>
      <c r="G26" s="8" t="s">
        <v>59</v>
      </c>
      <c r="H26" s="8" t="s">
        <v>59</v>
      </c>
      <c r="I26" s="8" t="s">
        <v>59</v>
      </c>
      <c r="J26" s="8" t="s">
        <v>59</v>
      </c>
      <c r="K26" s="8" t="s">
        <v>59</v>
      </c>
      <c r="L26" s="8" t="s">
        <v>59</v>
      </c>
      <c r="M26" s="8" t="s">
        <v>59</v>
      </c>
      <c r="N26" s="8" t="s">
        <v>59</v>
      </c>
      <c r="O26" s="8" t="s">
        <v>59</v>
      </c>
      <c r="P26" s="8" t="s">
        <v>59</v>
      </c>
      <c r="Q26" s="26" t="s">
        <v>85</v>
      </c>
    </row>
    <row r="27" spans="1:17" s="2" customFormat="1" ht="36">
      <c r="A27" s="109" t="s">
        <v>255</v>
      </c>
      <c r="B27" s="110"/>
      <c r="C27" s="111"/>
      <c r="D27" s="113">
        <f aca="true" t="shared" si="0" ref="D27:O27">SUM(D20:D26)</f>
        <v>575752.0874000001</v>
      </c>
      <c r="E27" s="113">
        <f t="shared" si="0"/>
        <v>340127.0411999999</v>
      </c>
      <c r="F27" s="113">
        <f t="shared" si="0"/>
        <v>57795.3028</v>
      </c>
      <c r="G27" s="113">
        <f t="shared" si="0"/>
        <v>449453.72199999995</v>
      </c>
      <c r="H27" s="113">
        <f t="shared" si="0"/>
        <v>981191.0475999999</v>
      </c>
      <c r="I27" s="113">
        <f t="shared" si="0"/>
        <v>6261815.9494</v>
      </c>
      <c r="J27" s="113">
        <f t="shared" si="0"/>
        <v>3434835.4852</v>
      </c>
      <c r="K27" s="113">
        <f t="shared" si="0"/>
        <v>7071510.229</v>
      </c>
      <c r="L27" s="113">
        <f t="shared" si="0"/>
        <v>1378094.0454000002</v>
      </c>
      <c r="M27" s="113">
        <f t="shared" si="0"/>
        <v>714429.7936</v>
      </c>
      <c r="N27" s="113">
        <f t="shared" si="0"/>
        <v>619989.2518</v>
      </c>
      <c r="O27" s="113">
        <f t="shared" si="0"/>
        <v>2051061.0082</v>
      </c>
      <c r="P27" s="142">
        <f>SUM(D27:O27)</f>
        <v>23936054.963600006</v>
      </c>
      <c r="Q27" s="111" t="s">
        <v>277</v>
      </c>
    </row>
    <row r="28" spans="1:17" s="2" customFormat="1" ht="48">
      <c r="A28" s="21" t="s">
        <v>256</v>
      </c>
      <c r="B28" s="5" t="s">
        <v>30</v>
      </c>
      <c r="C28" s="5" t="s">
        <v>99</v>
      </c>
      <c r="D28" s="8" t="s">
        <v>59</v>
      </c>
      <c r="E28" s="8" t="s">
        <v>59</v>
      </c>
      <c r="F28" s="8" t="s">
        <v>59</v>
      </c>
      <c r="G28" s="8" t="s">
        <v>59</v>
      </c>
      <c r="H28" s="8" t="s">
        <v>59</v>
      </c>
      <c r="I28" s="8" t="s">
        <v>59</v>
      </c>
      <c r="J28" s="8" t="s">
        <v>59</v>
      </c>
      <c r="K28" s="8" t="s">
        <v>59</v>
      </c>
      <c r="L28" s="8" t="s">
        <v>59</v>
      </c>
      <c r="M28" s="8" t="s">
        <v>59</v>
      </c>
      <c r="N28" s="8" t="s">
        <v>59</v>
      </c>
      <c r="O28" s="8" t="s">
        <v>59</v>
      </c>
      <c r="P28" s="8" t="s">
        <v>59</v>
      </c>
      <c r="Q28" s="7" t="s">
        <v>358</v>
      </c>
    </row>
    <row r="29" spans="1:17" s="11" customFormat="1" ht="35.25" customHeight="1">
      <c r="A29" s="23" t="s">
        <v>257</v>
      </c>
      <c r="B29" s="7" t="s">
        <v>111</v>
      </c>
      <c r="C29" s="34" t="s">
        <v>61</v>
      </c>
      <c r="D29" s="32">
        <f>33*0.9892</f>
        <v>32.6436</v>
      </c>
      <c r="E29" s="32">
        <f>21*0.9892</f>
        <v>20.7732</v>
      </c>
      <c r="F29" s="32">
        <f>4*0.9892</f>
        <v>3.9568</v>
      </c>
      <c r="G29" s="32">
        <f>21*0.9892</f>
        <v>20.7732</v>
      </c>
      <c r="H29" s="32">
        <f>78*0.9892</f>
        <v>77.1576</v>
      </c>
      <c r="I29" s="32">
        <f>41*0.9892</f>
        <v>40.5572</v>
      </c>
      <c r="J29" s="32">
        <f>47*0.9892</f>
        <v>46.492399999999996</v>
      </c>
      <c r="K29" s="32">
        <f>90*0.9892</f>
        <v>89.02799999999999</v>
      </c>
      <c r="L29" s="32">
        <f>16*0.9892</f>
        <v>15.8272</v>
      </c>
      <c r="M29" s="32">
        <f>36*0.9892</f>
        <v>35.6112</v>
      </c>
      <c r="N29" s="32">
        <f>4*0.9892</f>
        <v>3.9568</v>
      </c>
      <c r="O29" s="32">
        <v>0</v>
      </c>
      <c r="P29" s="45">
        <f>SUM(D29:O29)</f>
        <v>386.77719999999994</v>
      </c>
      <c r="Q29" s="7" t="s">
        <v>169</v>
      </c>
    </row>
    <row r="30" spans="1:17" s="2" customFormat="1" ht="60" customHeight="1">
      <c r="A30" s="4" t="s">
        <v>23</v>
      </c>
      <c r="B30" s="5" t="s">
        <v>19</v>
      </c>
      <c r="C30" s="26" t="s">
        <v>52</v>
      </c>
      <c r="D30" s="12">
        <v>0</v>
      </c>
      <c r="E30" s="12">
        <v>0</v>
      </c>
      <c r="F30" s="12">
        <v>0</v>
      </c>
      <c r="G30" s="12">
        <v>0</v>
      </c>
      <c r="H30" s="12">
        <v>0</v>
      </c>
      <c r="I30" s="12">
        <v>0</v>
      </c>
      <c r="J30" s="12">
        <v>0</v>
      </c>
      <c r="K30" s="12">
        <v>0</v>
      </c>
      <c r="L30" s="12">
        <v>0</v>
      </c>
      <c r="M30" s="12">
        <v>0</v>
      </c>
      <c r="N30" s="12">
        <v>0</v>
      </c>
      <c r="O30" s="12">
        <v>0</v>
      </c>
      <c r="P30" s="45">
        <f>SUM(D30:O30)</f>
        <v>0</v>
      </c>
      <c r="Q30" s="7" t="s">
        <v>359</v>
      </c>
    </row>
    <row r="31" spans="1:17" s="3" customFormat="1" ht="12">
      <c r="A31" s="217" t="s">
        <v>258</v>
      </c>
      <c r="B31" s="218"/>
      <c r="C31" s="218"/>
      <c r="D31" s="218"/>
      <c r="E31" s="218"/>
      <c r="F31" s="218"/>
      <c r="G31" s="218"/>
      <c r="H31" s="218"/>
      <c r="I31" s="218"/>
      <c r="J31" s="218"/>
      <c r="K31" s="218"/>
      <c r="L31" s="218"/>
      <c r="M31" s="218"/>
      <c r="N31" s="218"/>
      <c r="O31" s="218"/>
      <c r="P31" s="218"/>
      <c r="Q31" s="219"/>
    </row>
    <row r="32" spans="1:17" s="59" customFormat="1" ht="76.5" customHeight="1">
      <c r="A32" s="32" t="s">
        <v>24</v>
      </c>
      <c r="B32" s="27" t="s">
        <v>112</v>
      </c>
      <c r="C32" s="27" t="s">
        <v>53</v>
      </c>
      <c r="D32" s="32">
        <f>SUM(D20:D26)</f>
        <v>575752.0874000001</v>
      </c>
      <c r="E32" s="32">
        <f aca="true" t="shared" si="1" ref="E32:O32">SUM(E20:E26)</f>
        <v>340127.0411999999</v>
      </c>
      <c r="F32" s="32">
        <f t="shared" si="1"/>
        <v>57795.3028</v>
      </c>
      <c r="G32" s="32">
        <f t="shared" si="1"/>
        <v>449453.72199999995</v>
      </c>
      <c r="H32" s="32">
        <f t="shared" si="1"/>
        <v>981191.0475999999</v>
      </c>
      <c r="I32" s="32">
        <f t="shared" si="1"/>
        <v>6261815.9494</v>
      </c>
      <c r="J32" s="32">
        <f t="shared" si="1"/>
        <v>3434835.4852</v>
      </c>
      <c r="K32" s="32">
        <f t="shared" si="1"/>
        <v>7071510.229</v>
      </c>
      <c r="L32" s="32">
        <f t="shared" si="1"/>
        <v>1378094.0454000002</v>
      </c>
      <c r="M32" s="32">
        <f t="shared" si="1"/>
        <v>714429.7936</v>
      </c>
      <c r="N32" s="32">
        <f t="shared" si="1"/>
        <v>619989.2518</v>
      </c>
      <c r="O32" s="32">
        <f t="shared" si="1"/>
        <v>2051061.0082</v>
      </c>
      <c r="P32" s="45">
        <f>SUM(D32:O32)</f>
        <v>23936054.963600006</v>
      </c>
      <c r="Q32" s="27" t="s">
        <v>288</v>
      </c>
    </row>
    <row r="33" spans="1:17" s="59" customFormat="1" ht="37.5" customHeight="1">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row>
    <row r="34" spans="1:17" s="2" customFormat="1" ht="13.5" customHeight="1">
      <c r="A34" s="4" t="s">
        <v>115</v>
      </c>
      <c r="B34" s="5" t="s">
        <v>20</v>
      </c>
      <c r="C34" s="40"/>
      <c r="D34" s="41"/>
      <c r="E34" s="41"/>
      <c r="F34" s="41"/>
      <c r="G34" s="41"/>
      <c r="H34" s="41"/>
      <c r="I34" s="41"/>
      <c r="J34" s="41"/>
      <c r="K34" s="41"/>
      <c r="L34" s="41"/>
      <c r="M34" s="41"/>
      <c r="N34" s="41"/>
      <c r="O34" s="41"/>
      <c r="P34" s="42"/>
      <c r="Q34" s="40"/>
    </row>
    <row r="35" spans="1:17" s="2" customFormat="1" ht="36">
      <c r="A35" s="22" t="s">
        <v>259</v>
      </c>
      <c r="B35" s="5" t="s">
        <v>66</v>
      </c>
      <c r="C35" s="27" t="s">
        <v>150</v>
      </c>
      <c r="D35" s="98">
        <f>18*0.9892</f>
        <v>17.8056</v>
      </c>
      <c r="E35" s="45">
        <f>2*0.9892</f>
        <v>1.9784</v>
      </c>
      <c r="F35" s="45">
        <f>27*0.9892</f>
        <v>26.708399999999997</v>
      </c>
      <c r="G35" s="45">
        <f>8*0.9892</f>
        <v>7.9136</v>
      </c>
      <c r="H35" s="45">
        <f>38*0.9892</f>
        <v>37.5896</v>
      </c>
      <c r="I35" s="45">
        <f>0*0.9892</f>
        <v>0</v>
      </c>
      <c r="J35" s="45">
        <f>30*0.9892</f>
        <v>29.676</v>
      </c>
      <c r="K35" s="45">
        <f>57*0.9892</f>
        <v>56.3844</v>
      </c>
      <c r="L35" s="45">
        <f>151*0.9892</f>
        <v>149.3692</v>
      </c>
      <c r="M35" s="45">
        <f>121*0.9892</f>
        <v>119.69319999999999</v>
      </c>
      <c r="N35" s="45">
        <f>97*0.9892</f>
        <v>95.9524</v>
      </c>
      <c r="O35" s="45">
        <f>168*0.9892</f>
        <v>166.1856</v>
      </c>
      <c r="P35" s="45">
        <f>SUM(D35:O35)</f>
        <v>709.2564</v>
      </c>
      <c r="Q35" s="67" t="s">
        <v>73</v>
      </c>
    </row>
    <row r="36" spans="1:17" s="2" customFormat="1" ht="36">
      <c r="A36" s="22" t="s">
        <v>259</v>
      </c>
      <c r="B36" s="5" t="s">
        <v>66</v>
      </c>
      <c r="C36" s="27" t="s">
        <v>181</v>
      </c>
      <c r="D36" s="39">
        <f>38009*0.9892</f>
        <v>37598.5028</v>
      </c>
      <c r="E36" s="39">
        <f>80364*0.9892</f>
        <v>79496.0688</v>
      </c>
      <c r="F36" s="39">
        <f>25683*0.9892</f>
        <v>25405.6236</v>
      </c>
      <c r="G36" s="39">
        <f>17072*0.9892</f>
        <v>16887.6224</v>
      </c>
      <c r="H36" s="39">
        <f>49469*0.9892</f>
        <v>48934.7348</v>
      </c>
      <c r="I36" s="39">
        <f>106448*0.9892</f>
        <v>105298.3616</v>
      </c>
      <c r="J36" s="39">
        <f>92563*0.9892</f>
        <v>91563.3196</v>
      </c>
      <c r="K36" s="39">
        <f>196061*0.9892</f>
        <v>193943.5412</v>
      </c>
      <c r="L36" s="39">
        <f>136575*0.9892</f>
        <v>135099.99</v>
      </c>
      <c r="M36" s="39">
        <f>86137*0.9892</f>
        <v>85206.72039999999</v>
      </c>
      <c r="N36" s="39">
        <f>40176*0.9892</f>
        <v>39742.0992</v>
      </c>
      <c r="O36" s="39">
        <f>66012*0.9892</f>
        <v>65299.0704</v>
      </c>
      <c r="P36" s="31">
        <f>SUM(D36:O36)</f>
        <v>924475.6548</v>
      </c>
      <c r="Q36" s="35" t="s">
        <v>211</v>
      </c>
    </row>
    <row r="37" spans="1:17" s="2" customFormat="1" ht="36">
      <c r="A37" s="22" t="s">
        <v>259</v>
      </c>
      <c r="B37" s="5" t="s">
        <v>66</v>
      </c>
      <c r="C37" s="5" t="s">
        <v>182</v>
      </c>
      <c r="D37" s="32">
        <f>1851*1.2502</f>
        <v>2314.1202</v>
      </c>
      <c r="E37" s="30">
        <f>572*1.2502</f>
        <v>715.1143999999999</v>
      </c>
      <c r="F37" s="30">
        <f>380*1.2502</f>
        <v>475.07599999999996</v>
      </c>
      <c r="G37" s="30">
        <f>90*1.2502</f>
        <v>112.518</v>
      </c>
      <c r="H37" s="30">
        <f>1646*1.2502</f>
        <v>2057.8292</v>
      </c>
      <c r="I37" s="30">
        <f>52411*1.2502</f>
        <v>65524.2322</v>
      </c>
      <c r="J37" s="30">
        <f>101147*1.2502</f>
        <v>126453.9794</v>
      </c>
      <c r="K37" s="30">
        <f>28317*1.2502</f>
        <v>35401.9134</v>
      </c>
      <c r="L37" s="30">
        <f>54717*1.2502</f>
        <v>68407.1934</v>
      </c>
      <c r="M37" s="30">
        <f>10690*1.2502</f>
        <v>13364.637999999999</v>
      </c>
      <c r="N37" s="30">
        <f>15039*1.2502</f>
        <v>18801.7578</v>
      </c>
      <c r="O37" s="30">
        <f>10255*1.2502</f>
        <v>12820.801</v>
      </c>
      <c r="P37" s="31">
        <f>SUM(D37:O37)</f>
        <v>346449.17299999995</v>
      </c>
      <c r="Q37" s="5" t="s">
        <v>60</v>
      </c>
    </row>
    <row r="38" spans="1:17" s="2" customFormat="1" ht="36">
      <c r="A38" s="22" t="s">
        <v>259</v>
      </c>
      <c r="B38" s="5" t="s">
        <v>66</v>
      </c>
      <c r="C38" s="5" t="s">
        <v>183</v>
      </c>
      <c r="D38" s="33">
        <f>432*0.9892</f>
        <v>427.33439999999996</v>
      </c>
      <c r="E38" s="30">
        <f>2304*0.9892</f>
        <v>2279.1168</v>
      </c>
      <c r="F38" s="30">
        <f>672*0.9892</f>
        <v>664.7424</v>
      </c>
      <c r="G38" s="30">
        <f>506*0.9892</f>
        <v>500.5352</v>
      </c>
      <c r="H38" s="30">
        <f>722*0.9892</f>
        <v>714.2024</v>
      </c>
      <c r="I38" s="30">
        <f>2362*0.9892</f>
        <v>2336.4904</v>
      </c>
      <c r="J38" s="30">
        <f>589*0.9892</f>
        <v>582.6388</v>
      </c>
      <c r="K38" s="30">
        <f>2090*0.9892</f>
        <v>2067.428</v>
      </c>
      <c r="L38" s="30">
        <f>355*0.9892</f>
        <v>351.166</v>
      </c>
      <c r="M38" s="30">
        <f>262*0.9892</f>
        <v>259.1704</v>
      </c>
      <c r="N38" s="30">
        <f>70*0.9892</f>
        <v>69.244</v>
      </c>
      <c r="O38" s="36">
        <f>149*0.9892</f>
        <v>147.39079999999998</v>
      </c>
      <c r="P38" s="31">
        <f>SUM(D38:O38)</f>
        <v>10399.459599999998</v>
      </c>
      <c r="Q38" s="5" t="s">
        <v>83</v>
      </c>
    </row>
    <row r="39" spans="1:17" s="2" customFormat="1" ht="36">
      <c r="A39" s="22" t="s">
        <v>259</v>
      </c>
      <c r="B39" s="5" t="s">
        <v>66</v>
      </c>
      <c r="C39" s="26" t="s">
        <v>184</v>
      </c>
      <c r="D39" s="91" t="s">
        <v>59</v>
      </c>
      <c r="E39" s="37" t="s">
        <v>59</v>
      </c>
      <c r="F39" s="37" t="s">
        <v>59</v>
      </c>
      <c r="G39" s="37" t="s">
        <v>59</v>
      </c>
      <c r="H39" s="37" t="s">
        <v>59</v>
      </c>
      <c r="I39" s="37" t="s">
        <v>59</v>
      </c>
      <c r="J39" s="37" t="s">
        <v>59</v>
      </c>
      <c r="K39" s="37" t="s">
        <v>59</v>
      </c>
      <c r="L39" s="37" t="s">
        <v>59</v>
      </c>
      <c r="M39" s="37" t="s">
        <v>59</v>
      </c>
      <c r="N39" s="37" t="s">
        <v>59</v>
      </c>
      <c r="O39" s="37" t="s">
        <v>59</v>
      </c>
      <c r="P39" s="37" t="s">
        <v>59</v>
      </c>
      <c r="Q39" s="5" t="s">
        <v>86</v>
      </c>
    </row>
    <row r="40" spans="1:17" s="59" customFormat="1" ht="36">
      <c r="A40" s="22" t="s">
        <v>259</v>
      </c>
      <c r="B40" s="27" t="s">
        <v>66</v>
      </c>
      <c r="C40" s="26" t="s">
        <v>185</v>
      </c>
      <c r="D40" s="45">
        <f>(214+1285)*0.9892</f>
        <v>1482.8108</v>
      </c>
      <c r="E40" s="45">
        <f>(255+1078)*0.9892</f>
        <v>1318.6036</v>
      </c>
      <c r="F40" s="45">
        <f>(221+983)*0.9892</f>
        <v>1190.9968</v>
      </c>
      <c r="G40" s="45">
        <f>(237+1411)*0.9892</f>
        <v>1630.2015999999999</v>
      </c>
      <c r="H40" s="45">
        <f>(183+863)*0.9892</f>
        <v>1034.7032</v>
      </c>
      <c r="I40" s="45">
        <f>(257+1169)*0.9892</f>
        <v>1410.5991999999999</v>
      </c>
      <c r="J40" s="45">
        <f>(243+1373)*0.9892</f>
        <v>1598.5472</v>
      </c>
      <c r="K40" s="45">
        <f>(253+1460)*0.9892</f>
        <v>1694.4995999999999</v>
      </c>
      <c r="L40" s="45">
        <f>(179+1250)*0.9892</f>
        <v>1413.5668</v>
      </c>
      <c r="M40" s="45">
        <f>(217+1320)*0.9892</f>
        <v>1520.4004</v>
      </c>
      <c r="N40" s="45">
        <f>(132+1345)*0.9892</f>
        <v>1461.0484</v>
      </c>
      <c r="O40" s="45">
        <f>(238+1323)*0.9892</f>
        <v>1544.1412</v>
      </c>
      <c r="P40" s="45">
        <f aca="true" t="shared" si="2" ref="P40:P49">SUM(D40:O40)</f>
        <v>17300.118799999997</v>
      </c>
      <c r="Q40" s="27" t="s">
        <v>96</v>
      </c>
    </row>
    <row r="41" spans="1:17" s="2" customFormat="1" ht="36">
      <c r="A41" s="22" t="s">
        <v>259</v>
      </c>
      <c r="B41" s="5" t="s">
        <v>66</v>
      </c>
      <c r="C41" s="26" t="s">
        <v>186</v>
      </c>
      <c r="D41" s="91" t="s">
        <v>59</v>
      </c>
      <c r="E41" s="37" t="s">
        <v>59</v>
      </c>
      <c r="F41" s="37" t="s">
        <v>59</v>
      </c>
      <c r="G41" s="37" t="s">
        <v>59</v>
      </c>
      <c r="H41" s="37" t="s">
        <v>59</v>
      </c>
      <c r="I41" s="37" t="s">
        <v>59</v>
      </c>
      <c r="J41" s="37" t="s">
        <v>59</v>
      </c>
      <c r="K41" s="37" t="s">
        <v>59</v>
      </c>
      <c r="L41" s="37" t="s">
        <v>59</v>
      </c>
      <c r="M41" s="37" t="s">
        <v>59</v>
      </c>
      <c r="N41" s="37" t="s">
        <v>59</v>
      </c>
      <c r="O41" s="37" t="s">
        <v>59</v>
      </c>
      <c r="P41" s="46" t="s">
        <v>59</v>
      </c>
      <c r="Q41" s="5" t="s">
        <v>97</v>
      </c>
    </row>
    <row r="42" spans="1:17" s="60" customFormat="1" ht="36">
      <c r="A42" s="22" t="s">
        <v>259</v>
      </c>
      <c r="B42" s="26" t="s">
        <v>66</v>
      </c>
      <c r="C42" s="27" t="s">
        <v>187</v>
      </c>
      <c r="D42" s="45">
        <f>865*0.9892</f>
        <v>855.658</v>
      </c>
      <c r="E42" s="43">
        <f>3629*0.9892</f>
        <v>3589.8068</v>
      </c>
      <c r="F42" s="43">
        <f>404*0.9892</f>
        <v>399.6368</v>
      </c>
      <c r="G42" s="43">
        <f>88*0.9892</f>
        <v>87.0496</v>
      </c>
      <c r="H42" s="43">
        <f>304*0.9892</f>
        <v>300.7168</v>
      </c>
      <c r="I42" s="43">
        <f>1137*0.9892</f>
        <v>1124.7204</v>
      </c>
      <c r="J42" s="43">
        <f>1471*0.9892</f>
        <v>1455.1132</v>
      </c>
      <c r="K42" s="43">
        <f>3892*0.9892</f>
        <v>3849.9664</v>
      </c>
      <c r="L42" s="43">
        <f>2905*0.9892</f>
        <v>2873.6259999999997</v>
      </c>
      <c r="M42" s="43">
        <f>1655*0.9892</f>
        <v>1637.126</v>
      </c>
      <c r="N42" s="43">
        <f>484*0.9892</f>
        <v>478.77279999999996</v>
      </c>
      <c r="O42" s="43">
        <f>1097*0.9892</f>
        <v>1085.1524</v>
      </c>
      <c r="P42" s="43">
        <f t="shared" si="2"/>
        <v>17737.3452</v>
      </c>
      <c r="Q42" s="5" t="s">
        <v>98</v>
      </c>
    </row>
    <row r="43" spans="1:17" s="2" customFormat="1" ht="48.75" customHeight="1">
      <c r="A43" s="109" t="s">
        <v>260</v>
      </c>
      <c r="B43" s="110"/>
      <c r="C43" s="111"/>
      <c r="D43" s="113">
        <f>SUM(D35:D42)</f>
        <v>42696.2318</v>
      </c>
      <c r="E43" s="113">
        <f aca="true" t="shared" si="3" ref="E43:O43">SUM(E35:E42)</f>
        <v>87400.68880000002</v>
      </c>
      <c r="F43" s="113">
        <f t="shared" si="3"/>
        <v>28162.784</v>
      </c>
      <c r="G43" s="113">
        <f t="shared" si="3"/>
        <v>19225.840399999997</v>
      </c>
      <c r="H43" s="113">
        <f t="shared" si="3"/>
        <v>53079.776000000005</v>
      </c>
      <c r="I43" s="113">
        <f t="shared" si="3"/>
        <v>175694.4038</v>
      </c>
      <c r="J43" s="113">
        <f t="shared" si="3"/>
        <v>221683.27419999999</v>
      </c>
      <c r="K43" s="113">
        <f t="shared" si="3"/>
        <v>237013.733</v>
      </c>
      <c r="L43" s="113">
        <f t="shared" si="3"/>
        <v>208294.91139999998</v>
      </c>
      <c r="M43" s="113">
        <f t="shared" si="3"/>
        <v>102107.74839999998</v>
      </c>
      <c r="N43" s="113">
        <f t="shared" si="3"/>
        <v>60648.874599999996</v>
      </c>
      <c r="O43" s="113">
        <f t="shared" si="3"/>
        <v>81062.7414</v>
      </c>
      <c r="P43" s="142">
        <f>SUM(D43:O43)</f>
        <v>1317071.0077999998</v>
      </c>
      <c r="Q43" s="111" t="s">
        <v>322</v>
      </c>
    </row>
    <row r="44" spans="1:17" s="2" customFormat="1" ht="48.75" customHeight="1">
      <c r="A44" s="22" t="s">
        <v>259</v>
      </c>
      <c r="B44" s="26" t="s">
        <v>66</v>
      </c>
      <c r="C44" s="27" t="s">
        <v>244</v>
      </c>
      <c r="D44" s="45">
        <f>449*0.9892</f>
        <v>444.1508</v>
      </c>
      <c r="E44" s="45">
        <f>518*0.9892</f>
        <v>512.4055999999999</v>
      </c>
      <c r="F44" s="45">
        <f>406*0.9892</f>
        <v>401.61519999999996</v>
      </c>
      <c r="G44" s="45">
        <f>842*0.9892</f>
        <v>832.9064</v>
      </c>
      <c r="H44" s="45">
        <f>392*0.9892</f>
        <v>387.7664</v>
      </c>
      <c r="I44" s="45">
        <f>1109*0.9892</f>
        <v>1097.0228</v>
      </c>
      <c r="J44" s="45">
        <f>1068*0.9892</f>
        <v>1056.4656</v>
      </c>
      <c r="K44" s="45">
        <f>2130*0.9891</f>
        <v>2106.783</v>
      </c>
      <c r="L44" s="45">
        <f>1390*0.9892</f>
        <v>1374.988</v>
      </c>
      <c r="M44" s="45">
        <f>759*0.9892</f>
        <v>750.8027999999999</v>
      </c>
      <c r="N44" s="45">
        <f>559*0.9892</f>
        <v>552.9628</v>
      </c>
      <c r="O44" s="45">
        <f>393*0.9892</f>
        <v>388.7556</v>
      </c>
      <c r="P44" s="45">
        <f t="shared" si="2"/>
        <v>9906.624999999998</v>
      </c>
      <c r="Q44" s="27" t="s">
        <v>243</v>
      </c>
    </row>
    <row r="45" spans="1:17" s="59" customFormat="1" ht="39.75" customHeight="1">
      <c r="A45" s="105" t="s">
        <v>261</v>
      </c>
      <c r="B45" s="27" t="s">
        <v>32</v>
      </c>
      <c r="C45" s="27" t="s">
        <v>67</v>
      </c>
      <c r="D45" s="45">
        <f aca="true" t="shared" si="4" ref="D45:O45">SUM(D36:D42)</f>
        <v>42678.4262</v>
      </c>
      <c r="E45" s="45">
        <f t="shared" si="4"/>
        <v>87398.71040000001</v>
      </c>
      <c r="F45" s="45">
        <f t="shared" si="4"/>
        <v>28136.0756</v>
      </c>
      <c r="G45" s="45">
        <f t="shared" si="4"/>
        <v>19217.926799999997</v>
      </c>
      <c r="H45" s="45">
        <f t="shared" si="4"/>
        <v>53042.1864</v>
      </c>
      <c r="I45" s="45">
        <f t="shared" si="4"/>
        <v>175694.4038</v>
      </c>
      <c r="J45" s="45">
        <f t="shared" si="4"/>
        <v>221653.59819999998</v>
      </c>
      <c r="K45" s="45">
        <f t="shared" si="4"/>
        <v>236957.34860000003</v>
      </c>
      <c r="L45" s="45">
        <f t="shared" si="4"/>
        <v>208145.54219999997</v>
      </c>
      <c r="M45" s="45">
        <f t="shared" si="4"/>
        <v>101988.0552</v>
      </c>
      <c r="N45" s="45">
        <f t="shared" si="4"/>
        <v>60552.92219999999</v>
      </c>
      <c r="O45" s="45">
        <f t="shared" si="4"/>
        <v>80896.5558</v>
      </c>
      <c r="P45" s="45">
        <f t="shared" si="2"/>
        <v>1316361.7514</v>
      </c>
      <c r="Q45" s="27" t="s">
        <v>92</v>
      </c>
    </row>
    <row r="46" spans="1:18" s="2" customFormat="1" ht="36.75" customHeight="1">
      <c r="A46" s="105" t="s">
        <v>261</v>
      </c>
      <c r="B46" s="7" t="s">
        <v>32</v>
      </c>
      <c r="C46" s="7" t="s">
        <v>68</v>
      </c>
      <c r="D46" s="45">
        <f>D35</f>
        <v>17.8056</v>
      </c>
      <c r="E46" s="45">
        <f aca="true" t="shared" si="5" ref="E46:O46">E35</f>
        <v>1.9784</v>
      </c>
      <c r="F46" s="45">
        <f t="shared" si="5"/>
        <v>26.708399999999997</v>
      </c>
      <c r="G46" s="45">
        <f t="shared" si="5"/>
        <v>7.9136</v>
      </c>
      <c r="H46" s="45">
        <f t="shared" si="5"/>
        <v>37.5896</v>
      </c>
      <c r="I46" s="45">
        <f t="shared" si="5"/>
        <v>0</v>
      </c>
      <c r="J46" s="45">
        <f t="shared" si="5"/>
        <v>29.676</v>
      </c>
      <c r="K46" s="45">
        <f t="shared" si="5"/>
        <v>56.3844</v>
      </c>
      <c r="L46" s="45">
        <f t="shared" si="5"/>
        <v>149.3692</v>
      </c>
      <c r="M46" s="45">
        <f t="shared" si="5"/>
        <v>119.69319999999999</v>
      </c>
      <c r="N46" s="45">
        <f t="shared" si="5"/>
        <v>95.9524</v>
      </c>
      <c r="O46" s="45">
        <f t="shared" si="5"/>
        <v>166.1856</v>
      </c>
      <c r="P46" s="45">
        <f t="shared" si="2"/>
        <v>709.2564</v>
      </c>
      <c r="Q46" s="27" t="s">
        <v>94</v>
      </c>
      <c r="R46" s="11"/>
    </row>
    <row r="47" spans="1:17" s="2" customFormat="1" ht="36">
      <c r="A47" s="109" t="s">
        <v>262</v>
      </c>
      <c r="B47" s="110"/>
      <c r="C47" s="111"/>
      <c r="D47" s="113">
        <f>SUM(D45:D46)</f>
        <v>42696.2318</v>
      </c>
      <c r="E47" s="113">
        <f aca="true" t="shared" si="6" ref="E47:O47">SUM(E45:E46)</f>
        <v>87400.68880000002</v>
      </c>
      <c r="F47" s="113">
        <f t="shared" si="6"/>
        <v>28162.784</v>
      </c>
      <c r="G47" s="113">
        <f t="shared" si="6"/>
        <v>19225.840399999997</v>
      </c>
      <c r="H47" s="113">
        <f t="shared" si="6"/>
        <v>53079.776</v>
      </c>
      <c r="I47" s="113">
        <f t="shared" si="6"/>
        <v>175694.4038</v>
      </c>
      <c r="J47" s="113">
        <f t="shared" si="6"/>
        <v>221683.27419999999</v>
      </c>
      <c r="K47" s="113">
        <f t="shared" si="6"/>
        <v>237013.73300000004</v>
      </c>
      <c r="L47" s="113">
        <f t="shared" si="6"/>
        <v>208294.91139999995</v>
      </c>
      <c r="M47" s="113">
        <f t="shared" si="6"/>
        <v>102107.7484</v>
      </c>
      <c r="N47" s="113">
        <f t="shared" si="6"/>
        <v>60648.874599999996</v>
      </c>
      <c r="O47" s="113">
        <f t="shared" si="6"/>
        <v>81062.7414</v>
      </c>
      <c r="P47" s="142">
        <f>SUM(D47:O47)</f>
        <v>1317071.0077999998</v>
      </c>
      <c r="Q47" s="111" t="s">
        <v>280</v>
      </c>
    </row>
    <row r="48" spans="1:17" s="2" customFormat="1" ht="38.25" customHeight="1">
      <c r="A48" s="6" t="s">
        <v>263</v>
      </c>
      <c r="B48" s="7" t="s">
        <v>126</v>
      </c>
      <c r="C48" s="27" t="s">
        <v>206</v>
      </c>
      <c r="D48" s="32">
        <f>(43696-32898)*0.9892</f>
        <v>10681.381599999999</v>
      </c>
      <c r="E48" s="32">
        <f>(23332-9660)*0.9892</f>
        <v>13524.3424</v>
      </c>
      <c r="F48" s="32">
        <f>(57340-38474)*0.9892</f>
        <v>18662.247199999998</v>
      </c>
      <c r="G48" s="32">
        <f>(51368-5528)*0.9892</f>
        <v>45344.928</v>
      </c>
      <c r="H48" s="32">
        <f>(43038-6657)*0.9892</f>
        <v>35988.0852</v>
      </c>
      <c r="I48" s="32">
        <f>(76265-27257)*0.9892</f>
        <v>48478.713599999995</v>
      </c>
      <c r="J48" s="32">
        <f>(97000-36543)*0.9892</f>
        <v>59804.064399999996</v>
      </c>
      <c r="K48" s="32">
        <f>(122067-55474)*0.9892</f>
        <v>65873.7956</v>
      </c>
      <c r="L48" s="32">
        <f>(188591-108648)*0.9892</f>
        <v>79079.6156</v>
      </c>
      <c r="M48" s="32">
        <f>(141079-140367)*0.9892</f>
        <v>704.3104</v>
      </c>
      <c r="N48" s="32">
        <f>(95489-21847)*0.9892</f>
        <v>72846.6664</v>
      </c>
      <c r="O48" s="32">
        <f>(38067-17377)*0.9892</f>
        <v>20466.548</v>
      </c>
      <c r="P48" s="83">
        <f t="shared" si="2"/>
        <v>471454.69840000005</v>
      </c>
      <c r="Q48" s="35" t="s">
        <v>209</v>
      </c>
    </row>
    <row r="49" spans="1:17" s="2" customFormat="1" ht="36">
      <c r="A49" s="6" t="s">
        <v>263</v>
      </c>
      <c r="B49" s="7" t="s">
        <v>126</v>
      </c>
      <c r="C49" s="27" t="s">
        <v>207</v>
      </c>
      <c r="D49" s="32">
        <f>4732*1.2502</f>
        <v>5915.9464</v>
      </c>
      <c r="E49" s="32">
        <f>0*1.2502</f>
        <v>0</v>
      </c>
      <c r="F49" s="32">
        <f>2357*1.2502</f>
        <v>2946.7214</v>
      </c>
      <c r="G49" s="32">
        <f>1160*1.2502</f>
        <v>1450.232</v>
      </c>
      <c r="H49" s="32">
        <f>995*1.2502</f>
        <v>1243.949</v>
      </c>
      <c r="I49" s="32">
        <f>0*1.2502</f>
        <v>0</v>
      </c>
      <c r="J49" s="32">
        <f>12160*1.2502</f>
        <v>15202.431999999999</v>
      </c>
      <c r="K49" s="32">
        <f>27084*1.2502</f>
        <v>33860.4168</v>
      </c>
      <c r="L49" s="32">
        <f>70301*1.2502</f>
        <v>87890.31019999999</v>
      </c>
      <c r="M49" s="32">
        <f>20790*1.2502</f>
        <v>25991.658</v>
      </c>
      <c r="N49" s="32">
        <f>17619*1.2502</f>
        <v>22027.2738</v>
      </c>
      <c r="O49" s="32">
        <f>9155*1.2502</f>
        <v>11445.581</v>
      </c>
      <c r="P49" s="83">
        <f t="shared" si="2"/>
        <v>207974.5206</v>
      </c>
      <c r="Q49" s="7" t="s">
        <v>58</v>
      </c>
    </row>
    <row r="50" spans="1:17" s="2" customFormat="1" ht="36">
      <c r="A50" s="6" t="s">
        <v>263</v>
      </c>
      <c r="B50" s="7" t="s">
        <v>126</v>
      </c>
      <c r="C50" s="27" t="s">
        <v>208</v>
      </c>
      <c r="D50" s="10" t="s">
        <v>59</v>
      </c>
      <c r="E50" s="10" t="s">
        <v>59</v>
      </c>
      <c r="F50" s="10" t="s">
        <v>59</v>
      </c>
      <c r="G50" s="10" t="s">
        <v>59</v>
      </c>
      <c r="H50" s="10" t="s">
        <v>59</v>
      </c>
      <c r="I50" s="10" t="s">
        <v>59</v>
      </c>
      <c r="J50" s="10" t="s">
        <v>59</v>
      </c>
      <c r="K50" s="10" t="s">
        <v>59</v>
      </c>
      <c r="L50" s="10" t="s">
        <v>59</v>
      </c>
      <c r="M50" s="10" t="s">
        <v>59</v>
      </c>
      <c r="N50" s="10" t="s">
        <v>59</v>
      </c>
      <c r="O50" s="10" t="s">
        <v>59</v>
      </c>
      <c r="P50" s="10" t="s">
        <v>59</v>
      </c>
      <c r="Q50" s="7" t="s">
        <v>175</v>
      </c>
    </row>
    <row r="51" spans="1:19" s="2" customFormat="1" ht="47.25" customHeight="1">
      <c r="A51" s="6" t="s">
        <v>263</v>
      </c>
      <c r="B51" s="7" t="s">
        <v>126</v>
      </c>
      <c r="C51" s="27" t="s">
        <v>205</v>
      </c>
      <c r="D51" s="32">
        <f>(2678+32898)*0.9892</f>
        <v>35191.7792</v>
      </c>
      <c r="E51" s="32">
        <f>(3771+9660)*0.9892</f>
        <v>13285.9452</v>
      </c>
      <c r="F51" s="32">
        <f>(1995+38474)*0.9892</f>
        <v>40031.934799999995</v>
      </c>
      <c r="G51" s="32">
        <f>(748+5528)*0.9892</f>
        <v>6208.2192</v>
      </c>
      <c r="H51" s="32">
        <f>(849+6657)*0.9892</f>
        <v>7424.9352</v>
      </c>
      <c r="I51" s="32">
        <f>(5282+27257)*0.9892</f>
        <v>32187.5788</v>
      </c>
      <c r="J51" s="32">
        <f>(3222+36543)*0.9892</f>
        <v>39335.538</v>
      </c>
      <c r="K51" s="32">
        <f>(3696+55474)*0.9892</f>
        <v>58530.964</v>
      </c>
      <c r="L51" s="32">
        <f>(1277+108648)*0.9892</f>
        <v>108737.81</v>
      </c>
      <c r="M51" s="32">
        <f>(353+140367)*0.9892</f>
        <v>139200.224</v>
      </c>
      <c r="N51" s="32">
        <f>(166+21847)*0.9892</f>
        <v>21775.259599999998</v>
      </c>
      <c r="O51" s="32">
        <f>(198+17377)*0.9892</f>
        <v>17385.19</v>
      </c>
      <c r="P51" s="83">
        <f aca="true" t="shared" si="7" ref="P51:P58">SUM(D51:O51)</f>
        <v>519295.37799999997</v>
      </c>
      <c r="Q51" s="7" t="s">
        <v>204</v>
      </c>
      <c r="S51" s="120"/>
    </row>
    <row r="52" spans="1:19" s="2" customFormat="1" ht="47.25" customHeight="1">
      <c r="A52" s="6" t="s">
        <v>263</v>
      </c>
      <c r="B52" s="7" t="s">
        <v>126</v>
      </c>
      <c r="C52" s="27" t="s">
        <v>226</v>
      </c>
      <c r="D52" s="32">
        <f>D68</f>
        <v>749617.7384</v>
      </c>
      <c r="E52" s="32">
        <f aca="true" t="shared" si="8" ref="E52:O52">E68</f>
        <v>646022.7792</v>
      </c>
      <c r="F52" s="32">
        <f t="shared" si="8"/>
        <v>615717.6479999999</v>
      </c>
      <c r="G52" s="32">
        <f t="shared" si="8"/>
        <v>657833.8271999999</v>
      </c>
      <c r="H52" s="32">
        <f t="shared" si="8"/>
        <v>529475.2352</v>
      </c>
      <c r="I52" s="32">
        <f t="shared" si="8"/>
        <v>693571.6448</v>
      </c>
      <c r="J52" s="32">
        <f t="shared" si="8"/>
        <v>895756.2112</v>
      </c>
      <c r="K52" s="32">
        <f t="shared" si="8"/>
        <v>1100794.6195999999</v>
      </c>
      <c r="L52" s="32">
        <f t="shared" si="8"/>
        <v>889855.6331999999</v>
      </c>
      <c r="M52" s="32">
        <f t="shared" si="8"/>
        <v>913864.5064</v>
      </c>
      <c r="N52" s="32">
        <f t="shared" si="8"/>
        <v>675524.6799999999</v>
      </c>
      <c r="O52" s="32">
        <f t="shared" si="8"/>
        <v>731100.9036</v>
      </c>
      <c r="P52" s="83">
        <f t="shared" si="7"/>
        <v>9099135.4268</v>
      </c>
      <c r="Q52" s="7" t="s">
        <v>281</v>
      </c>
      <c r="S52" s="120"/>
    </row>
    <row r="53" spans="1:17" s="2" customFormat="1" ht="24">
      <c r="A53" s="109" t="s">
        <v>264</v>
      </c>
      <c r="B53" s="110"/>
      <c r="C53" s="111"/>
      <c r="D53" s="113">
        <f>SUM(D48:D52)</f>
        <v>801406.8456</v>
      </c>
      <c r="E53" s="113">
        <f aca="true" t="shared" si="9" ref="E53:O53">SUM(E48:E52)</f>
        <v>672833.0668</v>
      </c>
      <c r="F53" s="113">
        <f t="shared" si="9"/>
        <v>677358.5513999999</v>
      </c>
      <c r="G53" s="113">
        <f t="shared" si="9"/>
        <v>710837.2063999999</v>
      </c>
      <c r="H53" s="113">
        <f t="shared" si="9"/>
        <v>574132.2046</v>
      </c>
      <c r="I53" s="113">
        <f t="shared" si="9"/>
        <v>774237.9372</v>
      </c>
      <c r="J53" s="113">
        <f t="shared" si="9"/>
        <v>1010098.2456</v>
      </c>
      <c r="K53" s="113">
        <f t="shared" si="9"/>
        <v>1259059.7959999999</v>
      </c>
      <c r="L53" s="113">
        <f t="shared" si="9"/>
        <v>1165563.369</v>
      </c>
      <c r="M53" s="113">
        <f t="shared" si="9"/>
        <v>1079760.6988</v>
      </c>
      <c r="N53" s="113">
        <f t="shared" si="9"/>
        <v>792173.8798</v>
      </c>
      <c r="O53" s="113">
        <f t="shared" si="9"/>
        <v>780398.2226</v>
      </c>
      <c r="P53" s="142">
        <f t="shared" si="7"/>
        <v>10297860.0238</v>
      </c>
      <c r="Q53" s="111" t="s">
        <v>282</v>
      </c>
    </row>
    <row r="54" spans="1:17" s="2" customFormat="1" ht="69.75" customHeight="1">
      <c r="A54" s="6" t="s">
        <v>263</v>
      </c>
      <c r="B54" s="7" t="s">
        <v>126</v>
      </c>
      <c r="C54" s="7" t="s">
        <v>152</v>
      </c>
      <c r="D54" s="124">
        <f>0.01*D53</f>
        <v>8014.068456</v>
      </c>
      <c r="E54" s="124">
        <f aca="true" t="shared" si="10" ref="E54:O54">0.01*E53</f>
        <v>6728.3306680000005</v>
      </c>
      <c r="F54" s="124">
        <f t="shared" si="10"/>
        <v>6773.5855139999985</v>
      </c>
      <c r="G54" s="124">
        <f t="shared" si="10"/>
        <v>7108.372063999999</v>
      </c>
      <c r="H54" s="124">
        <f t="shared" si="10"/>
        <v>5741.322046</v>
      </c>
      <c r="I54" s="124">
        <f t="shared" si="10"/>
        <v>7742.379372</v>
      </c>
      <c r="J54" s="124">
        <f t="shared" si="10"/>
        <v>10100.982456</v>
      </c>
      <c r="K54" s="124">
        <f t="shared" si="10"/>
        <v>12590.59796</v>
      </c>
      <c r="L54" s="124">
        <f t="shared" si="10"/>
        <v>11655.63369</v>
      </c>
      <c r="M54" s="124">
        <f t="shared" si="10"/>
        <v>10797.606988</v>
      </c>
      <c r="N54" s="124">
        <f t="shared" si="10"/>
        <v>7921.738798</v>
      </c>
      <c r="O54" s="124">
        <f t="shared" si="10"/>
        <v>7803.982226</v>
      </c>
      <c r="P54" s="45">
        <f t="shared" si="7"/>
        <v>102978.60023800001</v>
      </c>
      <c r="Q54" s="7" t="s">
        <v>220</v>
      </c>
    </row>
    <row r="55" spans="1:17" s="2" customFormat="1" ht="60">
      <c r="A55" s="4" t="s">
        <v>265</v>
      </c>
      <c r="B55" s="5" t="s">
        <v>27</v>
      </c>
      <c r="C55" s="5" t="s">
        <v>70</v>
      </c>
      <c r="D55" s="32">
        <f>(18521-18149)*0.9892</f>
        <v>367.9824</v>
      </c>
      <c r="E55" s="32">
        <f>(169477-166072)*0.9892</f>
        <v>3368.226</v>
      </c>
      <c r="F55" s="32">
        <f>(153384-150302)*0.9892</f>
        <v>3048.7144</v>
      </c>
      <c r="G55" s="32">
        <f>104264*0.9892</f>
        <v>103137.9488</v>
      </c>
      <c r="H55" s="32">
        <f>89407*0.9892</f>
        <v>88441.4044</v>
      </c>
      <c r="I55" s="32">
        <f>22935*0.9892</f>
        <v>22687.302</v>
      </c>
      <c r="J55" s="32">
        <f>78296*0.9892</f>
        <v>77450.4032</v>
      </c>
      <c r="K55" s="32">
        <f>78370*0.9892</f>
        <v>77523.60399999999</v>
      </c>
      <c r="L55" s="32">
        <f>59878*0.9892</f>
        <v>59231.317599999995</v>
      </c>
      <c r="M55" s="32">
        <f>15694*0.9892</f>
        <v>15524.504799999999</v>
      </c>
      <c r="N55" s="32">
        <f>20633*0.9892</f>
        <v>20410.1636</v>
      </c>
      <c r="O55" s="32">
        <f>27089*0.9892</f>
        <v>26796.4388</v>
      </c>
      <c r="P55" s="31">
        <f t="shared" si="7"/>
        <v>497988.01</v>
      </c>
      <c r="Q55" s="27" t="s">
        <v>291</v>
      </c>
    </row>
    <row r="56" spans="1:17" s="2" customFormat="1" ht="36">
      <c r="A56" s="4" t="s">
        <v>265</v>
      </c>
      <c r="B56" s="5" t="s">
        <v>27</v>
      </c>
      <c r="C56" s="5" t="s">
        <v>71</v>
      </c>
      <c r="D56" s="32">
        <f>1893*0.9892</f>
        <v>1872.5556</v>
      </c>
      <c r="E56" s="32">
        <f>1487*0.9892</f>
        <v>1470.9404</v>
      </c>
      <c r="F56" s="32">
        <f>1260*0.9892</f>
        <v>1246.392</v>
      </c>
      <c r="G56" s="32">
        <f>966*0.9892</f>
        <v>955.5672</v>
      </c>
      <c r="H56" s="32">
        <f>1724*0.9892</f>
        <v>1705.3808</v>
      </c>
      <c r="I56" s="32">
        <f>2383*0.9892</f>
        <v>2357.2635999999998</v>
      </c>
      <c r="J56" s="32">
        <f>1934*0.9892</f>
        <v>1913.1127999999999</v>
      </c>
      <c r="K56" s="32">
        <f>1973*0.9892</f>
        <v>1951.6915999999999</v>
      </c>
      <c r="L56" s="32">
        <f>2068*0.9892</f>
        <v>2045.6656</v>
      </c>
      <c r="M56" s="32">
        <f>2264*0.9892</f>
        <v>2239.5488</v>
      </c>
      <c r="N56" s="32">
        <f>2080*0.9892</f>
        <v>2057.536</v>
      </c>
      <c r="O56" s="32">
        <f>1915*0.9892</f>
        <v>1894.318</v>
      </c>
      <c r="P56" s="31">
        <f t="shared" si="7"/>
        <v>21709.9724</v>
      </c>
      <c r="Q56" s="27" t="s">
        <v>72</v>
      </c>
    </row>
    <row r="57" spans="1:17" s="2" customFormat="1" ht="24">
      <c r="A57" s="109" t="s">
        <v>266</v>
      </c>
      <c r="B57" s="110"/>
      <c r="C57" s="111"/>
      <c r="D57" s="113">
        <f>SUM(D55:D56)</f>
        <v>2240.538</v>
      </c>
      <c r="E57" s="113">
        <f>SUM(E55:E56)</f>
        <v>4839.1664</v>
      </c>
      <c r="F57" s="113">
        <f aca="true" t="shared" si="11" ref="F57:O57">SUM(F55:F56)</f>
        <v>4295.1064</v>
      </c>
      <c r="G57" s="113">
        <f t="shared" si="11"/>
        <v>104093.516</v>
      </c>
      <c r="H57" s="113">
        <f t="shared" si="11"/>
        <v>90146.7852</v>
      </c>
      <c r="I57" s="113">
        <f t="shared" si="11"/>
        <v>25044.565599999998</v>
      </c>
      <c r="J57" s="113">
        <f t="shared" si="11"/>
        <v>79363.516</v>
      </c>
      <c r="K57" s="113">
        <f t="shared" si="11"/>
        <v>79475.2956</v>
      </c>
      <c r="L57" s="113">
        <f t="shared" si="11"/>
        <v>61276.983199999995</v>
      </c>
      <c r="M57" s="113">
        <f t="shared" si="11"/>
        <v>17764.0536</v>
      </c>
      <c r="N57" s="113">
        <f t="shared" si="11"/>
        <v>22467.6996</v>
      </c>
      <c r="O57" s="113">
        <f t="shared" si="11"/>
        <v>28690.7568</v>
      </c>
      <c r="P57" s="142">
        <f t="shared" si="7"/>
        <v>519697.9824</v>
      </c>
      <c r="Q57" s="111" t="s">
        <v>284</v>
      </c>
    </row>
    <row r="58" spans="1:17" s="2" customFormat="1" ht="25.5" customHeight="1">
      <c r="A58" s="4" t="s">
        <v>265</v>
      </c>
      <c r="B58" s="5" t="s">
        <v>27</v>
      </c>
      <c r="C58" s="26" t="s">
        <v>56</v>
      </c>
      <c r="D58" s="32">
        <f>27378*0.9892</f>
        <v>27082.3176</v>
      </c>
      <c r="E58" s="32">
        <f>15016*0.9892</f>
        <v>14853.8272</v>
      </c>
      <c r="F58" s="32">
        <f>27357*0.9892</f>
        <v>27061.5444</v>
      </c>
      <c r="G58" s="32">
        <f>17122*0.9892</f>
        <v>16937.0824</v>
      </c>
      <c r="H58" s="32">
        <f>29683*0.9892</f>
        <v>29362.4236</v>
      </c>
      <c r="I58" s="32">
        <f>47783*0.9892</f>
        <v>47266.9436</v>
      </c>
      <c r="J58" s="32">
        <f>31168*0.9892</f>
        <v>30831.385599999998</v>
      </c>
      <c r="K58" s="32">
        <f>25525*0.9892</f>
        <v>25249.329999999998</v>
      </c>
      <c r="L58" s="32">
        <f>21923*0.9892</f>
        <v>21686.2316</v>
      </c>
      <c r="M58" s="32">
        <f>42284*0.9892</f>
        <v>41827.3328</v>
      </c>
      <c r="N58" s="32">
        <f>33022*0.9892</f>
        <v>32665.362399999998</v>
      </c>
      <c r="O58" s="32">
        <f>31087*0.9892</f>
        <v>30751.2604</v>
      </c>
      <c r="P58" s="31">
        <f t="shared" si="7"/>
        <v>345575.0416</v>
      </c>
      <c r="Q58" s="27" t="s">
        <v>69</v>
      </c>
    </row>
    <row r="59" spans="1:17" s="3" customFormat="1" ht="12">
      <c r="A59" s="217" t="s">
        <v>267</v>
      </c>
      <c r="B59" s="218"/>
      <c r="C59" s="218"/>
      <c r="D59" s="218"/>
      <c r="E59" s="218"/>
      <c r="F59" s="218"/>
      <c r="G59" s="218"/>
      <c r="H59" s="218"/>
      <c r="I59" s="218"/>
      <c r="J59" s="218"/>
      <c r="K59" s="218"/>
      <c r="L59" s="218"/>
      <c r="M59" s="218"/>
      <c r="N59" s="218"/>
      <c r="O59" s="218"/>
      <c r="P59" s="218"/>
      <c r="Q59" s="219"/>
    </row>
    <row r="60" spans="1:17" s="2" customFormat="1" ht="73.5" customHeight="1">
      <c r="A60" s="4" t="s">
        <v>25</v>
      </c>
      <c r="B60" s="9" t="s">
        <v>22</v>
      </c>
      <c r="C60" s="27" t="s">
        <v>154</v>
      </c>
      <c r="D60" s="45">
        <f>3652*0.9892</f>
        <v>3612.5584</v>
      </c>
      <c r="E60" s="45">
        <f>5046*0.9892</f>
        <v>4991.5032</v>
      </c>
      <c r="F60" s="45">
        <f>9801*0.9892</f>
        <v>9695.1492</v>
      </c>
      <c r="G60" s="45">
        <f>763*0.9892</f>
        <v>754.7596</v>
      </c>
      <c r="H60" s="45">
        <f>5040*0.9892</f>
        <v>4985.568</v>
      </c>
      <c r="I60" s="45">
        <f>5279*0.9892</f>
        <v>5221.9868</v>
      </c>
      <c r="J60" s="45">
        <f>4378*0.9892</f>
        <v>4330.7176</v>
      </c>
      <c r="K60" s="45">
        <f>5415*0.9892</f>
        <v>5356.518</v>
      </c>
      <c r="L60" s="45">
        <f>6265*0.9892</f>
        <v>6197.338</v>
      </c>
      <c r="M60" s="45">
        <f>7145*0.9892</f>
        <v>7067.834</v>
      </c>
      <c r="N60" s="45">
        <f>3332*0.9892</f>
        <v>3296.0144</v>
      </c>
      <c r="O60" s="45">
        <f>2969*0.9892</f>
        <v>2936.9348</v>
      </c>
      <c r="P60" s="45">
        <f>SUM(D60:O60)</f>
        <v>58446.88200000001</v>
      </c>
      <c r="Q60" s="7" t="s">
        <v>296</v>
      </c>
    </row>
    <row r="61" spans="1:17" s="11" customFormat="1" ht="36">
      <c r="A61" s="6" t="s">
        <v>26</v>
      </c>
      <c r="B61" s="7" t="s">
        <v>151</v>
      </c>
      <c r="C61" s="7" t="s">
        <v>173</v>
      </c>
      <c r="D61" s="128">
        <f>(250+350)/2/12</f>
        <v>25</v>
      </c>
      <c r="E61" s="128">
        <f aca="true" t="shared" si="12" ref="E61:O61">(250+350)/2/12</f>
        <v>25</v>
      </c>
      <c r="F61" s="128">
        <f t="shared" si="12"/>
        <v>25</v>
      </c>
      <c r="G61" s="128">
        <f t="shared" si="12"/>
        <v>25</v>
      </c>
      <c r="H61" s="128">
        <f t="shared" si="12"/>
        <v>25</v>
      </c>
      <c r="I61" s="128">
        <f t="shared" si="12"/>
        <v>25</v>
      </c>
      <c r="J61" s="128">
        <f t="shared" si="12"/>
        <v>25</v>
      </c>
      <c r="K61" s="128">
        <f t="shared" si="12"/>
        <v>25</v>
      </c>
      <c r="L61" s="128">
        <f t="shared" si="12"/>
        <v>25</v>
      </c>
      <c r="M61" s="128">
        <f t="shared" si="12"/>
        <v>25</v>
      </c>
      <c r="N61" s="128">
        <f t="shared" si="12"/>
        <v>25</v>
      </c>
      <c r="O61" s="128">
        <f t="shared" si="12"/>
        <v>25</v>
      </c>
      <c r="P61" s="45">
        <f>SUM(D61:O61)</f>
        <v>300</v>
      </c>
      <c r="Q61" s="7" t="s">
        <v>227</v>
      </c>
    </row>
    <row r="62" spans="1:17" s="2" customFormat="1" ht="48">
      <c r="A62" s="4" t="s">
        <v>29</v>
      </c>
      <c r="B62" s="5" t="s">
        <v>116</v>
      </c>
      <c r="C62" s="5" t="s">
        <v>128</v>
      </c>
      <c r="D62" s="30">
        <f>471*0.9892</f>
        <v>465.91319999999996</v>
      </c>
      <c r="E62" s="30">
        <f>590*0.9892</f>
        <v>583.6279999999999</v>
      </c>
      <c r="F62" s="30">
        <f>566*0.9892</f>
        <v>559.8872</v>
      </c>
      <c r="G62" s="30">
        <f>180*0.9892</f>
        <v>178.05599999999998</v>
      </c>
      <c r="H62" s="30">
        <f>249*0.9892</f>
        <v>246.3108</v>
      </c>
      <c r="I62" s="30">
        <f>367*0.9892</f>
        <v>363.0364</v>
      </c>
      <c r="J62" s="30">
        <f>210*0.9892</f>
        <v>207.732</v>
      </c>
      <c r="K62" s="30">
        <f>180*0.9892</f>
        <v>178.05599999999998</v>
      </c>
      <c r="L62" s="30">
        <f>800*0.9892</f>
        <v>791.36</v>
      </c>
      <c r="M62" s="30">
        <f>328*0.9892</f>
        <v>324.4576</v>
      </c>
      <c r="N62" s="30">
        <f>257*0.9892</f>
        <v>254.2244</v>
      </c>
      <c r="O62" s="32">
        <f>453*0.9892</f>
        <v>448.1076</v>
      </c>
      <c r="P62" s="31">
        <f>SUM(D62:O62)</f>
        <v>4600.769200000001</v>
      </c>
      <c r="Q62" s="13" t="s">
        <v>54</v>
      </c>
    </row>
    <row r="63" spans="1:17" s="3" customFormat="1" ht="12">
      <c r="A63" s="217" t="s">
        <v>268</v>
      </c>
      <c r="B63" s="218"/>
      <c r="C63" s="218"/>
      <c r="D63" s="218"/>
      <c r="E63" s="218"/>
      <c r="F63" s="218"/>
      <c r="G63" s="218"/>
      <c r="H63" s="218"/>
      <c r="I63" s="218"/>
      <c r="J63" s="218"/>
      <c r="K63" s="218"/>
      <c r="L63" s="218"/>
      <c r="M63" s="218"/>
      <c r="N63" s="218"/>
      <c r="O63" s="218"/>
      <c r="P63" s="218"/>
      <c r="Q63" s="219"/>
    </row>
    <row r="64" spans="1:17" s="11" customFormat="1" ht="37.5" customHeight="1">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33">
        <f>1432*0.9892</f>
        <v>1416.5344</v>
      </c>
      <c r="E65" s="32">
        <f>1358*0.9892</f>
        <v>1343.3336</v>
      </c>
      <c r="F65" s="32">
        <f>0*0.9892</f>
        <v>0</v>
      </c>
      <c r="G65" s="32">
        <f>6372*0.9892</f>
        <v>6303.1824</v>
      </c>
      <c r="H65" s="32">
        <f>7065*0.9892</f>
        <v>6988.697999999999</v>
      </c>
      <c r="I65" s="32">
        <f>2795*0.9892</f>
        <v>2764.814</v>
      </c>
      <c r="J65" s="32">
        <f>3969*0.9892</f>
        <v>3926.1348</v>
      </c>
      <c r="K65" s="32">
        <f>3968*0.9892</f>
        <v>3925.1456</v>
      </c>
      <c r="L65" s="32">
        <f>5938*0.9892</f>
        <v>5873.8696</v>
      </c>
      <c r="M65" s="32">
        <f>6362*0.9892</f>
        <v>6293.2904</v>
      </c>
      <c r="N65" s="32">
        <f>2782*0.9892</f>
        <v>2751.9544</v>
      </c>
      <c r="O65" s="32">
        <f>1532*0.9892</f>
        <v>1515.4543999999999</v>
      </c>
      <c r="P65" s="31">
        <f>SUM(D65:O65)</f>
        <v>43102.4116</v>
      </c>
      <c r="Q65" s="6" t="s">
        <v>55</v>
      </c>
    </row>
    <row r="66" spans="1:17" s="2" customFormat="1" ht="84">
      <c r="A66" s="6" t="s">
        <v>120</v>
      </c>
      <c r="B66" s="7" t="s">
        <v>117</v>
      </c>
      <c r="C66" s="7" t="s">
        <v>223</v>
      </c>
      <c r="D66" s="33">
        <f>D68-D67</f>
        <v>654685.2036</v>
      </c>
      <c r="E66" s="33">
        <f aca="true" t="shared" si="13" ref="E66:O66">E68-E67</f>
        <v>570866.3308</v>
      </c>
      <c r="F66" s="33">
        <f t="shared" si="13"/>
        <v>542807.6728</v>
      </c>
      <c r="G66" s="33">
        <f t="shared" si="13"/>
        <v>561001.0392</v>
      </c>
      <c r="H66" s="33">
        <f t="shared" si="13"/>
        <v>455818.414</v>
      </c>
      <c r="I66" s="33">
        <f t="shared" si="13"/>
        <v>551720.3648</v>
      </c>
      <c r="J66" s="33">
        <f t="shared" si="13"/>
        <v>656325.2972</v>
      </c>
      <c r="K66" s="33">
        <f t="shared" si="13"/>
        <v>826777.3167999999</v>
      </c>
      <c r="L66" s="33">
        <f t="shared" si="13"/>
        <v>678980.9447999999</v>
      </c>
      <c r="M66" s="33">
        <f t="shared" si="13"/>
        <v>748270.448</v>
      </c>
      <c r="N66" s="33">
        <f t="shared" si="13"/>
        <v>562836.0051999999</v>
      </c>
      <c r="O66" s="33">
        <f t="shared" si="13"/>
        <v>611448.2607999999</v>
      </c>
      <c r="P66" s="31">
        <f>SUM(D66:O66)</f>
        <v>7421537.2979999995</v>
      </c>
      <c r="Q66" s="7" t="s">
        <v>297</v>
      </c>
    </row>
    <row r="67" spans="1:17" s="2" customFormat="1" ht="72">
      <c r="A67" s="6" t="s">
        <v>120</v>
      </c>
      <c r="B67" s="7" t="s">
        <v>117</v>
      </c>
      <c r="C67" s="7" t="s">
        <v>224</v>
      </c>
      <c r="D67" s="33">
        <f>(13892+82077)*0.9892</f>
        <v>94932.5348</v>
      </c>
      <c r="E67" s="32">
        <f>(5531+70446)*0.9892</f>
        <v>75156.4484</v>
      </c>
      <c r="F67" s="32">
        <f>(4558+69148)*0.9892</f>
        <v>72909.9752</v>
      </c>
      <c r="G67" s="32">
        <f>(2361+95529)*0.9892</f>
        <v>96832.788</v>
      </c>
      <c r="H67" s="32">
        <f>(1587+72874)*0.9892</f>
        <v>73656.82119999999</v>
      </c>
      <c r="I67" s="32">
        <f>(9252+134148)*0.9892</f>
        <v>141851.28</v>
      </c>
      <c r="J67" s="32">
        <f>(7849+234196)*0.9892</f>
        <v>239430.914</v>
      </c>
      <c r="K67" s="32">
        <f>(6401+270608)*0.9892</f>
        <v>274017.3028</v>
      </c>
      <c r="L67" s="32">
        <f>(4108+209069)*0.9892</f>
        <v>210874.68839999998</v>
      </c>
      <c r="M67" s="32">
        <f>(9664+157738)*0.9892</f>
        <v>165594.0584</v>
      </c>
      <c r="N67" s="32">
        <f>(6657+107262)*0.9892</f>
        <v>112688.6748</v>
      </c>
      <c r="O67" s="32">
        <f>(18687+102272)*0.9892</f>
        <v>119652.6428</v>
      </c>
      <c r="P67" s="31">
        <f>SUM(D67:O67)</f>
        <v>1677598.1287999998</v>
      </c>
      <c r="Q67" s="7" t="s">
        <v>298</v>
      </c>
    </row>
    <row r="68" spans="1:17" s="2" customFormat="1" ht="12">
      <c r="A68" s="133" t="s">
        <v>269</v>
      </c>
      <c r="B68" s="110"/>
      <c r="C68" s="111"/>
      <c r="D68" s="136">
        <f>(13892+82077+661833)*0.9892</f>
        <v>749617.7384</v>
      </c>
      <c r="E68" s="113">
        <f>(5531+70446+577099)*0.9892</f>
        <v>646022.7792</v>
      </c>
      <c r="F68" s="113">
        <f>(4558+69148+548734)*0.9892</f>
        <v>615717.6479999999</v>
      </c>
      <c r="G68" s="113">
        <f>(2361+95529+567126)*0.9892</f>
        <v>657833.8271999999</v>
      </c>
      <c r="H68" s="113">
        <f>(1587+72874+460795)*0.9892</f>
        <v>529475.2352</v>
      </c>
      <c r="I68" s="113">
        <f>(9252+134148+557744)*0.9892</f>
        <v>693571.6448</v>
      </c>
      <c r="J68" s="113">
        <f>(7849+234196+663491)*0.9892</f>
        <v>895756.2112</v>
      </c>
      <c r="K68" s="113">
        <f>(6401+270608+835804)*0.9892</f>
        <v>1100794.6195999999</v>
      </c>
      <c r="L68" s="113">
        <f>(4108+209069+686394)*0.9892</f>
        <v>889855.6331999999</v>
      </c>
      <c r="M68" s="113">
        <f>(9664+157738+756440)*0.9892</f>
        <v>913864.5064</v>
      </c>
      <c r="N68" s="113">
        <f>(6657+107262+568981)*0.9892</f>
        <v>675524.6799999999</v>
      </c>
      <c r="O68" s="113">
        <f>(18687+102272+618124)*0.9892</f>
        <v>731100.9036</v>
      </c>
      <c r="P68" s="142">
        <f>SUM(D68:O68)</f>
        <v>9099135.4268</v>
      </c>
      <c r="Q68" s="110" t="s">
        <v>287</v>
      </c>
    </row>
    <row r="69" spans="1:17" ht="96">
      <c r="A69" s="161" t="s">
        <v>121</v>
      </c>
      <c r="B69" s="7" t="s">
        <v>127</v>
      </c>
      <c r="C69" s="7" t="s">
        <v>313</v>
      </c>
      <c r="D69" s="45">
        <f>4895*0.9892</f>
        <v>4842.134</v>
      </c>
      <c r="E69" s="45">
        <f>6490*0.9892</f>
        <v>6419.907999999999</v>
      </c>
      <c r="F69" s="45">
        <f>7117*0.9892</f>
        <v>7040.136399999999</v>
      </c>
      <c r="G69" s="92">
        <f>11*0.9892</f>
        <v>10.8812</v>
      </c>
      <c r="H69" s="45">
        <f>5777*0.9892</f>
        <v>5714.6084</v>
      </c>
      <c r="I69" s="45">
        <f>20086*0.9892</f>
        <v>19869.0712</v>
      </c>
      <c r="J69" s="45">
        <f>16760*0.9892</f>
        <v>16578.992</v>
      </c>
      <c r="K69" s="45">
        <f>38289*0.9892</f>
        <v>37875.4788</v>
      </c>
      <c r="L69" s="45">
        <f>16639*0.9892</f>
        <v>16459.2988</v>
      </c>
      <c r="M69" s="45">
        <f>18093*0.9892</f>
        <v>17897.5956</v>
      </c>
      <c r="N69" s="45">
        <f>7569*0.9892</f>
        <v>7487.2548</v>
      </c>
      <c r="O69" s="45">
        <f>6678*0.9892</f>
        <v>6605.8776</v>
      </c>
      <c r="P69" s="83">
        <f>SUM(D69:O69)</f>
        <v>146801.2368</v>
      </c>
      <c r="Q69" s="7" t="s">
        <v>321</v>
      </c>
    </row>
    <row r="70" spans="1:17" s="3" customFormat="1" ht="12">
      <c r="A70" s="217" t="s">
        <v>270</v>
      </c>
      <c r="B70" s="218"/>
      <c r="C70" s="218"/>
      <c r="D70" s="218"/>
      <c r="E70" s="218"/>
      <c r="F70" s="218"/>
      <c r="G70" s="218"/>
      <c r="H70" s="218"/>
      <c r="I70" s="218"/>
      <c r="J70" s="218"/>
      <c r="K70" s="218"/>
      <c r="L70" s="218"/>
      <c r="M70" s="218"/>
      <c r="N70" s="218"/>
      <c r="O70" s="218"/>
      <c r="P70" s="218"/>
      <c r="Q70" s="219"/>
    </row>
    <row r="71" spans="1:17" s="11" customFormat="1" ht="24">
      <c r="A71" s="6" t="s">
        <v>271</v>
      </c>
      <c r="B71" s="38" t="s">
        <v>33</v>
      </c>
      <c r="C71" s="7" t="s">
        <v>76</v>
      </c>
      <c r="D71" s="45">
        <v>0</v>
      </c>
      <c r="E71" s="45">
        <v>0</v>
      </c>
      <c r="F71" s="45">
        <v>0</v>
      </c>
      <c r="G71" s="69">
        <v>1</v>
      </c>
      <c r="H71" s="69">
        <v>0</v>
      </c>
      <c r="I71" s="69">
        <v>0</v>
      </c>
      <c r="J71" s="69">
        <v>0</v>
      </c>
      <c r="K71" s="69">
        <v>0</v>
      </c>
      <c r="L71" s="69">
        <v>0</v>
      </c>
      <c r="M71" s="69">
        <v>0</v>
      </c>
      <c r="N71" s="69">
        <v>0</v>
      </c>
      <c r="O71" s="69">
        <v>0</v>
      </c>
      <c r="P71" s="69">
        <f>SUM(D71:O71)</f>
        <v>1</v>
      </c>
      <c r="Q71" s="20" t="s">
        <v>159</v>
      </c>
    </row>
    <row r="72" spans="1:17" s="59" customFormat="1" ht="24">
      <c r="A72" s="32" t="s">
        <v>272</v>
      </c>
      <c r="B72" s="34" t="s">
        <v>122</v>
      </c>
      <c r="C72" s="27" t="s">
        <v>124</v>
      </c>
      <c r="D72" s="32">
        <f>0*0.9892</f>
        <v>0</v>
      </c>
      <c r="E72" s="32">
        <f>0*0.9892</f>
        <v>0</v>
      </c>
      <c r="F72" s="32">
        <f>0*0.9892</f>
        <v>0</v>
      </c>
      <c r="G72" s="32">
        <f>14*0.9892</f>
        <v>13.848799999999999</v>
      </c>
      <c r="H72" s="32">
        <f>4*0.9892</f>
        <v>3.9568</v>
      </c>
      <c r="I72" s="32">
        <f>0*0.9892</f>
        <v>0</v>
      </c>
      <c r="J72" s="32">
        <f>0*0.9892</f>
        <v>0</v>
      </c>
      <c r="K72" s="32">
        <f>0*0.9892</f>
        <v>0</v>
      </c>
      <c r="L72" s="32">
        <f>0*0.9892</f>
        <v>0</v>
      </c>
      <c r="M72" s="32">
        <f>22*0.9892</f>
        <v>21.7624</v>
      </c>
      <c r="N72" s="32">
        <f>1*0.9892</f>
        <v>0.9892</v>
      </c>
      <c r="O72" s="32">
        <f>0*0.9892</f>
        <v>0</v>
      </c>
      <c r="P72" s="45">
        <f>SUM(D72:O72)</f>
        <v>40.557199999999995</v>
      </c>
      <c r="Q72" s="20" t="s">
        <v>190</v>
      </c>
    </row>
    <row r="73" spans="1:17" s="11" customFormat="1" ht="24">
      <c r="A73" s="6" t="s">
        <v>273</v>
      </c>
      <c r="B73" s="38" t="s">
        <v>363</v>
      </c>
      <c r="C73" s="7" t="s">
        <v>100</v>
      </c>
      <c r="D73" s="32">
        <f>D72</f>
        <v>0</v>
      </c>
      <c r="E73" s="32">
        <f aca="true" t="shared" si="14" ref="E73:O73">E72</f>
        <v>0</v>
      </c>
      <c r="F73" s="32">
        <f t="shared" si="14"/>
        <v>0</v>
      </c>
      <c r="G73" s="32">
        <f t="shared" si="14"/>
        <v>13.848799999999999</v>
      </c>
      <c r="H73" s="32">
        <f t="shared" si="14"/>
        <v>3.9568</v>
      </c>
      <c r="I73" s="32">
        <f t="shared" si="14"/>
        <v>0</v>
      </c>
      <c r="J73" s="32">
        <f t="shared" si="14"/>
        <v>0</v>
      </c>
      <c r="K73" s="32">
        <f t="shared" si="14"/>
        <v>0</v>
      </c>
      <c r="L73" s="32">
        <f t="shared" si="14"/>
        <v>0</v>
      </c>
      <c r="M73" s="32">
        <f t="shared" si="14"/>
        <v>21.7624</v>
      </c>
      <c r="N73" s="32">
        <f t="shared" si="14"/>
        <v>0.9892</v>
      </c>
      <c r="O73" s="32">
        <f t="shared" si="14"/>
        <v>0</v>
      </c>
      <c r="P73" s="92">
        <f>SUM(D73:O73)</f>
        <v>40.557199999999995</v>
      </c>
      <c r="Q73" s="20" t="s">
        <v>190</v>
      </c>
    </row>
    <row r="74" spans="1:17" s="59" customFormat="1" ht="36">
      <c r="A74" s="32" t="s">
        <v>274</v>
      </c>
      <c r="B74" s="34" t="s">
        <v>123</v>
      </c>
      <c r="C74" s="27" t="s">
        <v>77</v>
      </c>
      <c r="D74" s="32">
        <f>0*0.9892</f>
        <v>0</v>
      </c>
      <c r="E74" s="32">
        <f>0*0.9892</f>
        <v>0</v>
      </c>
      <c r="F74" s="32">
        <f>0*0.9892</f>
        <v>0</v>
      </c>
      <c r="G74" s="32">
        <f>7019*0.9892</f>
        <v>6943.1948</v>
      </c>
      <c r="H74" s="32">
        <f>8232*0.9892</f>
        <v>8143.0944</v>
      </c>
      <c r="I74" s="32">
        <f>6400*0.9892</f>
        <v>6330.88</v>
      </c>
      <c r="J74" s="32">
        <f>0*0.9892</f>
        <v>0</v>
      </c>
      <c r="K74" s="32">
        <f>0*0.9892</f>
        <v>0</v>
      </c>
      <c r="L74" s="32">
        <f>0*0.9892</f>
        <v>0</v>
      </c>
      <c r="M74" s="32">
        <f>5465*0.9892</f>
        <v>5405.978</v>
      </c>
      <c r="N74" s="32">
        <f>32928*0.9892</f>
        <v>32572.3776</v>
      </c>
      <c r="O74" s="32">
        <f>21386*0.9892</f>
        <v>21155.031199999998</v>
      </c>
      <c r="P74" s="45">
        <f>SUM(D74:O74)</f>
        <v>80550.556</v>
      </c>
      <c r="Q74" s="20" t="s">
        <v>190</v>
      </c>
    </row>
    <row r="75" spans="1:17" s="3" customFormat="1" ht="12">
      <c r="A75" s="217" t="s">
        <v>275</v>
      </c>
      <c r="B75" s="218"/>
      <c r="C75" s="218"/>
      <c r="D75" s="218"/>
      <c r="E75" s="218"/>
      <c r="F75" s="218"/>
      <c r="G75" s="218"/>
      <c r="H75" s="218"/>
      <c r="I75" s="218"/>
      <c r="J75" s="218"/>
      <c r="K75" s="218"/>
      <c r="L75" s="218"/>
      <c r="M75" s="218"/>
      <c r="N75" s="218"/>
      <c r="O75" s="218"/>
      <c r="P75" s="218"/>
      <c r="Q75" s="219"/>
    </row>
    <row r="76" spans="1:17" s="11" customFormat="1" ht="120">
      <c r="A76" s="170">
        <v>5.1</v>
      </c>
      <c r="B76" s="7" t="s">
        <v>179</v>
      </c>
      <c r="C76" s="34" t="s">
        <v>362</v>
      </c>
      <c r="D76" s="45">
        <f>7000*0.9892</f>
        <v>6924.4</v>
      </c>
      <c r="E76" s="32">
        <f>0*0.9892</f>
        <v>0</v>
      </c>
      <c r="F76" s="32">
        <f>0*0.9892</f>
        <v>0</v>
      </c>
      <c r="G76" s="45">
        <f>925000*0.9892</f>
        <v>915010</v>
      </c>
      <c r="H76" s="45">
        <f>13000*0.9892</f>
        <v>12859.6</v>
      </c>
      <c r="I76" s="45">
        <f>7000*0.9892</f>
        <v>6924.4</v>
      </c>
      <c r="J76" s="32">
        <f>0*0.9892</f>
        <v>0</v>
      </c>
      <c r="K76" s="32">
        <f>0*0.9892</f>
        <v>0</v>
      </c>
      <c r="L76" s="32">
        <f>0*0.9892</f>
        <v>0</v>
      </c>
      <c r="M76" s="45">
        <f>12000*0.9892</f>
        <v>11870.4</v>
      </c>
      <c r="N76" s="32">
        <f>0*0.9892</f>
        <v>0</v>
      </c>
      <c r="O76" s="45">
        <f>7000*0.9892</f>
        <v>6924.4</v>
      </c>
      <c r="P76" s="43">
        <f>SUM(D76:O76)</f>
        <v>960513.2000000001</v>
      </c>
      <c r="Q76" s="27" t="s">
        <v>188</v>
      </c>
    </row>
    <row r="77" spans="1:17" ht="12.75">
      <c r="A77" s="217" t="s">
        <v>276</v>
      </c>
      <c r="B77" s="218"/>
      <c r="C77" s="218"/>
      <c r="D77" s="218"/>
      <c r="E77" s="218"/>
      <c r="F77" s="218"/>
      <c r="G77" s="218"/>
      <c r="H77" s="218"/>
      <c r="I77" s="218"/>
      <c r="J77" s="218"/>
      <c r="K77" s="218"/>
      <c r="L77" s="218"/>
      <c r="M77" s="218"/>
      <c r="N77" s="218"/>
      <c r="O77" s="218"/>
      <c r="P77" s="218"/>
      <c r="Q77" s="219"/>
    </row>
    <row r="78" spans="1:17" s="87" customFormat="1" ht="46.5" customHeight="1">
      <c r="A78" s="14">
        <v>5.11</v>
      </c>
      <c r="B78" s="7" t="s">
        <v>125</v>
      </c>
      <c r="C78" s="27" t="s">
        <v>241</v>
      </c>
      <c r="D78" s="45">
        <v>18148.878625703754</v>
      </c>
      <c r="E78" s="45">
        <v>166071.89152034963</v>
      </c>
      <c r="F78" s="32">
        <v>150302.2298539466</v>
      </c>
      <c r="G78" s="32">
        <f aca="true" t="shared" si="15" ref="G78:O78">0*0.9892</f>
        <v>0</v>
      </c>
      <c r="H78" s="32">
        <f t="shared" si="15"/>
        <v>0</v>
      </c>
      <c r="I78" s="32">
        <f t="shared" si="15"/>
        <v>0</v>
      </c>
      <c r="J78" s="32">
        <f t="shared" si="15"/>
        <v>0</v>
      </c>
      <c r="K78" s="32">
        <f t="shared" si="15"/>
        <v>0</v>
      </c>
      <c r="L78" s="32">
        <f t="shared" si="15"/>
        <v>0</v>
      </c>
      <c r="M78" s="32">
        <f t="shared" si="15"/>
        <v>0</v>
      </c>
      <c r="N78" s="32">
        <f t="shared" si="15"/>
        <v>0</v>
      </c>
      <c r="O78" s="32">
        <f t="shared" si="15"/>
        <v>0</v>
      </c>
      <c r="P78" s="43">
        <f>SUM(D78:O78)</f>
        <v>334523</v>
      </c>
      <c r="Q78" s="35" t="s">
        <v>228</v>
      </c>
    </row>
    <row r="79" spans="1:17" s="11" customFormat="1" ht="12">
      <c r="A79" s="137"/>
      <c r="B79" s="129"/>
      <c r="C79" s="130"/>
      <c r="D79" s="140"/>
      <c r="E79" s="140"/>
      <c r="F79" s="140"/>
      <c r="G79" s="140"/>
      <c r="H79" s="140"/>
      <c r="I79" s="140"/>
      <c r="J79" s="140"/>
      <c r="K79" s="140"/>
      <c r="L79" s="140"/>
      <c r="M79" s="140"/>
      <c r="N79" s="140"/>
      <c r="O79" s="140"/>
      <c r="P79" s="141"/>
      <c r="Q79" s="130"/>
    </row>
    <row r="80" spans="1:17" s="87" customFormat="1" ht="28.5" customHeight="1">
      <c r="A80" s="216" t="s">
        <v>242</v>
      </c>
      <c r="B80" s="216"/>
      <c r="C80" s="216"/>
      <c r="D80" s="216"/>
      <c r="E80" s="216"/>
      <c r="F80" s="216"/>
      <c r="G80" s="216"/>
      <c r="H80" s="216"/>
      <c r="I80" s="216"/>
      <c r="J80" s="216"/>
      <c r="K80" s="216"/>
      <c r="L80" s="216"/>
      <c r="M80" s="216"/>
      <c r="N80" s="216"/>
      <c r="O80" s="216"/>
      <c r="P80" s="216"/>
      <c r="Q80" s="216"/>
    </row>
    <row r="81" s="87" customFormat="1" ht="12.75"/>
    <row r="82" s="87" customFormat="1" ht="12.75">
      <c r="A82" s="147" t="s">
        <v>103</v>
      </c>
    </row>
    <row r="83" ht="12.75">
      <c r="B83" s="64"/>
    </row>
    <row r="84" spans="1:3" ht="26.25" thickBot="1">
      <c r="A84" s="194" t="s">
        <v>376</v>
      </c>
      <c r="B84" s="61" t="s">
        <v>101</v>
      </c>
      <c r="C84" s="61" t="s">
        <v>102</v>
      </c>
    </row>
    <row r="85" spans="1:4" ht="12.75">
      <c r="A85">
        <v>2005</v>
      </c>
      <c r="B85" s="80">
        <v>0.2502</v>
      </c>
      <c r="C85" s="80">
        <v>-0.0108</v>
      </c>
      <c r="D85" t="s">
        <v>325</v>
      </c>
    </row>
    <row r="86" spans="1:3" ht="12.75">
      <c r="A86">
        <v>2006</v>
      </c>
      <c r="B86" s="80">
        <v>0.0961</v>
      </c>
      <c r="C86" s="80">
        <v>0.0117</v>
      </c>
    </row>
    <row r="87" spans="1:3" ht="12.75">
      <c r="A87">
        <v>2007</v>
      </c>
      <c r="B87" s="80">
        <v>0.0736</v>
      </c>
      <c r="C87" s="80">
        <v>-0.1046</v>
      </c>
    </row>
    <row r="88" spans="1:3" ht="12.75">
      <c r="A88">
        <v>2008</v>
      </c>
      <c r="B88" s="80">
        <v>0.0549</v>
      </c>
      <c r="C88" s="80">
        <v>0.0444</v>
      </c>
    </row>
    <row r="89" spans="1:3" ht="12.75">
      <c r="A89">
        <v>2009</v>
      </c>
      <c r="B89" s="80">
        <v>0.0447</v>
      </c>
      <c r="C89" s="80">
        <v>-0.0856</v>
      </c>
    </row>
    <row r="90" spans="1:3" ht="12.75">
      <c r="A90">
        <v>2010</v>
      </c>
      <c r="B90" s="195" t="s">
        <v>377</v>
      </c>
      <c r="C90" s="195" t="s">
        <v>377</v>
      </c>
    </row>
  </sheetData>
  <mergeCells count="11">
    <mergeCell ref="A1:Q1"/>
    <mergeCell ref="A3:Q3"/>
    <mergeCell ref="A17:Q17"/>
    <mergeCell ref="A59:Q59"/>
    <mergeCell ref="A31:Q31"/>
    <mergeCell ref="C5:P5"/>
    <mergeCell ref="A80:Q80"/>
    <mergeCell ref="A75:Q75"/>
    <mergeCell ref="A70:Q70"/>
    <mergeCell ref="A63:Q63"/>
    <mergeCell ref="A77:Q77"/>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1" manualBreakCount="1">
    <brk id="76" max="255" man="1"/>
  </rowBreaks>
</worksheet>
</file>

<file path=xl/worksheets/sheet6.xml><?xml version="1.0" encoding="utf-8"?>
<worksheet xmlns="http://schemas.openxmlformats.org/spreadsheetml/2006/main" xmlns:r="http://schemas.openxmlformats.org/officeDocument/2006/relationships">
  <dimension ref="A1:T104"/>
  <sheetViews>
    <sheetView zoomScale="75" zoomScaleNormal="75" workbookViewId="0" topLeftCell="A1">
      <selection activeCell="K16" sqref="K16"/>
    </sheetView>
  </sheetViews>
  <sheetFormatPr defaultColWidth="9.140625" defaultRowHeight="12.75"/>
  <cols>
    <col min="1" max="1" width="12.28125" style="0" customWidth="1"/>
    <col min="2" max="2" width="20.00390625" style="0" customWidth="1"/>
    <col min="3" max="3" width="16.140625" style="0" customWidth="1"/>
    <col min="4" max="4" width="10.421875" style="0" customWidth="1"/>
    <col min="5" max="5" width="10.140625" style="0" customWidth="1"/>
    <col min="6" max="6" width="9.7109375" style="48" customWidth="1"/>
    <col min="8" max="8" width="10.00390625" style="0" customWidth="1"/>
    <col min="9" max="9" width="9.8515625" style="0" customWidth="1"/>
    <col min="10" max="10" width="9.28125" style="0" customWidth="1"/>
    <col min="11" max="11" width="9.8515625" style="0" customWidth="1"/>
    <col min="13" max="13" width="9.57421875" style="0" customWidth="1"/>
    <col min="14" max="15" width="9.8515625" style="0" customWidth="1"/>
    <col min="16" max="16" width="11.00390625" style="48" customWidth="1"/>
    <col min="17" max="17" width="18.7109375" style="0" customWidth="1"/>
    <col min="18" max="18" width="8.57421875" style="0" customWidth="1"/>
    <col min="20" max="20" width="11.57421875" style="0" bestFit="1"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47"/>
      <c r="G2" s="1"/>
      <c r="H2" s="1"/>
      <c r="I2" s="1"/>
      <c r="J2" s="1"/>
      <c r="K2" s="1"/>
      <c r="L2" s="1"/>
      <c r="M2" s="1"/>
      <c r="N2" s="1"/>
      <c r="O2" s="1"/>
      <c r="P2" s="47"/>
    </row>
    <row r="3" spans="1:17" ht="18">
      <c r="A3" s="211" t="s">
        <v>35</v>
      </c>
      <c r="B3" s="211"/>
      <c r="C3" s="211"/>
      <c r="D3" s="211"/>
      <c r="E3" s="211"/>
      <c r="F3" s="211"/>
      <c r="G3" s="211"/>
      <c r="H3" s="211"/>
      <c r="I3" s="211"/>
      <c r="J3" s="211"/>
      <c r="K3" s="211"/>
      <c r="L3" s="211"/>
      <c r="M3" s="211"/>
      <c r="N3" s="211"/>
      <c r="O3" s="211"/>
      <c r="P3" s="211"/>
      <c r="Q3" s="211"/>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82" t="s">
        <v>5</v>
      </c>
      <c r="G6" s="178" t="s">
        <v>6</v>
      </c>
      <c r="H6" s="178" t="s">
        <v>8</v>
      </c>
      <c r="I6" s="178" t="s">
        <v>7</v>
      </c>
      <c r="J6" s="178" t="s">
        <v>9</v>
      </c>
      <c r="K6" s="178" t="s">
        <v>10</v>
      </c>
      <c r="L6" s="178" t="s">
        <v>11</v>
      </c>
      <c r="M6" s="178" t="s">
        <v>12</v>
      </c>
      <c r="N6" s="178" t="s">
        <v>13</v>
      </c>
      <c r="O6" s="178" t="s">
        <v>14</v>
      </c>
      <c r="P6" s="181" t="s">
        <v>16</v>
      </c>
      <c r="Q6" s="174" t="s">
        <v>15</v>
      </c>
    </row>
    <row r="7" spans="1:17" s="3" customFormat="1" ht="12">
      <c r="A7" s="19" t="s">
        <v>40</v>
      </c>
      <c r="B7" s="15"/>
      <c r="C7" s="16"/>
      <c r="D7" s="17"/>
      <c r="E7" s="17"/>
      <c r="F7" s="53"/>
      <c r="G7" s="17"/>
      <c r="H7" s="17"/>
      <c r="I7" s="17"/>
      <c r="J7" s="17"/>
      <c r="K7" s="17"/>
      <c r="L7" s="17"/>
      <c r="M7" s="17"/>
      <c r="N7" s="17"/>
      <c r="O7" s="17"/>
      <c r="P7" s="49"/>
      <c r="Q7" s="18"/>
    </row>
    <row r="8" spans="1:17" s="3" customFormat="1" ht="48">
      <c r="A8" s="24" t="s">
        <v>41</v>
      </c>
      <c r="B8" s="27" t="s">
        <v>42</v>
      </c>
      <c r="C8" s="27" t="s">
        <v>43</v>
      </c>
      <c r="D8" s="45">
        <f>19*1.0291</f>
        <v>19.552899999999998</v>
      </c>
      <c r="E8" s="45">
        <f>10*1.0291</f>
        <v>10.290999999999999</v>
      </c>
      <c r="F8" s="45">
        <f>10*1.0291</f>
        <v>10.290999999999999</v>
      </c>
      <c r="G8" s="45">
        <f>7*1.0291</f>
        <v>7.2036999999999995</v>
      </c>
      <c r="H8" s="45">
        <f>10*1.0291</f>
        <v>10.290999999999999</v>
      </c>
      <c r="I8" s="45">
        <f>22*1.0291</f>
        <v>22.640199999999997</v>
      </c>
      <c r="J8" s="45">
        <f>23*1.0291</f>
        <v>23.669299999999996</v>
      </c>
      <c r="K8" s="45">
        <f>52*1.0291</f>
        <v>53.5132</v>
      </c>
      <c r="L8" s="45">
        <f>30*1.0291</f>
        <v>30.872999999999998</v>
      </c>
      <c r="M8" s="45">
        <f>51*1.0291</f>
        <v>52.4841</v>
      </c>
      <c r="N8" s="45">
        <f>11*1.0291</f>
        <v>11.320099999999998</v>
      </c>
      <c r="O8" s="45">
        <f>12*1.0291</f>
        <v>12.3492</v>
      </c>
      <c r="P8" s="43">
        <f>SUM(D8:O8)</f>
        <v>264.4787</v>
      </c>
      <c r="Q8" s="38" t="s">
        <v>163</v>
      </c>
    </row>
    <row r="9" spans="1:17" s="3" customFormat="1" ht="12">
      <c r="A9" s="19" t="s">
        <v>245</v>
      </c>
      <c r="B9" s="15"/>
      <c r="C9" s="16"/>
      <c r="D9" s="17"/>
      <c r="E9" s="17"/>
      <c r="F9" s="53"/>
      <c r="G9" s="17"/>
      <c r="H9" s="17"/>
      <c r="I9" s="17"/>
      <c r="J9" s="17"/>
      <c r="K9" s="17"/>
      <c r="L9" s="17"/>
      <c r="M9" s="17"/>
      <c r="N9" s="17"/>
      <c r="O9" s="17"/>
      <c r="P9" s="49"/>
      <c r="Q9" s="18"/>
    </row>
    <row r="10" spans="1:17" s="3"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row>
    <row r="11" spans="1:17" s="3" customFormat="1" ht="12">
      <c r="A11" s="19" t="s">
        <v>247</v>
      </c>
      <c r="B11" s="15"/>
      <c r="C11" s="16"/>
      <c r="D11" s="17"/>
      <c r="E11" s="17"/>
      <c r="F11" s="53"/>
      <c r="G11" s="17"/>
      <c r="H11" s="17"/>
      <c r="I11" s="17"/>
      <c r="J11" s="17"/>
      <c r="K11" s="17"/>
      <c r="L11" s="17"/>
      <c r="M11" s="17"/>
      <c r="N11" s="17"/>
      <c r="O11" s="17"/>
      <c r="P11" s="49"/>
      <c r="Q11" s="18"/>
    </row>
    <row r="12" spans="1:17" s="3" customFormat="1" ht="24">
      <c r="A12" s="24" t="s">
        <v>248</v>
      </c>
      <c r="B12" s="24" t="s">
        <v>148</v>
      </c>
      <c r="C12" s="24" t="s">
        <v>44</v>
      </c>
      <c r="D12" s="69">
        <v>5</v>
      </c>
      <c r="E12" s="69">
        <v>4</v>
      </c>
      <c r="F12" s="45">
        <v>5</v>
      </c>
      <c r="G12" s="69">
        <v>5</v>
      </c>
      <c r="H12" s="69">
        <v>4</v>
      </c>
      <c r="I12" s="69">
        <v>5</v>
      </c>
      <c r="J12" s="69">
        <v>4</v>
      </c>
      <c r="K12" s="69">
        <v>5</v>
      </c>
      <c r="L12" s="69">
        <v>4</v>
      </c>
      <c r="M12" s="69">
        <v>5</v>
      </c>
      <c r="N12" s="69">
        <v>4</v>
      </c>
      <c r="O12" s="69">
        <v>5</v>
      </c>
      <c r="P12" s="45">
        <f>SUM(D12:O12)</f>
        <v>55</v>
      </c>
      <c r="Q12" s="28" t="s">
        <v>79</v>
      </c>
    </row>
    <row r="13" spans="1:17"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43">
        <f>SUM(D13:O13)</f>
        <v>251</v>
      </c>
      <c r="Q13" s="28" t="s">
        <v>64</v>
      </c>
    </row>
    <row r="14" spans="1:17" s="3" customFormat="1" ht="12">
      <c r="A14" s="24" t="s">
        <v>250</v>
      </c>
      <c r="B14" s="38" t="s">
        <v>63</v>
      </c>
      <c r="C14" s="24" t="s">
        <v>44</v>
      </c>
      <c r="D14" s="69">
        <v>0</v>
      </c>
      <c r="E14" s="69">
        <v>0</v>
      </c>
      <c r="F14" s="45">
        <v>1</v>
      </c>
      <c r="G14" s="69">
        <v>0</v>
      </c>
      <c r="H14" s="69">
        <v>0</v>
      </c>
      <c r="I14" s="69">
        <v>1</v>
      </c>
      <c r="J14" s="69">
        <v>0</v>
      </c>
      <c r="K14" s="69">
        <v>0</v>
      </c>
      <c r="L14" s="69">
        <v>1</v>
      </c>
      <c r="M14" s="69">
        <v>0</v>
      </c>
      <c r="N14" s="69">
        <v>0</v>
      </c>
      <c r="O14" s="69">
        <v>1</v>
      </c>
      <c r="P14" s="43">
        <f>SUM(D14:O14)</f>
        <v>4</v>
      </c>
      <c r="Q14" s="28" t="s">
        <v>78</v>
      </c>
    </row>
    <row r="15" spans="1:17" s="3" customFormat="1" ht="12">
      <c r="A15" s="19" t="s">
        <v>251</v>
      </c>
      <c r="B15" s="15"/>
      <c r="C15" s="16"/>
      <c r="D15" s="17"/>
      <c r="E15" s="17"/>
      <c r="F15" s="53"/>
      <c r="G15" s="17"/>
      <c r="H15" s="17"/>
      <c r="I15" s="17"/>
      <c r="J15" s="17"/>
      <c r="K15" s="17"/>
      <c r="L15" s="17"/>
      <c r="M15" s="17"/>
      <c r="N15" s="17"/>
      <c r="O15" s="17"/>
      <c r="P15" s="49"/>
      <c r="Q15" s="66"/>
    </row>
    <row r="16" spans="1:17" s="58" customFormat="1" ht="24">
      <c r="A16" s="28">
        <v>5.4</v>
      </c>
      <c r="B16" s="38" t="s">
        <v>45</v>
      </c>
      <c r="C16" s="27" t="s">
        <v>46</v>
      </c>
      <c r="D16" s="45">
        <v>1892292.0758999998</v>
      </c>
      <c r="E16" s="45">
        <v>1465980.5121</v>
      </c>
      <c r="F16" s="45">
        <v>1393107.9529999997</v>
      </c>
      <c r="G16" s="45">
        <v>1280440.1803</v>
      </c>
      <c r="H16" s="45">
        <v>1360057.5309</v>
      </c>
      <c r="I16" s="45">
        <v>1509890.3745</v>
      </c>
      <c r="J16" s="45">
        <v>1612723.1919999998</v>
      </c>
      <c r="K16" s="45">
        <v>1919597.7246999997</v>
      </c>
      <c r="L16" s="45">
        <v>1728352.8679999998</v>
      </c>
      <c r="M16" s="45">
        <v>1944715.9975</v>
      </c>
      <c r="N16" s="45">
        <v>1411969.4512999998</v>
      </c>
      <c r="O16" s="45">
        <v>1351398.6834999998</v>
      </c>
      <c r="P16" s="45">
        <f>SUM(D16:O16)</f>
        <v>18870526.5437</v>
      </c>
      <c r="Q16" s="7" t="s">
        <v>230</v>
      </c>
    </row>
    <row r="17" spans="1:17" s="3" customFormat="1" ht="12">
      <c r="A17" s="208" t="s">
        <v>252</v>
      </c>
      <c r="B17" s="209"/>
      <c r="C17" s="209"/>
      <c r="D17" s="209"/>
      <c r="E17" s="209"/>
      <c r="F17" s="209"/>
      <c r="G17" s="209"/>
      <c r="H17" s="209"/>
      <c r="I17" s="209"/>
      <c r="J17" s="209"/>
      <c r="K17" s="209"/>
      <c r="L17" s="209"/>
      <c r="M17" s="209"/>
      <c r="N17" s="209"/>
      <c r="O17" s="209"/>
      <c r="P17" s="209"/>
      <c r="Q17" s="210"/>
    </row>
    <row r="18" spans="1:17" s="2" customFormat="1" ht="12">
      <c r="A18" s="4" t="s">
        <v>21</v>
      </c>
      <c r="B18" s="5" t="s">
        <v>18</v>
      </c>
      <c r="C18" s="40"/>
      <c r="D18" s="41"/>
      <c r="E18" s="41"/>
      <c r="F18" s="54"/>
      <c r="G18" s="41"/>
      <c r="H18" s="41"/>
      <c r="I18" s="41"/>
      <c r="J18" s="41"/>
      <c r="K18" s="41"/>
      <c r="L18" s="41"/>
      <c r="M18" s="41"/>
      <c r="N18" s="41"/>
      <c r="O18" s="41"/>
      <c r="P18" s="50"/>
      <c r="Q18" s="40"/>
    </row>
    <row r="19" spans="1:17" s="2" customFormat="1" ht="12">
      <c r="A19" s="21" t="s">
        <v>253</v>
      </c>
      <c r="B19" s="5" t="s">
        <v>149</v>
      </c>
      <c r="C19" s="40"/>
      <c r="D19" s="40"/>
      <c r="E19" s="40"/>
      <c r="F19" s="40"/>
      <c r="G19" s="40"/>
      <c r="H19" s="40"/>
      <c r="I19" s="40"/>
      <c r="J19" s="40"/>
      <c r="K19" s="40"/>
      <c r="L19" s="40"/>
      <c r="M19" s="40"/>
      <c r="N19" s="40"/>
      <c r="O19" s="40"/>
      <c r="P19" s="40"/>
      <c r="Q19" s="40"/>
    </row>
    <row r="20" spans="1:17" s="2" customFormat="1" ht="94.5" customHeight="1">
      <c r="A20" s="23" t="s">
        <v>254</v>
      </c>
      <c r="B20" s="7" t="s">
        <v>110</v>
      </c>
      <c r="C20" s="27" t="s">
        <v>47</v>
      </c>
      <c r="D20" s="126" t="s">
        <v>174</v>
      </c>
      <c r="E20" s="126" t="s">
        <v>174</v>
      </c>
      <c r="F20" s="126" t="s">
        <v>174</v>
      </c>
      <c r="G20" s="126" t="s">
        <v>174</v>
      </c>
      <c r="H20" s="126" t="s">
        <v>174</v>
      </c>
      <c r="I20" s="126" t="s">
        <v>174</v>
      </c>
      <c r="J20" s="126" t="s">
        <v>174</v>
      </c>
      <c r="K20" s="126" t="s">
        <v>174</v>
      </c>
      <c r="L20" s="126" t="s">
        <v>174</v>
      </c>
      <c r="M20" s="126" t="s">
        <v>174</v>
      </c>
      <c r="N20" s="126" t="s">
        <v>174</v>
      </c>
      <c r="O20" s="126" t="s">
        <v>174</v>
      </c>
      <c r="P20" s="126" t="s">
        <v>174</v>
      </c>
      <c r="Q20" s="7" t="s">
        <v>221</v>
      </c>
    </row>
    <row r="21" spans="1:17" s="2" customFormat="1" ht="84">
      <c r="A21" s="23" t="s">
        <v>254</v>
      </c>
      <c r="B21" s="5" t="s">
        <v>110</v>
      </c>
      <c r="C21" s="26" t="s">
        <v>48</v>
      </c>
      <c r="D21" s="32">
        <f>(1134129+372638-307746)*1.0291</f>
        <v>1233912.5110999998</v>
      </c>
      <c r="E21" s="32">
        <f>(1001100+374345-185494)*1.0291</f>
        <v>1224578.5740999999</v>
      </c>
      <c r="F21" s="32">
        <f>(1211713+136454-255218)*1.0291</f>
        <v>1124753.8158999998</v>
      </c>
      <c r="G21" s="32">
        <f>(656660+229433-814863)*1.0291</f>
        <v>73302.79299999999</v>
      </c>
      <c r="H21" s="32">
        <f>(1501246+781185-200637)*1.0291</f>
        <v>2142374.2054</v>
      </c>
      <c r="I21" s="32">
        <f>(4243975+751829-306458)*1.0291</f>
        <v>4825805.968599999</v>
      </c>
      <c r="J21" s="32">
        <f>(2778893+143000-1476363)*1.0291</f>
        <v>1487594.923</v>
      </c>
      <c r="K21" s="32">
        <f>(2798207+453212-173379)*1.0291</f>
        <v>3167610.9639999997</v>
      </c>
      <c r="L21" s="32">
        <f>(3313738+185000-756938)*1.0291</f>
        <v>2821586.38</v>
      </c>
      <c r="M21" s="32">
        <f>(1827215+406169-265473)*1.0291</f>
        <v>2025177.2100999998</v>
      </c>
      <c r="N21" s="32">
        <f>(1557124+430000-256507)*1.0291</f>
        <v>1780977.9547</v>
      </c>
      <c r="O21" s="32">
        <f>(1539549+276000-156220)*1.0291</f>
        <v>1707615.4738999999</v>
      </c>
      <c r="P21" s="51">
        <f>SUM(D21:O21)</f>
        <v>23615290.7738</v>
      </c>
      <c r="Q21" s="5" t="s">
        <v>222</v>
      </c>
    </row>
    <row r="22" spans="1:17" s="11" customFormat="1" ht="60">
      <c r="A22" s="23" t="s">
        <v>254</v>
      </c>
      <c r="B22" s="7" t="s">
        <v>110</v>
      </c>
      <c r="C22" s="27" t="s">
        <v>144</v>
      </c>
      <c r="D22" s="10" t="s">
        <v>59</v>
      </c>
      <c r="E22" s="10" t="s">
        <v>59</v>
      </c>
      <c r="F22" s="44" t="s">
        <v>59</v>
      </c>
      <c r="G22" s="10" t="s">
        <v>59</v>
      </c>
      <c r="H22" s="10" t="s">
        <v>59</v>
      </c>
      <c r="I22" s="10" t="s">
        <v>59</v>
      </c>
      <c r="J22" s="10" t="s">
        <v>59</v>
      </c>
      <c r="K22" s="10" t="s">
        <v>59</v>
      </c>
      <c r="L22" s="10" t="s">
        <v>59</v>
      </c>
      <c r="M22" s="10" t="s">
        <v>59</v>
      </c>
      <c r="N22" s="10" t="s">
        <v>59</v>
      </c>
      <c r="O22" s="10" t="s">
        <v>59</v>
      </c>
      <c r="P22" s="44" t="s">
        <v>59</v>
      </c>
      <c r="Q22" s="7" t="s">
        <v>192</v>
      </c>
    </row>
    <row r="23" spans="1:17" s="2" customFormat="1" ht="84">
      <c r="A23" s="23" t="s">
        <v>254</v>
      </c>
      <c r="B23" s="5" t="s">
        <v>110</v>
      </c>
      <c r="C23" s="26" t="s">
        <v>49</v>
      </c>
      <c r="D23" s="8" t="s">
        <v>59</v>
      </c>
      <c r="E23" s="8" t="s">
        <v>59</v>
      </c>
      <c r="F23" s="46" t="s">
        <v>59</v>
      </c>
      <c r="G23" s="8" t="s">
        <v>59</v>
      </c>
      <c r="H23" s="8" t="s">
        <v>59</v>
      </c>
      <c r="I23" s="8" t="s">
        <v>59</v>
      </c>
      <c r="J23" s="8" t="s">
        <v>59</v>
      </c>
      <c r="K23" s="8" t="s">
        <v>59</v>
      </c>
      <c r="L23" s="8" t="s">
        <v>59</v>
      </c>
      <c r="M23" s="8" t="s">
        <v>59</v>
      </c>
      <c r="N23" s="8" t="s">
        <v>59</v>
      </c>
      <c r="O23" s="8" t="s">
        <v>59</v>
      </c>
      <c r="P23" s="46" t="s">
        <v>59</v>
      </c>
      <c r="Q23" s="7" t="s">
        <v>200</v>
      </c>
    </row>
    <row r="24" spans="1:17" s="2" customFormat="1" ht="96">
      <c r="A24" s="23" t="s">
        <v>254</v>
      </c>
      <c r="B24" s="5" t="s">
        <v>110</v>
      </c>
      <c r="C24" s="26" t="s">
        <v>50</v>
      </c>
      <c r="D24" s="8" t="s">
        <v>59</v>
      </c>
      <c r="E24" s="8" t="s">
        <v>59</v>
      </c>
      <c r="F24" s="46" t="s">
        <v>59</v>
      </c>
      <c r="G24" s="8" t="s">
        <v>59</v>
      </c>
      <c r="H24" s="8" t="s">
        <v>59</v>
      </c>
      <c r="I24" s="8" t="s">
        <v>59</v>
      </c>
      <c r="J24" s="8" t="s">
        <v>59</v>
      </c>
      <c r="K24" s="8" t="s">
        <v>59</v>
      </c>
      <c r="L24" s="8" t="s">
        <v>59</v>
      </c>
      <c r="M24" s="8" t="s">
        <v>59</v>
      </c>
      <c r="N24" s="8" t="s">
        <v>59</v>
      </c>
      <c r="O24" s="8" t="s">
        <v>59</v>
      </c>
      <c r="P24" s="46" t="s">
        <v>59</v>
      </c>
      <c r="Q24" s="5" t="s">
        <v>88</v>
      </c>
    </row>
    <row r="25" spans="1:17" s="2" customFormat="1" ht="120">
      <c r="A25" s="23" t="s">
        <v>254</v>
      </c>
      <c r="B25" s="5" t="s">
        <v>110</v>
      </c>
      <c r="C25" s="26" t="s">
        <v>51</v>
      </c>
      <c r="D25" s="8" t="s">
        <v>59</v>
      </c>
      <c r="E25" s="8" t="s">
        <v>59</v>
      </c>
      <c r="F25" s="46" t="s">
        <v>59</v>
      </c>
      <c r="G25" s="8" t="s">
        <v>59</v>
      </c>
      <c r="H25" s="8" t="s">
        <v>59</v>
      </c>
      <c r="I25" s="8" t="s">
        <v>59</v>
      </c>
      <c r="J25" s="8" t="s">
        <v>59</v>
      </c>
      <c r="K25" s="8" t="s">
        <v>59</v>
      </c>
      <c r="L25" s="8" t="s">
        <v>59</v>
      </c>
      <c r="M25" s="8" t="s">
        <v>59</v>
      </c>
      <c r="N25" s="8" t="s">
        <v>59</v>
      </c>
      <c r="O25" s="8" t="s">
        <v>59</v>
      </c>
      <c r="P25" s="46" t="s">
        <v>59</v>
      </c>
      <c r="Q25" s="5" t="s">
        <v>84</v>
      </c>
    </row>
    <row r="26" spans="1:17" s="2" customFormat="1" ht="84">
      <c r="A26" s="23" t="s">
        <v>254</v>
      </c>
      <c r="B26" s="5" t="s">
        <v>110</v>
      </c>
      <c r="C26" s="27" t="s">
        <v>75</v>
      </c>
      <c r="D26" s="52">
        <f>1936534*1.051</f>
        <v>2035297.234</v>
      </c>
      <c r="E26" s="52">
        <f>1227650*1.051</f>
        <v>1290260.15</v>
      </c>
      <c r="F26" s="52">
        <f>647305*1.051</f>
        <v>680317.5549999999</v>
      </c>
      <c r="G26" s="52">
        <f>608718*1.051</f>
        <v>639762.618</v>
      </c>
      <c r="H26" s="52">
        <f>262474*1.051</f>
        <v>275860.174</v>
      </c>
      <c r="I26" s="52">
        <f>524526*1.051</f>
        <v>551276.826</v>
      </c>
      <c r="J26" s="52">
        <f>70497*1.051</f>
        <v>74092.347</v>
      </c>
      <c r="K26" s="52">
        <f>0*1.051</f>
        <v>0</v>
      </c>
      <c r="L26" s="52">
        <f>0*1.051</f>
        <v>0</v>
      </c>
      <c r="M26" s="52">
        <f>1034489*1.051</f>
        <v>1087247.939</v>
      </c>
      <c r="N26" s="52">
        <f>914597*1.051</f>
        <v>961241.4469999999</v>
      </c>
      <c r="O26" s="52">
        <f>1101990*1.051</f>
        <v>1158191.49</v>
      </c>
      <c r="P26" s="43">
        <f>SUM(D26:O26)</f>
        <v>8753547.78</v>
      </c>
      <c r="Q26" s="26" t="s">
        <v>195</v>
      </c>
    </row>
    <row r="27" spans="1:17" s="2" customFormat="1" ht="36">
      <c r="A27" s="109" t="s">
        <v>255</v>
      </c>
      <c r="B27" s="110"/>
      <c r="C27" s="111"/>
      <c r="D27" s="113">
        <f aca="true" t="shared" si="0" ref="D27:O27">SUM(D20:D26)</f>
        <v>3269209.7451</v>
      </c>
      <c r="E27" s="113">
        <f t="shared" si="0"/>
        <v>2514838.7240999998</v>
      </c>
      <c r="F27" s="113">
        <f t="shared" si="0"/>
        <v>1805071.3708999997</v>
      </c>
      <c r="G27" s="113">
        <f t="shared" si="0"/>
        <v>713065.411</v>
      </c>
      <c r="H27" s="113">
        <f t="shared" si="0"/>
        <v>2418234.3794</v>
      </c>
      <c r="I27" s="113">
        <f t="shared" si="0"/>
        <v>5377082.7946</v>
      </c>
      <c r="J27" s="113">
        <f t="shared" si="0"/>
        <v>1561687.27</v>
      </c>
      <c r="K27" s="113">
        <f t="shared" si="0"/>
        <v>3167610.9639999997</v>
      </c>
      <c r="L27" s="113">
        <f t="shared" si="0"/>
        <v>2821586.38</v>
      </c>
      <c r="M27" s="113">
        <f t="shared" si="0"/>
        <v>3112425.1491</v>
      </c>
      <c r="N27" s="113">
        <f t="shared" si="0"/>
        <v>2742219.4017</v>
      </c>
      <c r="O27" s="113">
        <f t="shared" si="0"/>
        <v>2865806.9639</v>
      </c>
      <c r="P27" s="113">
        <f>SUM(D27:O27)</f>
        <v>32368838.553799998</v>
      </c>
      <c r="Q27" s="111" t="s">
        <v>277</v>
      </c>
    </row>
    <row r="28" spans="1:17" s="2" customFormat="1" ht="48">
      <c r="A28" s="21" t="s">
        <v>256</v>
      </c>
      <c r="B28" s="5" t="s">
        <v>30</v>
      </c>
      <c r="C28" s="5" t="s">
        <v>99</v>
      </c>
      <c r="D28" s="8" t="s">
        <v>59</v>
      </c>
      <c r="E28" s="8" t="s">
        <v>59</v>
      </c>
      <c r="F28" s="46" t="s">
        <v>59</v>
      </c>
      <c r="G28" s="8" t="s">
        <v>59</v>
      </c>
      <c r="H28" s="8" t="s">
        <v>59</v>
      </c>
      <c r="I28" s="8" t="s">
        <v>59</v>
      </c>
      <c r="J28" s="8" t="s">
        <v>59</v>
      </c>
      <c r="K28" s="8" t="s">
        <v>59</v>
      </c>
      <c r="L28" s="8" t="s">
        <v>59</v>
      </c>
      <c r="M28" s="8" t="s">
        <v>59</v>
      </c>
      <c r="N28" s="8" t="s">
        <v>59</v>
      </c>
      <c r="O28" s="8" t="s">
        <v>59</v>
      </c>
      <c r="P28" s="46" t="s">
        <v>59</v>
      </c>
      <c r="Q28" s="7" t="s">
        <v>358</v>
      </c>
    </row>
    <row r="29" spans="1:17" s="2" customFormat="1" ht="24">
      <c r="A29" s="21" t="s">
        <v>257</v>
      </c>
      <c r="B29" s="5" t="s">
        <v>31</v>
      </c>
      <c r="C29" s="34" t="s">
        <v>61</v>
      </c>
      <c r="D29" s="52">
        <f aca="true" t="shared" si="1" ref="D29:O29">0*1.051</f>
        <v>0</v>
      </c>
      <c r="E29" s="52">
        <f t="shared" si="1"/>
        <v>0</v>
      </c>
      <c r="F29" s="52">
        <f t="shared" si="1"/>
        <v>0</v>
      </c>
      <c r="G29" s="52">
        <f t="shared" si="1"/>
        <v>0</v>
      </c>
      <c r="H29" s="52">
        <f t="shared" si="1"/>
        <v>0</v>
      </c>
      <c r="I29" s="52">
        <f t="shared" si="1"/>
        <v>0</v>
      </c>
      <c r="J29" s="52">
        <f t="shared" si="1"/>
        <v>0</v>
      </c>
      <c r="K29" s="52">
        <f t="shared" si="1"/>
        <v>0</v>
      </c>
      <c r="L29" s="52">
        <f t="shared" si="1"/>
        <v>0</v>
      </c>
      <c r="M29" s="52">
        <f t="shared" si="1"/>
        <v>0</v>
      </c>
      <c r="N29" s="52">
        <f t="shared" si="1"/>
        <v>0</v>
      </c>
      <c r="O29" s="52">
        <f t="shared" si="1"/>
        <v>0</v>
      </c>
      <c r="P29" s="43">
        <f>SUM(D29:O29)</f>
        <v>0</v>
      </c>
      <c r="Q29" s="7" t="s">
        <v>189</v>
      </c>
    </row>
    <row r="30" spans="1:17" s="2" customFormat="1" ht="60" customHeight="1">
      <c r="A30" s="4" t="s">
        <v>23</v>
      </c>
      <c r="B30" s="5" t="s">
        <v>19</v>
      </c>
      <c r="C30" s="26" t="s">
        <v>52</v>
      </c>
      <c r="D30" s="43">
        <f>D27</f>
        <v>3269209.7451</v>
      </c>
      <c r="E30" s="43">
        <f aca="true" t="shared" si="2" ref="E30:O30">E27</f>
        <v>2514838.7240999998</v>
      </c>
      <c r="F30" s="43">
        <f t="shared" si="2"/>
        <v>1805071.3708999997</v>
      </c>
      <c r="G30" s="43">
        <f t="shared" si="2"/>
        <v>713065.411</v>
      </c>
      <c r="H30" s="43">
        <f t="shared" si="2"/>
        <v>2418234.3794</v>
      </c>
      <c r="I30" s="43">
        <f t="shared" si="2"/>
        <v>5377082.7946</v>
      </c>
      <c r="J30" s="43">
        <f t="shared" si="2"/>
        <v>1561687.27</v>
      </c>
      <c r="K30" s="43">
        <f t="shared" si="2"/>
        <v>3167610.9639999997</v>
      </c>
      <c r="L30" s="43">
        <f t="shared" si="2"/>
        <v>2821586.38</v>
      </c>
      <c r="M30" s="43">
        <f t="shared" si="2"/>
        <v>3112425.1491</v>
      </c>
      <c r="N30" s="43">
        <f t="shared" si="2"/>
        <v>2742219.4017</v>
      </c>
      <c r="O30" s="43">
        <f t="shared" si="2"/>
        <v>2865806.9639</v>
      </c>
      <c r="P30" s="43">
        <f>SUM(D30:O30)</f>
        <v>32368838.553799998</v>
      </c>
      <c r="Q30" s="7"/>
    </row>
    <row r="31" spans="1:17" s="3" customFormat="1" ht="12">
      <c r="A31" s="208" t="s">
        <v>258</v>
      </c>
      <c r="B31" s="209"/>
      <c r="C31" s="209"/>
      <c r="D31" s="209"/>
      <c r="E31" s="209"/>
      <c r="F31" s="209"/>
      <c r="G31" s="209"/>
      <c r="H31" s="209"/>
      <c r="I31" s="209"/>
      <c r="J31" s="209"/>
      <c r="K31" s="209"/>
      <c r="L31" s="209"/>
      <c r="M31" s="209"/>
      <c r="N31" s="209"/>
      <c r="O31" s="209"/>
      <c r="P31" s="209"/>
      <c r="Q31" s="210"/>
    </row>
    <row r="32" spans="1:18" s="59" customFormat="1" ht="78.75" customHeight="1">
      <c r="A32" s="32" t="s">
        <v>24</v>
      </c>
      <c r="B32" s="27" t="s">
        <v>112</v>
      </c>
      <c r="C32" s="27" t="s">
        <v>53</v>
      </c>
      <c r="D32" s="32">
        <f>SUM(D20:D26)</f>
        <v>3269209.7451</v>
      </c>
      <c r="E32" s="32">
        <f>SUM(E20:E26)</f>
        <v>2514838.7240999998</v>
      </c>
      <c r="F32" s="32">
        <f aca="true" t="shared" si="3" ref="F32:O32">SUM(F20:F26)</f>
        <v>1805071.3708999997</v>
      </c>
      <c r="G32" s="32">
        <f t="shared" si="3"/>
        <v>713065.411</v>
      </c>
      <c r="H32" s="32">
        <f t="shared" si="3"/>
        <v>2418234.3794</v>
      </c>
      <c r="I32" s="32">
        <f t="shared" si="3"/>
        <v>5377082.7946</v>
      </c>
      <c r="J32" s="32">
        <f t="shared" si="3"/>
        <v>1561687.27</v>
      </c>
      <c r="K32" s="32">
        <f t="shared" si="3"/>
        <v>3167610.9639999997</v>
      </c>
      <c r="L32" s="32">
        <f t="shared" si="3"/>
        <v>2821586.38</v>
      </c>
      <c r="M32" s="32">
        <f t="shared" si="3"/>
        <v>3112425.1491</v>
      </c>
      <c r="N32" s="32">
        <f t="shared" si="3"/>
        <v>2742219.4017</v>
      </c>
      <c r="O32" s="32">
        <f t="shared" si="3"/>
        <v>2865806.9639</v>
      </c>
      <c r="P32" s="45">
        <f>SUM(D32:O32)</f>
        <v>32368838.553799998</v>
      </c>
      <c r="Q32" s="27" t="s">
        <v>288</v>
      </c>
      <c r="R32" s="118"/>
    </row>
    <row r="33" spans="1:17" s="59" customFormat="1" ht="37.5" customHeight="1">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row>
    <row r="34" spans="1:17" s="2" customFormat="1" ht="13.5" customHeight="1">
      <c r="A34" s="4" t="s">
        <v>115</v>
      </c>
      <c r="B34" s="5" t="s">
        <v>20</v>
      </c>
      <c r="C34" s="40"/>
      <c r="D34" s="41"/>
      <c r="E34" s="41"/>
      <c r="F34" s="54"/>
      <c r="G34" s="41"/>
      <c r="H34" s="41"/>
      <c r="I34" s="41"/>
      <c r="J34" s="41"/>
      <c r="K34" s="41"/>
      <c r="L34" s="41"/>
      <c r="M34" s="41"/>
      <c r="N34" s="41"/>
      <c r="O34" s="41"/>
      <c r="P34" s="50"/>
      <c r="Q34" s="40"/>
    </row>
    <row r="35" spans="1:17" s="2" customFormat="1" ht="36">
      <c r="A35" s="22" t="s">
        <v>259</v>
      </c>
      <c r="B35" s="5" t="s">
        <v>66</v>
      </c>
      <c r="C35" s="27" t="s">
        <v>150</v>
      </c>
      <c r="D35" s="52">
        <f aca="true" t="shared" si="4" ref="D35:O35">0*1.051</f>
        <v>0</v>
      </c>
      <c r="E35" s="52">
        <f t="shared" si="4"/>
        <v>0</v>
      </c>
      <c r="F35" s="52">
        <f t="shared" si="4"/>
        <v>0</v>
      </c>
      <c r="G35" s="52">
        <f t="shared" si="4"/>
        <v>0</v>
      </c>
      <c r="H35" s="52">
        <f t="shared" si="4"/>
        <v>0</v>
      </c>
      <c r="I35" s="52">
        <f t="shared" si="4"/>
        <v>0</v>
      </c>
      <c r="J35" s="52">
        <f t="shared" si="4"/>
        <v>0</v>
      </c>
      <c r="K35" s="52">
        <f t="shared" si="4"/>
        <v>0</v>
      </c>
      <c r="L35" s="52">
        <f t="shared" si="4"/>
        <v>0</v>
      </c>
      <c r="M35" s="52">
        <f t="shared" si="4"/>
        <v>0</v>
      </c>
      <c r="N35" s="52">
        <f t="shared" si="4"/>
        <v>0</v>
      </c>
      <c r="O35" s="52">
        <f t="shared" si="4"/>
        <v>0</v>
      </c>
      <c r="P35" s="45">
        <f>SUM(D35:O35)</f>
        <v>0</v>
      </c>
      <c r="Q35" s="67" t="s">
        <v>73</v>
      </c>
    </row>
    <row r="36" spans="1:17" s="2" customFormat="1" ht="36">
      <c r="A36" s="22" t="s">
        <v>259</v>
      </c>
      <c r="B36" s="5" t="s">
        <v>66</v>
      </c>
      <c r="C36" s="27" t="s">
        <v>181</v>
      </c>
      <c r="D36" s="39">
        <f>(202359+8096+165+77)*1.0291</f>
        <v>216828.28269999998</v>
      </c>
      <c r="E36" s="39">
        <f>(136939+8838+497+28)*1.0291</f>
        <v>150559.3882</v>
      </c>
      <c r="F36" s="39">
        <f>(101769+6942+65+12)*1.0291</f>
        <v>111953.73079999999</v>
      </c>
      <c r="G36" s="39">
        <f>(135794+5287+1701+41)*1.0291</f>
        <v>146979.1493</v>
      </c>
      <c r="H36" s="39">
        <f>(93352+6488+2768+89)*1.0291</f>
        <v>105685.4827</v>
      </c>
      <c r="I36" s="39">
        <f>(198244+13881+1968+217)*1.0291</f>
        <v>220546.42099999997</v>
      </c>
      <c r="J36" s="39">
        <f>(195599+15411+2750+457)*1.0291</f>
        <v>220450.71469999998</v>
      </c>
      <c r="K36" s="39">
        <f>(182967+23321+2699+577)*1.0291</f>
        <v>215662.31239999997</v>
      </c>
      <c r="L36" s="39">
        <f>(177612+17961+2334+553)*1.0291</f>
        <v>204235.186</v>
      </c>
      <c r="M36" s="39">
        <f>(162714+11795+4299+413)*1.0291</f>
        <v>184436.33109999998</v>
      </c>
      <c r="N36" s="39">
        <f>(134381+7416+4034+140)*1.0291</f>
        <v>150218.7561</v>
      </c>
      <c r="O36" s="39">
        <f>(132867+8087+866+119)*1.0291</f>
        <v>146069.42489999998</v>
      </c>
      <c r="P36" s="51">
        <f>SUM(D36:O36)</f>
        <v>2073625.1798999999</v>
      </c>
      <c r="Q36" s="35" t="s">
        <v>211</v>
      </c>
    </row>
    <row r="37" spans="1:17" s="2" customFormat="1" ht="36">
      <c r="A37" s="22" t="s">
        <v>259</v>
      </c>
      <c r="B37" s="5" t="s">
        <v>66</v>
      </c>
      <c r="C37" s="5" t="s">
        <v>182</v>
      </c>
      <c r="D37" s="68" t="s">
        <v>59</v>
      </c>
      <c r="E37" s="68" t="s">
        <v>59</v>
      </c>
      <c r="F37" s="68" t="s">
        <v>59</v>
      </c>
      <c r="G37" s="68" t="s">
        <v>59</v>
      </c>
      <c r="H37" s="68" t="s">
        <v>59</v>
      </c>
      <c r="I37" s="68" t="s">
        <v>59</v>
      </c>
      <c r="J37" s="68" t="s">
        <v>59</v>
      </c>
      <c r="K37" s="68" t="s">
        <v>59</v>
      </c>
      <c r="L37" s="68" t="s">
        <v>59</v>
      </c>
      <c r="M37" s="68" t="s">
        <v>59</v>
      </c>
      <c r="N37" s="68" t="s">
        <v>59</v>
      </c>
      <c r="O37" s="68" t="s">
        <v>59</v>
      </c>
      <c r="P37" s="68" t="s">
        <v>59</v>
      </c>
      <c r="Q37" s="5" t="s">
        <v>60</v>
      </c>
    </row>
    <row r="38" spans="1:17" s="2" customFormat="1" ht="36">
      <c r="A38" s="22" t="s">
        <v>259</v>
      </c>
      <c r="B38" s="5" t="s">
        <v>66</v>
      </c>
      <c r="C38" s="5" t="s">
        <v>183</v>
      </c>
      <c r="D38" s="68" t="s">
        <v>59</v>
      </c>
      <c r="E38" s="68" t="s">
        <v>59</v>
      </c>
      <c r="F38" s="68" t="s">
        <v>59</v>
      </c>
      <c r="G38" s="68" t="s">
        <v>59</v>
      </c>
      <c r="H38" s="68" t="s">
        <v>59</v>
      </c>
      <c r="I38" s="68" t="s">
        <v>59</v>
      </c>
      <c r="J38" s="68" t="s">
        <v>59</v>
      </c>
      <c r="K38" s="68" t="s">
        <v>59</v>
      </c>
      <c r="L38" s="68" t="s">
        <v>59</v>
      </c>
      <c r="M38" s="68" t="s">
        <v>59</v>
      </c>
      <c r="N38" s="68" t="s">
        <v>59</v>
      </c>
      <c r="O38" s="68" t="s">
        <v>59</v>
      </c>
      <c r="P38" s="68" t="s">
        <v>59</v>
      </c>
      <c r="Q38" s="5" t="s">
        <v>177</v>
      </c>
    </row>
    <row r="39" spans="1:17" s="2" customFormat="1" ht="36">
      <c r="A39" s="22" t="s">
        <v>259</v>
      </c>
      <c r="B39" s="5" t="s">
        <v>66</v>
      </c>
      <c r="C39" s="26" t="s">
        <v>184</v>
      </c>
      <c r="D39" s="37" t="s">
        <v>59</v>
      </c>
      <c r="E39" s="37" t="s">
        <v>59</v>
      </c>
      <c r="F39" s="46" t="s">
        <v>59</v>
      </c>
      <c r="G39" s="37" t="s">
        <v>59</v>
      </c>
      <c r="H39" s="37" t="s">
        <v>59</v>
      </c>
      <c r="I39" s="37" t="s">
        <v>59</v>
      </c>
      <c r="J39" s="37" t="s">
        <v>59</v>
      </c>
      <c r="K39" s="37" t="s">
        <v>59</v>
      </c>
      <c r="L39" s="37" t="s">
        <v>59</v>
      </c>
      <c r="M39" s="37" t="s">
        <v>59</v>
      </c>
      <c r="N39" s="37" t="s">
        <v>59</v>
      </c>
      <c r="O39" s="37" t="s">
        <v>59</v>
      </c>
      <c r="P39" s="46" t="s">
        <v>59</v>
      </c>
      <c r="Q39" s="5" t="s">
        <v>86</v>
      </c>
    </row>
    <row r="40" spans="1:17" s="2" customFormat="1" ht="36">
      <c r="A40" s="22" t="s">
        <v>259</v>
      </c>
      <c r="B40" s="27" t="s">
        <v>66</v>
      </c>
      <c r="C40" s="26" t="s">
        <v>185</v>
      </c>
      <c r="D40" s="52">
        <f>(2408+7220+3130)*1.0291</f>
        <v>13129.2578</v>
      </c>
      <c r="E40" s="52">
        <f>(2183+5390+3000)*1.0291</f>
        <v>10880.674299999999</v>
      </c>
      <c r="F40" s="52">
        <f>(1793+5250+2746)*1.0291</f>
        <v>10073.8599</v>
      </c>
      <c r="G40" s="52">
        <f>(2484+5233+3753)*1.0291</f>
        <v>11803.776999999998</v>
      </c>
      <c r="H40" s="52">
        <f>(2380+5941+3292)*1.0291</f>
        <v>11950.938299999998</v>
      </c>
      <c r="I40" s="52">
        <f>(2078+6459+2753)*1.0291</f>
        <v>11618.538999999999</v>
      </c>
      <c r="J40" s="52">
        <f>(2054+6914+2869)*1.0291</f>
        <v>12181.456699999999</v>
      </c>
      <c r="K40" s="52">
        <f>(2560+9251+3182)*1.0291</f>
        <v>15429.296299999998</v>
      </c>
      <c r="L40" s="52">
        <f>(2604+7663+3062)*1.0291</f>
        <v>13716.873899999999</v>
      </c>
      <c r="M40" s="52">
        <f>(2602+7992+3958)*1.0291</f>
        <v>14975.463199999998</v>
      </c>
      <c r="N40" s="52">
        <f>(2142+7370+2707)*1.0291</f>
        <v>12574.5729</v>
      </c>
      <c r="O40" s="52">
        <f>(2308+7359+3422)*1.0291</f>
        <v>13469.889899999998</v>
      </c>
      <c r="P40" s="52">
        <f>SUM(D40:O40)</f>
        <v>151804.5992</v>
      </c>
      <c r="Q40" s="5" t="s">
        <v>108</v>
      </c>
    </row>
    <row r="41" spans="1:17" s="2" customFormat="1" ht="36">
      <c r="A41" s="22" t="s">
        <v>259</v>
      </c>
      <c r="B41" s="5" t="s">
        <v>66</v>
      </c>
      <c r="C41" s="26" t="s">
        <v>186</v>
      </c>
      <c r="D41" s="37" t="s">
        <v>59</v>
      </c>
      <c r="E41" s="37" t="s">
        <v>59</v>
      </c>
      <c r="F41" s="37" t="s">
        <v>59</v>
      </c>
      <c r="G41" s="37" t="s">
        <v>59</v>
      </c>
      <c r="H41" s="37" t="s">
        <v>59</v>
      </c>
      <c r="I41" s="37" t="s">
        <v>59</v>
      </c>
      <c r="J41" s="37" t="s">
        <v>59</v>
      </c>
      <c r="K41" s="37" t="s">
        <v>59</v>
      </c>
      <c r="L41" s="37" t="s">
        <v>59</v>
      </c>
      <c r="M41" s="37" t="s">
        <v>59</v>
      </c>
      <c r="N41" s="37" t="s">
        <v>59</v>
      </c>
      <c r="O41" s="37" t="s">
        <v>59</v>
      </c>
      <c r="P41" s="46" t="s">
        <v>59</v>
      </c>
      <c r="Q41" s="5" t="s">
        <v>97</v>
      </c>
    </row>
    <row r="42" spans="1:17" s="11" customFormat="1" ht="72">
      <c r="A42" s="22" t="s">
        <v>259</v>
      </c>
      <c r="B42" s="27" t="s">
        <v>66</v>
      </c>
      <c r="C42" s="27" t="s">
        <v>187</v>
      </c>
      <c r="D42" s="107" t="s">
        <v>174</v>
      </c>
      <c r="E42" s="107" t="s">
        <v>174</v>
      </c>
      <c r="F42" s="107" t="s">
        <v>174</v>
      </c>
      <c r="G42" s="107" t="s">
        <v>174</v>
      </c>
      <c r="H42" s="107" t="s">
        <v>174</v>
      </c>
      <c r="I42" s="107" t="s">
        <v>174</v>
      </c>
      <c r="J42" s="107" t="s">
        <v>174</v>
      </c>
      <c r="K42" s="107" t="s">
        <v>174</v>
      </c>
      <c r="L42" s="107" t="s">
        <v>174</v>
      </c>
      <c r="M42" s="107" t="s">
        <v>174</v>
      </c>
      <c r="N42" s="107" t="s">
        <v>174</v>
      </c>
      <c r="O42" s="107" t="s">
        <v>174</v>
      </c>
      <c r="P42" s="107" t="s">
        <v>174</v>
      </c>
      <c r="Q42" s="7" t="s">
        <v>299</v>
      </c>
    </row>
    <row r="43" spans="1:17" s="2" customFormat="1" ht="96">
      <c r="A43" s="109" t="s">
        <v>260</v>
      </c>
      <c r="B43" s="110"/>
      <c r="C43" s="111"/>
      <c r="D43" s="113">
        <f>SUM(D35:D42)</f>
        <v>229957.54049999997</v>
      </c>
      <c r="E43" s="113">
        <f aca="true" t="shared" si="5" ref="E43:O43">SUM(E35:E42)</f>
        <v>161440.0625</v>
      </c>
      <c r="F43" s="113">
        <f t="shared" si="5"/>
        <v>122027.59069999999</v>
      </c>
      <c r="G43" s="113">
        <f t="shared" si="5"/>
        <v>158782.9263</v>
      </c>
      <c r="H43" s="113">
        <f t="shared" si="5"/>
        <v>117636.42099999999</v>
      </c>
      <c r="I43" s="113">
        <f t="shared" si="5"/>
        <v>232164.95999999996</v>
      </c>
      <c r="J43" s="113">
        <f t="shared" si="5"/>
        <v>232632.1714</v>
      </c>
      <c r="K43" s="113">
        <f t="shared" si="5"/>
        <v>231091.60869999995</v>
      </c>
      <c r="L43" s="113">
        <f t="shared" si="5"/>
        <v>217952.0599</v>
      </c>
      <c r="M43" s="113">
        <f t="shared" si="5"/>
        <v>199411.79429999998</v>
      </c>
      <c r="N43" s="113">
        <f t="shared" si="5"/>
        <v>162793.329</v>
      </c>
      <c r="O43" s="113">
        <f t="shared" si="5"/>
        <v>159539.3148</v>
      </c>
      <c r="P43" s="113">
        <f aca="true" t="shared" si="6" ref="P43:P48">SUM(D43:O43)</f>
        <v>2225429.7791</v>
      </c>
      <c r="Q43" s="111" t="s">
        <v>322</v>
      </c>
    </row>
    <row r="44" spans="1:17" s="2" customFormat="1" ht="36">
      <c r="A44" s="22" t="s">
        <v>259</v>
      </c>
      <c r="B44" s="27" t="s">
        <v>66</v>
      </c>
      <c r="C44" s="27" t="s">
        <v>244</v>
      </c>
      <c r="D44" s="45">
        <f>(3272+533)*1.0291</f>
        <v>3915.7254999999996</v>
      </c>
      <c r="E44" s="45">
        <f>(2991+533)*1.0291</f>
        <v>3626.5483999999997</v>
      </c>
      <c r="F44" s="45">
        <f>(3065+533)*1.0291</f>
        <v>3702.7018</v>
      </c>
      <c r="G44" s="45">
        <f>(2808+533)*1.0291</f>
        <v>3438.2230999999997</v>
      </c>
      <c r="H44" s="45">
        <f>(2837+533)*1.0291</f>
        <v>3468.0669999999996</v>
      </c>
      <c r="I44" s="45">
        <f>(4713+533)*1.0291</f>
        <v>5398.6586</v>
      </c>
      <c r="J44" s="45">
        <f>(5550+533)*1.0291</f>
        <v>6260.015299999999</v>
      </c>
      <c r="K44" s="45">
        <f>(2772+533)*1.0291</f>
        <v>3401.1755</v>
      </c>
      <c r="L44" s="45">
        <f>(2575+533)*1.0291</f>
        <v>3198.4428</v>
      </c>
      <c r="M44" s="45">
        <f>(2143+533)*1.0291</f>
        <v>2753.8716</v>
      </c>
      <c r="N44" s="45">
        <f>(2099+533)*1.0291</f>
        <v>2708.5912</v>
      </c>
      <c r="O44" s="45">
        <f>(1607+533)*1.0291</f>
        <v>2202.274</v>
      </c>
      <c r="P44" s="56">
        <f t="shared" si="6"/>
        <v>44074.29479999999</v>
      </c>
      <c r="Q44" s="27" t="s">
        <v>243</v>
      </c>
    </row>
    <row r="45" spans="1:17" s="59" customFormat="1" ht="39.75" customHeight="1">
      <c r="A45" s="105" t="s">
        <v>261</v>
      </c>
      <c r="B45" s="27" t="s">
        <v>32</v>
      </c>
      <c r="C45" s="27" t="s">
        <v>67</v>
      </c>
      <c r="D45" s="45">
        <f aca="true" t="shared" si="7" ref="D45:O45">SUM(D36:D42)</f>
        <v>229957.54049999997</v>
      </c>
      <c r="E45" s="45">
        <f t="shared" si="7"/>
        <v>161440.0625</v>
      </c>
      <c r="F45" s="45">
        <f t="shared" si="7"/>
        <v>122027.59069999999</v>
      </c>
      <c r="G45" s="45">
        <f t="shared" si="7"/>
        <v>158782.9263</v>
      </c>
      <c r="H45" s="45">
        <f t="shared" si="7"/>
        <v>117636.42099999999</v>
      </c>
      <c r="I45" s="45">
        <f t="shared" si="7"/>
        <v>232164.95999999996</v>
      </c>
      <c r="J45" s="45">
        <f t="shared" si="7"/>
        <v>232632.1714</v>
      </c>
      <c r="K45" s="45">
        <f t="shared" si="7"/>
        <v>231091.60869999995</v>
      </c>
      <c r="L45" s="45">
        <f t="shared" si="7"/>
        <v>217952.0599</v>
      </c>
      <c r="M45" s="45">
        <f t="shared" si="7"/>
        <v>199411.79429999998</v>
      </c>
      <c r="N45" s="45">
        <f t="shared" si="7"/>
        <v>162793.329</v>
      </c>
      <c r="O45" s="45">
        <f t="shared" si="7"/>
        <v>159539.3148</v>
      </c>
      <c r="P45" s="45">
        <f t="shared" si="6"/>
        <v>2225429.7791</v>
      </c>
      <c r="Q45" s="27" t="s">
        <v>92</v>
      </c>
    </row>
    <row r="46" spans="1:18" s="2" customFormat="1" ht="36.75" customHeight="1">
      <c r="A46" s="105" t="s">
        <v>261</v>
      </c>
      <c r="B46" s="7" t="s">
        <v>32</v>
      </c>
      <c r="C46" s="7" t="s">
        <v>68</v>
      </c>
      <c r="D46" s="45">
        <f>D35</f>
        <v>0</v>
      </c>
      <c r="E46" s="45">
        <f aca="true" t="shared" si="8" ref="E46:O46">E35</f>
        <v>0</v>
      </c>
      <c r="F46" s="45">
        <f t="shared" si="8"/>
        <v>0</v>
      </c>
      <c r="G46" s="45">
        <f t="shared" si="8"/>
        <v>0</v>
      </c>
      <c r="H46" s="45">
        <f t="shared" si="8"/>
        <v>0</v>
      </c>
      <c r="I46" s="45">
        <f t="shared" si="8"/>
        <v>0</v>
      </c>
      <c r="J46" s="45">
        <f t="shared" si="8"/>
        <v>0</v>
      </c>
      <c r="K46" s="45">
        <f t="shared" si="8"/>
        <v>0</v>
      </c>
      <c r="L46" s="45">
        <f t="shared" si="8"/>
        <v>0</v>
      </c>
      <c r="M46" s="45">
        <f t="shared" si="8"/>
        <v>0</v>
      </c>
      <c r="N46" s="45">
        <f t="shared" si="8"/>
        <v>0</v>
      </c>
      <c r="O46" s="45">
        <f t="shared" si="8"/>
        <v>0</v>
      </c>
      <c r="P46" s="45">
        <f t="shared" si="6"/>
        <v>0</v>
      </c>
      <c r="Q46" s="27" t="s">
        <v>94</v>
      </c>
      <c r="R46" s="11"/>
    </row>
    <row r="47" spans="1:17" s="2" customFormat="1" ht="36">
      <c r="A47" s="109" t="s">
        <v>262</v>
      </c>
      <c r="B47" s="110"/>
      <c r="C47" s="111"/>
      <c r="D47" s="113">
        <f>SUM(D45:D46)</f>
        <v>229957.54049999997</v>
      </c>
      <c r="E47" s="113">
        <f aca="true" t="shared" si="9" ref="E47:O47">SUM(E45:E46)</f>
        <v>161440.0625</v>
      </c>
      <c r="F47" s="113">
        <f t="shared" si="9"/>
        <v>122027.59069999999</v>
      </c>
      <c r="G47" s="113">
        <f t="shared" si="9"/>
        <v>158782.9263</v>
      </c>
      <c r="H47" s="113">
        <f t="shared" si="9"/>
        <v>117636.42099999999</v>
      </c>
      <c r="I47" s="113">
        <f t="shared" si="9"/>
        <v>232164.95999999996</v>
      </c>
      <c r="J47" s="113">
        <f t="shared" si="9"/>
        <v>232632.1714</v>
      </c>
      <c r="K47" s="113">
        <f t="shared" si="9"/>
        <v>231091.60869999995</v>
      </c>
      <c r="L47" s="113">
        <f t="shared" si="9"/>
        <v>217952.0599</v>
      </c>
      <c r="M47" s="113">
        <f t="shared" si="9"/>
        <v>199411.79429999998</v>
      </c>
      <c r="N47" s="113">
        <f t="shared" si="9"/>
        <v>162793.329</v>
      </c>
      <c r="O47" s="113">
        <f t="shared" si="9"/>
        <v>159539.3148</v>
      </c>
      <c r="P47" s="113">
        <f t="shared" si="6"/>
        <v>2225429.7791</v>
      </c>
      <c r="Q47" s="111" t="s">
        <v>280</v>
      </c>
    </row>
    <row r="48" spans="1:18" s="2" customFormat="1" ht="36">
      <c r="A48" s="6" t="s">
        <v>263</v>
      </c>
      <c r="B48" s="7" t="s">
        <v>126</v>
      </c>
      <c r="C48" s="27" t="s">
        <v>206</v>
      </c>
      <c r="D48" s="32">
        <f>(118838-31645+165+77)*1.0291</f>
        <v>89979.35849999999</v>
      </c>
      <c r="E48" s="32">
        <f>(108135-44710+497+28)*1.0291</f>
        <v>65810.94499999999</v>
      </c>
      <c r="F48" s="32">
        <f>(55959-24182+65+12)*1.0291</f>
        <v>32780.9514</v>
      </c>
      <c r="G48" s="32">
        <f>(56162-21133+1701+41)*1.0291</f>
        <v>37841.0361</v>
      </c>
      <c r="H48" s="32">
        <f>(129264-55834+2768+89)*1.0291</f>
        <v>78506.95169999999</v>
      </c>
      <c r="I48" s="32">
        <f>(203789-134497+1968+217)*1.0291</f>
        <v>73556.9807</v>
      </c>
      <c r="J48" s="32">
        <f>(237873-207427+2750+457)*1.0291</f>
        <v>34632.302299999996</v>
      </c>
      <c r="K48" s="32">
        <f>(259282-169218+2699+577)*1.0291</f>
        <v>96056.19399999999</v>
      </c>
      <c r="L48" s="32">
        <f>(156930-80397+2334+553)*1.0291</f>
        <v>81731.12199999999</v>
      </c>
      <c r="M48" s="32">
        <f>(217479-109164+4299+413)*1.0291</f>
        <v>116316.0857</v>
      </c>
      <c r="N48" s="32">
        <f>(121839-82853+4034+140)*1.0291</f>
        <v>44415.956</v>
      </c>
      <c r="O48" s="32">
        <f>(92413-55759+866+119)*1.0291</f>
        <v>38734.29489999999</v>
      </c>
      <c r="P48" s="57">
        <f t="shared" si="6"/>
        <v>790362.1782999999</v>
      </c>
      <c r="Q48" s="35" t="s">
        <v>209</v>
      </c>
      <c r="R48" s="117"/>
    </row>
    <row r="49" spans="1:20" s="2" customFormat="1" ht="36">
      <c r="A49" s="6" t="s">
        <v>263</v>
      </c>
      <c r="B49" s="7" t="s">
        <v>126</v>
      </c>
      <c r="C49" s="27" t="s">
        <v>207</v>
      </c>
      <c r="D49" s="91" t="s">
        <v>59</v>
      </c>
      <c r="E49" s="91" t="s">
        <v>59</v>
      </c>
      <c r="F49" s="91" t="s">
        <v>59</v>
      </c>
      <c r="G49" s="91" t="s">
        <v>59</v>
      </c>
      <c r="H49" s="91" t="s">
        <v>59</v>
      </c>
      <c r="I49" s="91" t="s">
        <v>59</v>
      </c>
      <c r="J49" s="91" t="s">
        <v>59</v>
      </c>
      <c r="K49" s="91" t="s">
        <v>59</v>
      </c>
      <c r="L49" s="91" t="s">
        <v>59</v>
      </c>
      <c r="M49" s="91" t="s">
        <v>59</v>
      </c>
      <c r="N49" s="91" t="s">
        <v>59</v>
      </c>
      <c r="O49" s="91" t="s">
        <v>59</v>
      </c>
      <c r="P49" s="44" t="s">
        <v>59</v>
      </c>
      <c r="Q49" s="7" t="s">
        <v>58</v>
      </c>
      <c r="T49" s="60"/>
    </row>
    <row r="50" spans="1:17" s="2" customFormat="1" ht="34.5" customHeight="1">
      <c r="A50" s="6" t="s">
        <v>263</v>
      </c>
      <c r="B50" s="7" t="s">
        <v>126</v>
      </c>
      <c r="C50" s="27" t="s">
        <v>208</v>
      </c>
      <c r="D50" s="56">
        <f>1936534*1.051</f>
        <v>2035297.234</v>
      </c>
      <c r="E50" s="56">
        <f>1227650*1.051</f>
        <v>1290260.15</v>
      </c>
      <c r="F50" s="56">
        <f>647305*1.051</f>
        <v>680317.5549999999</v>
      </c>
      <c r="G50" s="56">
        <f>608718*1.051</f>
        <v>639762.618</v>
      </c>
      <c r="H50" s="56">
        <f>217368*1.051</f>
        <v>228453.76799999998</v>
      </c>
      <c r="I50" s="56">
        <f>128256*1.051</f>
        <v>134797.05599999998</v>
      </c>
      <c r="J50" s="56">
        <f>408194*1.051</f>
        <v>429011.894</v>
      </c>
      <c r="K50" s="56">
        <f>103679*1.051</f>
        <v>108966.62899999999</v>
      </c>
      <c r="L50" s="56">
        <f>0*1.051</f>
        <v>0</v>
      </c>
      <c r="M50" s="56">
        <f>0*1.051</f>
        <v>0</v>
      </c>
      <c r="N50" s="56">
        <f>3671*1.051</f>
        <v>3858.2209999999995</v>
      </c>
      <c r="O50" s="56">
        <f>6148*1.051</f>
        <v>6461.548</v>
      </c>
      <c r="P50" s="119">
        <f aca="true" t="shared" si="10" ref="P50:P58">SUM(D50:O50)</f>
        <v>5557186.6729999995</v>
      </c>
      <c r="Q50" s="7" t="s">
        <v>175</v>
      </c>
    </row>
    <row r="51" spans="1:17" s="2" customFormat="1" ht="72">
      <c r="A51" s="6" t="s">
        <v>263</v>
      </c>
      <c r="B51" s="7" t="s">
        <v>126</v>
      </c>
      <c r="C51" s="27" t="s">
        <v>205</v>
      </c>
      <c r="D51" s="32">
        <f>(0+31645)*1.0291</f>
        <v>32565.869499999997</v>
      </c>
      <c r="E51" s="32">
        <f>(0+44710)*1.0291</f>
        <v>46011.060999999994</v>
      </c>
      <c r="F51" s="32">
        <f>(0+24182)*1.0291</f>
        <v>24885.6962</v>
      </c>
      <c r="G51" s="32">
        <f>(0+21133)*1.0291</f>
        <v>21747.970299999997</v>
      </c>
      <c r="H51" s="32">
        <f>(0+55834)*1.0291</f>
        <v>57458.7694</v>
      </c>
      <c r="I51" s="32">
        <f>(0+134497)*1.0291</f>
        <v>138410.8627</v>
      </c>
      <c r="J51" s="32">
        <f>(0+207427)*1.0291</f>
        <v>213463.12569999998</v>
      </c>
      <c r="K51" s="32">
        <f>(0+169218)*1.0291</f>
        <v>174142.2438</v>
      </c>
      <c r="L51" s="32">
        <f>(0+80397)*1.0291</f>
        <v>82736.55269999999</v>
      </c>
      <c r="M51" s="32">
        <f>(0+109164)*1.0291</f>
        <v>112340.6724</v>
      </c>
      <c r="N51" s="32">
        <f>(0+82853)*1.0291</f>
        <v>85264.0223</v>
      </c>
      <c r="O51" s="32">
        <f>(0+55759)*1.0291</f>
        <v>57381.586899999995</v>
      </c>
      <c r="P51" s="45">
        <f t="shared" si="10"/>
        <v>1046408.4328999999</v>
      </c>
      <c r="Q51" s="7" t="s">
        <v>204</v>
      </c>
    </row>
    <row r="52" spans="1:17" s="2" customFormat="1" ht="36">
      <c r="A52" s="6" t="s">
        <v>263</v>
      </c>
      <c r="B52" s="7" t="s">
        <v>126</v>
      </c>
      <c r="C52" s="27" t="s">
        <v>226</v>
      </c>
      <c r="D52" s="32">
        <f aca="true" t="shared" si="11" ref="D52:O52">D68</f>
        <v>1399788.1535999998</v>
      </c>
      <c r="E52" s="32">
        <f t="shared" si="11"/>
        <v>1139967.7722</v>
      </c>
      <c r="F52" s="32">
        <f t="shared" si="11"/>
        <v>1099853.8646</v>
      </c>
      <c r="G52" s="32">
        <f t="shared" si="11"/>
        <v>1129660.4281</v>
      </c>
      <c r="H52" s="32">
        <f t="shared" si="11"/>
        <v>1117570.1803</v>
      </c>
      <c r="I52" s="32">
        <f t="shared" si="11"/>
        <v>1261877.9841999998</v>
      </c>
      <c r="J52" s="32">
        <f t="shared" si="11"/>
        <v>1404312.2610999998</v>
      </c>
      <c r="K52" s="32">
        <f t="shared" si="11"/>
        <v>1688563.6338999998</v>
      </c>
      <c r="L52" s="32">
        <f t="shared" si="11"/>
        <v>1512845.9384999997</v>
      </c>
      <c r="M52" s="32">
        <f t="shared" si="11"/>
        <v>1712021.4999999998</v>
      </c>
      <c r="N52" s="32">
        <f t="shared" si="11"/>
        <v>1266766.7086999998</v>
      </c>
      <c r="O52" s="32">
        <f t="shared" si="11"/>
        <v>1226101.8745</v>
      </c>
      <c r="P52" s="45">
        <f t="shared" si="10"/>
        <v>15959330.2997</v>
      </c>
      <c r="Q52" s="7" t="s">
        <v>385</v>
      </c>
    </row>
    <row r="53" spans="1:17" s="2" customFormat="1" ht="24">
      <c r="A53" s="109" t="s">
        <v>264</v>
      </c>
      <c r="B53" s="110"/>
      <c r="C53" s="111"/>
      <c r="D53" s="113">
        <f>SUM(D48:D52)</f>
        <v>3557630.6155999997</v>
      </c>
      <c r="E53" s="113">
        <f aca="true" t="shared" si="12" ref="E53:O53">SUM(E48:E52)</f>
        <v>2542049.9282</v>
      </c>
      <c r="F53" s="113">
        <f t="shared" si="12"/>
        <v>1837838.0672</v>
      </c>
      <c r="G53" s="113">
        <f t="shared" si="12"/>
        <v>1829012.0525</v>
      </c>
      <c r="H53" s="113">
        <f t="shared" si="12"/>
        <v>1481989.6693999998</v>
      </c>
      <c r="I53" s="113">
        <f t="shared" si="12"/>
        <v>1608642.8835999998</v>
      </c>
      <c r="J53" s="113">
        <f t="shared" si="12"/>
        <v>2081419.5830999997</v>
      </c>
      <c r="K53" s="113">
        <f t="shared" si="12"/>
        <v>2067728.7006999997</v>
      </c>
      <c r="L53" s="113">
        <f t="shared" si="12"/>
        <v>1677313.6131999996</v>
      </c>
      <c r="M53" s="113">
        <f t="shared" si="12"/>
        <v>1940678.2580999997</v>
      </c>
      <c r="N53" s="113">
        <f t="shared" si="12"/>
        <v>1400304.9079999998</v>
      </c>
      <c r="O53" s="113">
        <f t="shared" si="12"/>
        <v>1328679.3043</v>
      </c>
      <c r="P53" s="113">
        <f t="shared" si="10"/>
        <v>23353287.583899997</v>
      </c>
      <c r="Q53" s="111" t="s">
        <v>282</v>
      </c>
    </row>
    <row r="54" spans="1:20" s="2" customFormat="1" ht="84">
      <c r="A54" s="6" t="s">
        <v>263</v>
      </c>
      <c r="B54" s="7" t="s">
        <v>126</v>
      </c>
      <c r="C54" s="7" t="s">
        <v>152</v>
      </c>
      <c r="D54" s="124">
        <f>0.01*D53</f>
        <v>35576.306156</v>
      </c>
      <c r="E54" s="124">
        <f aca="true" t="shared" si="13" ref="E54:O54">0.01*E53</f>
        <v>25420.499282</v>
      </c>
      <c r="F54" s="124">
        <f t="shared" si="13"/>
        <v>18378.380672</v>
      </c>
      <c r="G54" s="124">
        <f t="shared" si="13"/>
        <v>18290.120525000002</v>
      </c>
      <c r="H54" s="124">
        <f t="shared" si="13"/>
        <v>14819.896693999997</v>
      </c>
      <c r="I54" s="124">
        <f t="shared" si="13"/>
        <v>16086.428836</v>
      </c>
      <c r="J54" s="124">
        <f t="shared" si="13"/>
        <v>20814.195830999997</v>
      </c>
      <c r="K54" s="124">
        <f t="shared" si="13"/>
        <v>20677.287007</v>
      </c>
      <c r="L54" s="124">
        <f t="shared" si="13"/>
        <v>16773.136131999996</v>
      </c>
      <c r="M54" s="124">
        <f t="shared" si="13"/>
        <v>19406.782581</v>
      </c>
      <c r="N54" s="124">
        <f t="shared" si="13"/>
        <v>14003.049079999999</v>
      </c>
      <c r="O54" s="124">
        <f t="shared" si="13"/>
        <v>13286.793043</v>
      </c>
      <c r="P54" s="45">
        <f t="shared" si="10"/>
        <v>233532.875839</v>
      </c>
      <c r="Q54" s="7" t="s">
        <v>220</v>
      </c>
      <c r="S54" s="11"/>
      <c r="T54" s="60"/>
    </row>
    <row r="55" spans="1:17" s="2" customFormat="1" ht="60">
      <c r="A55" s="4" t="s">
        <v>265</v>
      </c>
      <c r="B55" s="5" t="s">
        <v>27</v>
      </c>
      <c r="C55" s="5" t="s">
        <v>70</v>
      </c>
      <c r="D55" s="32">
        <f>37691*1.0291</f>
        <v>38787.808099999995</v>
      </c>
      <c r="E55" s="32">
        <f>24345*1.0291</f>
        <v>25053.439499999997</v>
      </c>
      <c r="F55" s="32">
        <f>33420*1.0291</f>
        <v>34392.522</v>
      </c>
      <c r="G55" s="32">
        <f>33018*1.0291</f>
        <v>33978.8238</v>
      </c>
      <c r="H55" s="32">
        <f>32489*1.0291</f>
        <v>33434.429899999996</v>
      </c>
      <c r="I55" s="32">
        <f>27223*1.0291</f>
        <v>28015.1893</v>
      </c>
      <c r="J55" s="32">
        <f>30625*1.0291</f>
        <v>31516.187499999996</v>
      </c>
      <c r="K55" s="32">
        <f>36563*1.0291</f>
        <v>37626.9833</v>
      </c>
      <c r="L55" s="32">
        <f>30045*1.0291</f>
        <v>30919.309499999996</v>
      </c>
      <c r="M55" s="32">
        <f>29933*1.0291</f>
        <v>30804.050299999995</v>
      </c>
      <c r="N55" s="32">
        <f>25591*1.0291</f>
        <v>26335.698099999998</v>
      </c>
      <c r="O55" s="32">
        <f>21387*1.0291</f>
        <v>22009.361699999998</v>
      </c>
      <c r="P55" s="51">
        <f t="shared" si="10"/>
        <v>372873.80299999996</v>
      </c>
      <c r="Q55" s="27" t="s">
        <v>291</v>
      </c>
    </row>
    <row r="56" spans="1:17" s="2" customFormat="1" ht="36">
      <c r="A56" s="4" t="s">
        <v>265</v>
      </c>
      <c r="B56" s="5" t="s">
        <v>27</v>
      </c>
      <c r="C56" s="5" t="s">
        <v>71</v>
      </c>
      <c r="D56" s="32">
        <f>1126*1.0291</f>
        <v>1158.7666</v>
      </c>
      <c r="E56" s="32">
        <f>1014*1.0291</f>
        <v>1043.5074</v>
      </c>
      <c r="F56" s="32">
        <f>641*1.0291</f>
        <v>659.6531</v>
      </c>
      <c r="G56" s="32">
        <f>979*1.0291</f>
        <v>1007.4889</v>
      </c>
      <c r="H56" s="32">
        <f>1103*1.0291</f>
        <v>1135.0973</v>
      </c>
      <c r="I56" s="32">
        <f>1053*1.0291</f>
        <v>1083.6423</v>
      </c>
      <c r="J56" s="32">
        <f>1009*1.0291</f>
        <v>1038.3618999999999</v>
      </c>
      <c r="K56" s="32">
        <f>1320*1.0291</f>
        <v>1358.4119999999998</v>
      </c>
      <c r="L56" s="32">
        <f>1020*1.0291</f>
        <v>1049.6819999999998</v>
      </c>
      <c r="M56" s="32">
        <f>1205*1.0291</f>
        <v>1240.0655</v>
      </c>
      <c r="N56" s="32">
        <f>936*1.0291</f>
        <v>963.2375999999999</v>
      </c>
      <c r="O56" s="32">
        <f>727*1.0291</f>
        <v>748.1556999999999</v>
      </c>
      <c r="P56" s="51">
        <f t="shared" si="10"/>
        <v>12486.0703</v>
      </c>
      <c r="Q56" s="27" t="s">
        <v>72</v>
      </c>
    </row>
    <row r="57" spans="1:17" s="2" customFormat="1" ht="24">
      <c r="A57" s="109" t="s">
        <v>266</v>
      </c>
      <c r="B57" s="110"/>
      <c r="C57" s="111"/>
      <c r="D57" s="113">
        <f>SUM(D55:D56)</f>
        <v>39946.5747</v>
      </c>
      <c r="E57" s="113">
        <f>SUM(E55:E56)</f>
        <v>26096.946899999995</v>
      </c>
      <c r="F57" s="113">
        <f aca="true" t="shared" si="14" ref="F57:O57">SUM(F55:F56)</f>
        <v>35052.1751</v>
      </c>
      <c r="G57" s="113">
        <f t="shared" si="14"/>
        <v>34986.312699999995</v>
      </c>
      <c r="H57" s="113">
        <f t="shared" si="14"/>
        <v>34569.5272</v>
      </c>
      <c r="I57" s="113">
        <f t="shared" si="14"/>
        <v>29098.831599999998</v>
      </c>
      <c r="J57" s="113">
        <f t="shared" si="14"/>
        <v>32554.549399999996</v>
      </c>
      <c r="K57" s="113">
        <f t="shared" si="14"/>
        <v>38985.3953</v>
      </c>
      <c r="L57" s="113">
        <f t="shared" si="14"/>
        <v>31968.991499999996</v>
      </c>
      <c r="M57" s="113">
        <f t="shared" si="14"/>
        <v>32044.115799999996</v>
      </c>
      <c r="N57" s="113">
        <f t="shared" si="14"/>
        <v>27298.935699999998</v>
      </c>
      <c r="O57" s="113">
        <f t="shared" si="14"/>
        <v>22757.517399999997</v>
      </c>
      <c r="P57" s="113">
        <f t="shared" si="10"/>
        <v>385359.8732999999</v>
      </c>
      <c r="Q57" s="111" t="s">
        <v>284</v>
      </c>
    </row>
    <row r="58" spans="1:17" s="2" customFormat="1" ht="36">
      <c r="A58" s="4" t="s">
        <v>265</v>
      </c>
      <c r="B58" s="5" t="s">
        <v>27</v>
      </c>
      <c r="C58" s="26" t="s">
        <v>56</v>
      </c>
      <c r="D58" s="32">
        <f>59388*1.0291</f>
        <v>61116.1908</v>
      </c>
      <c r="E58" s="32">
        <f>49832*1.0291</f>
        <v>51282.11119999999</v>
      </c>
      <c r="F58" s="32">
        <f>28643*1.0291</f>
        <v>29476.5113</v>
      </c>
      <c r="G58" s="32">
        <f>21811*1.0291</f>
        <v>22445.7001</v>
      </c>
      <c r="H58" s="32">
        <f>101564*1.0291</f>
        <v>104519.51239999999</v>
      </c>
      <c r="I58" s="32">
        <f>40690*1.0291</f>
        <v>41874.079</v>
      </c>
      <c r="J58" s="32">
        <f>52421*1.0291</f>
        <v>53946.4511</v>
      </c>
      <c r="K58" s="32">
        <f>47615*1.0291</f>
        <v>49000.59649999999</v>
      </c>
      <c r="L58" s="32">
        <f>32642*1.0291</f>
        <v>33591.8822</v>
      </c>
      <c r="M58" s="32">
        <f>42235*1.0291</f>
        <v>43464.038499999995</v>
      </c>
      <c r="N58" s="32">
        <f>26390*1.0291</f>
        <v>27157.948999999997</v>
      </c>
      <c r="O58" s="32">
        <f>23120*1.0291</f>
        <v>23792.791999999998</v>
      </c>
      <c r="P58" s="51">
        <f t="shared" si="10"/>
        <v>541667.8141</v>
      </c>
      <c r="Q58" s="27" t="s">
        <v>69</v>
      </c>
    </row>
    <row r="59" spans="1:17" s="3" customFormat="1" ht="12">
      <c r="A59" s="208" t="s">
        <v>267</v>
      </c>
      <c r="B59" s="209"/>
      <c r="C59" s="209"/>
      <c r="D59" s="209"/>
      <c r="E59" s="209"/>
      <c r="F59" s="209"/>
      <c r="G59" s="209"/>
      <c r="H59" s="209"/>
      <c r="I59" s="209"/>
      <c r="J59" s="209"/>
      <c r="K59" s="209"/>
      <c r="L59" s="209"/>
      <c r="M59" s="209"/>
      <c r="N59" s="209"/>
      <c r="O59" s="209"/>
      <c r="P59" s="209"/>
      <c r="Q59" s="210"/>
    </row>
    <row r="60" spans="1:17" s="2" customFormat="1" ht="83.25" customHeight="1">
      <c r="A60" s="6" t="s">
        <v>25</v>
      </c>
      <c r="B60" s="125" t="s">
        <v>22</v>
      </c>
      <c r="C60" s="27" t="s">
        <v>154</v>
      </c>
      <c r="D60" s="45">
        <f>44636*1.0291</f>
        <v>45934.9076</v>
      </c>
      <c r="E60" s="45">
        <f>31125*1.0291</f>
        <v>32030.737499999996</v>
      </c>
      <c r="F60" s="45">
        <f>40583*1.0291</f>
        <v>41763.965299999996</v>
      </c>
      <c r="G60" s="45">
        <f>38915*1.0291</f>
        <v>40047.426499999994</v>
      </c>
      <c r="H60" s="45">
        <f>77033*1.0291</f>
        <v>79274.66029999999</v>
      </c>
      <c r="I60" s="45">
        <f>25433*1.0291</f>
        <v>26173.1003</v>
      </c>
      <c r="J60" s="45">
        <f>28686*1.0291</f>
        <v>29520.7626</v>
      </c>
      <c r="K60" s="45">
        <f>34989*1.0291</f>
        <v>36007.179899999996</v>
      </c>
      <c r="L60" s="44">
        <f>34756*1.0291</f>
        <v>35767.3996</v>
      </c>
      <c r="M60" s="44">
        <f>24238*1.0291</f>
        <v>24943.3258</v>
      </c>
      <c r="N60" s="44">
        <f>26121*1.0291</f>
        <v>26881.121099999997</v>
      </c>
      <c r="O60" s="32">
        <f>18493*1.0291</f>
        <v>19031.146299999997</v>
      </c>
      <c r="P60" s="45">
        <f>SUM(D60:O60)</f>
        <v>437375.7328</v>
      </c>
      <c r="Q60" s="7" t="s">
        <v>300</v>
      </c>
    </row>
    <row r="61" spans="1:17" s="11" customFormat="1" ht="36">
      <c r="A61" s="6" t="s">
        <v>26</v>
      </c>
      <c r="B61" s="7" t="s">
        <v>151</v>
      </c>
      <c r="C61" s="7" t="s">
        <v>173</v>
      </c>
      <c r="D61" s="128">
        <f>(250+350)/2/12</f>
        <v>25</v>
      </c>
      <c r="E61" s="128">
        <f aca="true" t="shared" si="15" ref="E61:O61">(250+350)/2/12</f>
        <v>25</v>
      </c>
      <c r="F61" s="128">
        <f t="shared" si="15"/>
        <v>25</v>
      </c>
      <c r="G61" s="128">
        <f t="shared" si="15"/>
        <v>25</v>
      </c>
      <c r="H61" s="128">
        <f t="shared" si="15"/>
        <v>25</v>
      </c>
      <c r="I61" s="128">
        <f t="shared" si="15"/>
        <v>25</v>
      </c>
      <c r="J61" s="128">
        <f t="shared" si="15"/>
        <v>25</v>
      </c>
      <c r="K61" s="128">
        <f t="shared" si="15"/>
        <v>25</v>
      </c>
      <c r="L61" s="128">
        <f t="shared" si="15"/>
        <v>25</v>
      </c>
      <c r="M61" s="128">
        <f t="shared" si="15"/>
        <v>25</v>
      </c>
      <c r="N61" s="128">
        <f t="shared" si="15"/>
        <v>25</v>
      </c>
      <c r="O61" s="128">
        <f t="shared" si="15"/>
        <v>25</v>
      </c>
      <c r="P61" s="45">
        <f>SUM(D61:O61)</f>
        <v>300</v>
      </c>
      <c r="Q61" s="7" t="s">
        <v>227</v>
      </c>
    </row>
    <row r="62" spans="1:17" s="2" customFormat="1" ht="48">
      <c r="A62" s="4" t="s">
        <v>29</v>
      </c>
      <c r="B62" s="5" t="s">
        <v>116</v>
      </c>
      <c r="C62" s="5" t="s">
        <v>128</v>
      </c>
      <c r="D62" s="30">
        <f>(744+50)*1.0291</f>
        <v>817.1053999999999</v>
      </c>
      <c r="E62" s="30">
        <f>(534+46)*1.0291</f>
        <v>596.8779999999999</v>
      </c>
      <c r="F62" s="30">
        <f>(421+39)*1.0291</f>
        <v>473.38599999999997</v>
      </c>
      <c r="G62" s="30">
        <f>(590+36)*1.0291</f>
        <v>644.2166</v>
      </c>
      <c r="H62" s="30">
        <f>(666+48)*1.0291</f>
        <v>734.7774</v>
      </c>
      <c r="I62" s="30">
        <f>(844+48)*1.0291</f>
        <v>917.9572</v>
      </c>
      <c r="J62" s="30">
        <f>(449+36)*1.0291</f>
        <v>499.11349999999993</v>
      </c>
      <c r="K62" s="30">
        <f>(576+40)*1.0291</f>
        <v>633.9255999999999</v>
      </c>
      <c r="L62" s="30">
        <f>(656+44)*1.0291</f>
        <v>720.3699999999999</v>
      </c>
      <c r="M62" s="30">
        <f>(1096+55)*1.0291</f>
        <v>1184.4941</v>
      </c>
      <c r="N62" s="30">
        <f>(741+32)*1.0291</f>
        <v>795.4943</v>
      </c>
      <c r="O62" s="32">
        <f>(569+45)*1.0291</f>
        <v>631.8674</v>
      </c>
      <c r="P62" s="51">
        <f>SUM(D62:O62)</f>
        <v>8649.5855</v>
      </c>
      <c r="Q62" s="13" t="s">
        <v>54</v>
      </c>
    </row>
    <row r="63" spans="1:17" s="3" customFormat="1" ht="12">
      <c r="A63" s="208" t="s">
        <v>268</v>
      </c>
      <c r="B63" s="209"/>
      <c r="C63" s="209"/>
      <c r="D63" s="209"/>
      <c r="E63" s="209"/>
      <c r="F63" s="209"/>
      <c r="G63" s="209"/>
      <c r="H63" s="209"/>
      <c r="I63" s="209"/>
      <c r="J63" s="209"/>
      <c r="K63" s="209"/>
      <c r="L63" s="209"/>
      <c r="M63" s="209"/>
      <c r="N63" s="209"/>
      <c r="O63" s="209"/>
      <c r="P63" s="209"/>
      <c r="Q63" s="210"/>
    </row>
    <row r="64" spans="1:17"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32">
        <f>0*1.0291</f>
        <v>0</v>
      </c>
      <c r="E65" s="32">
        <f>2483*1.0291</f>
        <v>2555.2553</v>
      </c>
      <c r="F65" s="32">
        <f>1226*1.0291</f>
        <v>1261.6765999999998</v>
      </c>
      <c r="G65" s="32">
        <f>1592*1.0291</f>
        <v>1638.3272</v>
      </c>
      <c r="H65" s="32">
        <f>6885*1.0291</f>
        <v>7085.353499999999</v>
      </c>
      <c r="I65" s="32">
        <f>11122*1.0291</f>
        <v>11445.650199999998</v>
      </c>
      <c r="J65" s="32">
        <f>11982*1.0291</f>
        <v>12330.676199999998</v>
      </c>
      <c r="K65" s="32">
        <f>16076*1.0291</f>
        <v>16543.811599999997</v>
      </c>
      <c r="L65" s="32">
        <f>7351*1.0291</f>
        <v>7564.914099999999</v>
      </c>
      <c r="M65" s="32">
        <f>5998*1.0291</f>
        <v>6172.541799999999</v>
      </c>
      <c r="N65" s="32">
        <f>3829*1.0291</f>
        <v>3940.4239</v>
      </c>
      <c r="O65" s="32">
        <f>3868*1.0291</f>
        <v>3980.5588</v>
      </c>
      <c r="P65" s="51">
        <f>SUM(D65:O65)</f>
        <v>74519.1892</v>
      </c>
      <c r="Q65" s="6" t="s">
        <v>55</v>
      </c>
    </row>
    <row r="66" spans="1:17" s="2" customFormat="1" ht="72">
      <c r="A66" s="6" t="s">
        <v>120</v>
      </c>
      <c r="B66" s="7" t="s">
        <v>117</v>
      </c>
      <c r="C66" s="27" t="s">
        <v>223</v>
      </c>
      <c r="D66" s="98">
        <v>1068038.0566999998</v>
      </c>
      <c r="E66" s="45">
        <v>843061.3601999999</v>
      </c>
      <c r="F66" s="45">
        <v>800414.4270999999</v>
      </c>
      <c r="G66" s="45">
        <v>848253.1697</v>
      </c>
      <c r="H66" s="45">
        <v>827247.1804999999</v>
      </c>
      <c r="I66" s="45">
        <v>913973.5538999998</v>
      </c>
      <c r="J66" s="45">
        <v>1035623.4648999998</v>
      </c>
      <c r="K66" s="45">
        <v>1232766.0936999999</v>
      </c>
      <c r="L66" s="45">
        <v>1120343.0932999998</v>
      </c>
      <c r="M66" s="45">
        <v>1308263.9569999997</v>
      </c>
      <c r="N66" s="45">
        <v>961737.1721999999</v>
      </c>
      <c r="O66" s="45">
        <v>928513.7078</v>
      </c>
      <c r="P66" s="51">
        <f>SUM(D66:O66)</f>
        <v>11888235.237</v>
      </c>
      <c r="Q66" s="7" t="s">
        <v>301</v>
      </c>
    </row>
    <row r="67" spans="1:17" s="11" customFormat="1" ht="72">
      <c r="A67" s="6" t="s">
        <v>120</v>
      </c>
      <c r="B67" s="7" t="s">
        <v>117</v>
      </c>
      <c r="C67" s="27" t="s">
        <v>224</v>
      </c>
      <c r="D67" s="45">
        <f>187151.0969+144599</f>
        <v>331750.0969</v>
      </c>
      <c r="E67" s="45">
        <f>176305.412+120601</f>
        <v>296906.412</v>
      </c>
      <c r="F67" s="45">
        <f>183308.4375+116131</f>
        <v>299439.4375</v>
      </c>
      <c r="G67" s="45">
        <f>166327.2584+115080</f>
        <v>281407.2584</v>
      </c>
      <c r="H67" s="45">
        <f>185626.9998+104696</f>
        <v>290322.9998</v>
      </c>
      <c r="I67" s="45">
        <f>207603.4303+140301</f>
        <v>347904.4303</v>
      </c>
      <c r="J67" s="45">
        <f>211152.7962+157536</f>
        <v>368688.7962</v>
      </c>
      <c r="K67" s="45">
        <f>256268.5402+199529</f>
        <v>455797.5402</v>
      </c>
      <c r="L67" s="45">
        <f>229048.8452+163454</f>
        <v>392502.8452</v>
      </c>
      <c r="M67" s="45">
        <f>230240.543+173517</f>
        <v>403757.543</v>
      </c>
      <c r="N67" s="45">
        <f>175991.5365+129038</f>
        <v>305029.5365</v>
      </c>
      <c r="O67" s="45">
        <f>164591.1667+132997</f>
        <v>297588.1667</v>
      </c>
      <c r="P67" s="51">
        <f>SUM(D67:O67)</f>
        <v>4071095.0626999997</v>
      </c>
      <c r="Q67" s="7" t="s">
        <v>302</v>
      </c>
    </row>
    <row r="68" spans="1:17" s="11" customFormat="1" ht="24">
      <c r="A68" s="133" t="s">
        <v>269</v>
      </c>
      <c r="B68" s="110"/>
      <c r="C68" s="111"/>
      <c r="D68" s="136">
        <f aca="true" t="shared" si="16" ref="D68:O68">SUM(D66:D67)</f>
        <v>1399788.1535999998</v>
      </c>
      <c r="E68" s="136">
        <f t="shared" si="16"/>
        <v>1139967.7722</v>
      </c>
      <c r="F68" s="136">
        <f t="shared" si="16"/>
        <v>1099853.8646</v>
      </c>
      <c r="G68" s="136">
        <f t="shared" si="16"/>
        <v>1129660.4281</v>
      </c>
      <c r="H68" s="136">
        <f t="shared" si="16"/>
        <v>1117570.1803</v>
      </c>
      <c r="I68" s="136">
        <f t="shared" si="16"/>
        <v>1261877.9841999998</v>
      </c>
      <c r="J68" s="136">
        <f t="shared" si="16"/>
        <v>1404312.2610999998</v>
      </c>
      <c r="K68" s="136">
        <f t="shared" si="16"/>
        <v>1688563.6338999998</v>
      </c>
      <c r="L68" s="136">
        <f t="shared" si="16"/>
        <v>1512845.9384999997</v>
      </c>
      <c r="M68" s="136">
        <f t="shared" si="16"/>
        <v>1712021.4999999998</v>
      </c>
      <c r="N68" s="136">
        <f t="shared" si="16"/>
        <v>1266766.7086999998</v>
      </c>
      <c r="O68" s="136">
        <f t="shared" si="16"/>
        <v>1226101.8745</v>
      </c>
      <c r="P68" s="114">
        <f>SUM(D68:O68)</f>
        <v>15959330.2997</v>
      </c>
      <c r="Q68" s="110" t="s">
        <v>287</v>
      </c>
    </row>
    <row r="69" spans="1:17" ht="96">
      <c r="A69" s="161" t="s">
        <v>121</v>
      </c>
      <c r="B69" s="7" t="s">
        <v>127</v>
      </c>
      <c r="C69" s="7" t="s">
        <v>313</v>
      </c>
      <c r="D69" s="83">
        <f>(6182+165+77)*1.0291</f>
        <v>6610.938399999999</v>
      </c>
      <c r="E69" s="83">
        <f>(4944+497+28)*1.0291</f>
        <v>5628.147899999999</v>
      </c>
      <c r="F69" s="83">
        <f>(7062+65+12)*1.0291</f>
        <v>7346.7449</v>
      </c>
      <c r="G69" s="83">
        <f>(3202+1701+41)*1.0291</f>
        <v>5087.8704</v>
      </c>
      <c r="H69" s="83">
        <f>(3942+2768+89)*1.0291</f>
        <v>6996.8508999999995</v>
      </c>
      <c r="I69" s="83">
        <f>(7025+1968+217)*1.0291</f>
        <v>9478.010999999999</v>
      </c>
      <c r="J69" s="83">
        <f>(5563+2750+457)*1.0291</f>
        <v>9025.206999999999</v>
      </c>
      <c r="K69" s="83">
        <f>(6745+2699+577)*1.0291</f>
        <v>10312.611099999998</v>
      </c>
      <c r="L69" s="83">
        <f>(6245+2334+553)*1.0291</f>
        <v>9397.741199999999</v>
      </c>
      <c r="M69" s="83">
        <f>(3307+4299+413)*1.0291</f>
        <v>8252.3529</v>
      </c>
      <c r="N69" s="83">
        <f>(3560+4034+140)*1.0291</f>
        <v>7959.059399999999</v>
      </c>
      <c r="O69" s="83">
        <f>(5795+866+119)*1.0291</f>
        <v>6977.298</v>
      </c>
      <c r="P69" s="45">
        <f>SUM(D69:O69)</f>
        <v>93072.83309999999</v>
      </c>
      <c r="Q69" s="7" t="s">
        <v>321</v>
      </c>
    </row>
    <row r="70" spans="1:17" s="3" customFormat="1" ht="12">
      <c r="A70" s="208" t="s">
        <v>270</v>
      </c>
      <c r="B70" s="209"/>
      <c r="C70" s="209"/>
      <c r="D70" s="209"/>
      <c r="E70" s="209"/>
      <c r="F70" s="209"/>
      <c r="G70" s="209"/>
      <c r="H70" s="209"/>
      <c r="I70" s="209"/>
      <c r="J70" s="209"/>
      <c r="K70" s="209"/>
      <c r="L70" s="209"/>
      <c r="M70" s="209"/>
      <c r="N70" s="209"/>
      <c r="O70" s="209"/>
      <c r="P70" s="209"/>
      <c r="Q70" s="210"/>
    </row>
    <row r="71" spans="1:17" s="11" customFormat="1" ht="24">
      <c r="A71" s="6" t="s">
        <v>271</v>
      </c>
      <c r="B71" s="38" t="s">
        <v>33</v>
      </c>
      <c r="C71" s="7" t="s">
        <v>76</v>
      </c>
      <c r="D71" s="45">
        <v>0</v>
      </c>
      <c r="E71" s="45">
        <v>0</v>
      </c>
      <c r="F71" s="45">
        <v>0</v>
      </c>
      <c r="G71" s="69">
        <v>1</v>
      </c>
      <c r="H71" s="69">
        <v>0</v>
      </c>
      <c r="I71" s="69">
        <v>0</v>
      </c>
      <c r="J71" s="69">
        <v>0</v>
      </c>
      <c r="K71" s="69">
        <v>0</v>
      </c>
      <c r="L71" s="69">
        <v>0</v>
      </c>
      <c r="M71" s="69">
        <v>0</v>
      </c>
      <c r="N71" s="69">
        <v>0</v>
      </c>
      <c r="O71" s="69">
        <v>0</v>
      </c>
      <c r="P71" s="43">
        <f>SUM(D71:O71)</f>
        <v>1</v>
      </c>
      <c r="Q71" s="20" t="s">
        <v>159</v>
      </c>
    </row>
    <row r="72" spans="1:17" s="59" customFormat="1" ht="24">
      <c r="A72" s="32" t="s">
        <v>272</v>
      </c>
      <c r="B72" s="34" t="s">
        <v>122</v>
      </c>
      <c r="C72" s="27" t="s">
        <v>124</v>
      </c>
      <c r="D72" s="32">
        <f>2*1.0291</f>
        <v>2.0582</v>
      </c>
      <c r="E72" s="32">
        <f>1*1.0291</f>
        <v>1.0291</v>
      </c>
      <c r="F72" s="32">
        <f>1*1.0291</f>
        <v>1.0291</v>
      </c>
      <c r="G72" s="32">
        <f>2*1.0291</f>
        <v>2.0582</v>
      </c>
      <c r="H72" s="32">
        <f>3*1.0291</f>
        <v>3.0873</v>
      </c>
      <c r="I72" s="32">
        <f>3*1.0291</f>
        <v>3.0873</v>
      </c>
      <c r="J72" s="32">
        <f>3*1.0291</f>
        <v>3.0873</v>
      </c>
      <c r="K72" s="32">
        <f>5*1.0291</f>
        <v>5.145499999999999</v>
      </c>
      <c r="L72" s="32">
        <f>2*1.0291</f>
        <v>2.0582</v>
      </c>
      <c r="M72" s="32">
        <f>1*1.0291</f>
        <v>1.0291</v>
      </c>
      <c r="N72" s="32">
        <f>1*1.0291</f>
        <v>1.0291</v>
      </c>
      <c r="O72" s="32">
        <f>8*1.0291</f>
        <v>8.2328</v>
      </c>
      <c r="P72" s="45">
        <f>SUM(D72:O72)</f>
        <v>32.9312</v>
      </c>
      <c r="Q72" s="20" t="s">
        <v>190</v>
      </c>
    </row>
    <row r="73" spans="1:17" s="11" customFormat="1" ht="24">
      <c r="A73" s="6" t="s">
        <v>273</v>
      </c>
      <c r="B73" s="38" t="s">
        <v>363</v>
      </c>
      <c r="C73" s="7" t="s">
        <v>100</v>
      </c>
      <c r="D73" s="32">
        <f>D72</f>
        <v>2.0582</v>
      </c>
      <c r="E73" s="32">
        <f aca="true" t="shared" si="17" ref="E73:O73">E72</f>
        <v>1.0291</v>
      </c>
      <c r="F73" s="32">
        <f t="shared" si="17"/>
        <v>1.0291</v>
      </c>
      <c r="G73" s="32">
        <f t="shared" si="17"/>
        <v>2.0582</v>
      </c>
      <c r="H73" s="32">
        <f t="shared" si="17"/>
        <v>3.0873</v>
      </c>
      <c r="I73" s="32">
        <f t="shared" si="17"/>
        <v>3.0873</v>
      </c>
      <c r="J73" s="32">
        <f t="shared" si="17"/>
        <v>3.0873</v>
      </c>
      <c r="K73" s="32">
        <f t="shared" si="17"/>
        <v>5.145499999999999</v>
      </c>
      <c r="L73" s="32">
        <f t="shared" si="17"/>
        <v>2.0582</v>
      </c>
      <c r="M73" s="32">
        <f t="shared" si="17"/>
        <v>1.0291</v>
      </c>
      <c r="N73" s="32">
        <f t="shared" si="17"/>
        <v>1.0291</v>
      </c>
      <c r="O73" s="32">
        <f t="shared" si="17"/>
        <v>8.2328</v>
      </c>
      <c r="P73" s="45">
        <f>SUM(D73:O73)</f>
        <v>32.9312</v>
      </c>
      <c r="Q73" s="20" t="s">
        <v>190</v>
      </c>
    </row>
    <row r="74" spans="1:17" s="59" customFormat="1" ht="36">
      <c r="A74" s="32" t="s">
        <v>274</v>
      </c>
      <c r="B74" s="34" t="s">
        <v>123</v>
      </c>
      <c r="C74" s="27" t="s">
        <v>77</v>
      </c>
      <c r="D74" s="32">
        <f>8590*1.0291</f>
        <v>8839.969</v>
      </c>
      <c r="E74" s="32">
        <f>4081*1.0291</f>
        <v>4199.7571</v>
      </c>
      <c r="F74" s="32">
        <f>5329*1.0291</f>
        <v>5484.073899999999</v>
      </c>
      <c r="G74" s="32">
        <f>15525*1.0291</f>
        <v>15976.777499999998</v>
      </c>
      <c r="H74" s="32">
        <f>9976*1.0291</f>
        <v>10266.301599999999</v>
      </c>
      <c r="I74" s="32">
        <f>13879*1.0291</f>
        <v>14282.878899999998</v>
      </c>
      <c r="J74" s="32">
        <f>14115*1.0291</f>
        <v>14525.7465</v>
      </c>
      <c r="K74" s="32">
        <f>14419*1.0291</f>
        <v>14838.592899999998</v>
      </c>
      <c r="L74" s="32">
        <f>5840*1.0291</f>
        <v>6009.9439999999995</v>
      </c>
      <c r="M74" s="32">
        <f>6196*1.0291</f>
        <v>6376.303599999999</v>
      </c>
      <c r="N74" s="32">
        <f>4517*1.0291</f>
        <v>4648.4447</v>
      </c>
      <c r="O74" s="32">
        <f>15741*1.0291</f>
        <v>16199.063099999998</v>
      </c>
      <c r="P74" s="45">
        <f>SUM(D74:O74)</f>
        <v>121647.8528</v>
      </c>
      <c r="Q74" s="20" t="s">
        <v>190</v>
      </c>
    </row>
    <row r="75" spans="1:17" s="3" customFormat="1" ht="12">
      <c r="A75" s="208" t="s">
        <v>275</v>
      </c>
      <c r="B75" s="209"/>
      <c r="C75" s="209"/>
      <c r="D75" s="209"/>
      <c r="E75" s="209"/>
      <c r="F75" s="209"/>
      <c r="G75" s="209"/>
      <c r="H75" s="209"/>
      <c r="I75" s="209"/>
      <c r="J75" s="209"/>
      <c r="K75" s="209"/>
      <c r="L75" s="209"/>
      <c r="M75" s="209"/>
      <c r="N75" s="209"/>
      <c r="O75" s="209"/>
      <c r="P75" s="209"/>
      <c r="Q75" s="210"/>
    </row>
    <row r="76" spans="1:17" s="11" customFormat="1" ht="120">
      <c r="A76" s="170">
        <v>5.1</v>
      </c>
      <c r="B76" s="7" t="s">
        <v>179</v>
      </c>
      <c r="C76" s="34" t="s">
        <v>362</v>
      </c>
      <c r="D76" s="45">
        <f>0*1.0291</f>
        <v>0</v>
      </c>
      <c r="E76" s="45">
        <f>0*1.0291</f>
        <v>0</v>
      </c>
      <c r="F76" s="45">
        <f>96000*1.0291</f>
        <v>98793.59999999999</v>
      </c>
      <c r="G76" s="45">
        <f>285000*1.0291</f>
        <v>293293.5</v>
      </c>
      <c r="H76" s="45">
        <f>0*1.0291</f>
        <v>0</v>
      </c>
      <c r="I76" s="45">
        <f>0*1.0291</f>
        <v>0</v>
      </c>
      <c r="J76" s="45">
        <f>0*1.0291</f>
        <v>0</v>
      </c>
      <c r="K76" s="45">
        <f>0*1.0291</f>
        <v>0</v>
      </c>
      <c r="L76" s="45">
        <f>60000*1.0291</f>
        <v>61745.99999999999</v>
      </c>
      <c r="M76" s="45">
        <f>120000*1.0291</f>
        <v>123491.99999999999</v>
      </c>
      <c r="N76" s="45">
        <f>0*1.0291</f>
        <v>0</v>
      </c>
      <c r="O76" s="45">
        <f>120000*1.0291</f>
        <v>123491.99999999999</v>
      </c>
      <c r="P76" s="43">
        <f>SUM(D76:O76)</f>
        <v>700817.1</v>
      </c>
      <c r="Q76" s="27" t="s">
        <v>188</v>
      </c>
    </row>
    <row r="77" spans="1:17" ht="12.75">
      <c r="A77" s="208" t="s">
        <v>276</v>
      </c>
      <c r="B77" s="209"/>
      <c r="C77" s="209"/>
      <c r="D77" s="209"/>
      <c r="E77" s="209"/>
      <c r="F77" s="209"/>
      <c r="G77" s="209"/>
      <c r="H77" s="209"/>
      <c r="I77" s="209"/>
      <c r="J77" s="209"/>
      <c r="K77" s="209"/>
      <c r="L77" s="209"/>
      <c r="M77" s="209"/>
      <c r="N77" s="209"/>
      <c r="O77" s="209"/>
      <c r="P77" s="209"/>
      <c r="Q77" s="210"/>
    </row>
    <row r="78" spans="1:17" s="87" customFormat="1" ht="46.5" customHeight="1">
      <c r="A78" s="14">
        <v>5.11</v>
      </c>
      <c r="B78" s="7" t="s">
        <v>125</v>
      </c>
      <c r="C78" s="27" t="s">
        <v>241</v>
      </c>
      <c r="D78" s="45">
        <v>202974.10577648343</v>
      </c>
      <c r="E78" s="45">
        <v>131103.03799656386</v>
      </c>
      <c r="F78" s="45">
        <v>179973.85622695275</v>
      </c>
      <c r="G78" s="45">
        <f aca="true" t="shared" si="18" ref="G78:O78">0*1.0291</f>
        <v>0</v>
      </c>
      <c r="H78" s="45">
        <f t="shared" si="18"/>
        <v>0</v>
      </c>
      <c r="I78" s="45">
        <f t="shared" si="18"/>
        <v>0</v>
      </c>
      <c r="J78" s="45">
        <f t="shared" si="18"/>
        <v>0</v>
      </c>
      <c r="K78" s="45">
        <f t="shared" si="18"/>
        <v>0</v>
      </c>
      <c r="L78" s="45">
        <f t="shared" si="18"/>
        <v>0</v>
      </c>
      <c r="M78" s="45">
        <f t="shared" si="18"/>
        <v>0</v>
      </c>
      <c r="N78" s="45">
        <f t="shared" si="18"/>
        <v>0</v>
      </c>
      <c r="O78" s="45">
        <f t="shared" si="18"/>
        <v>0</v>
      </c>
      <c r="P78" s="43">
        <f>SUM(D78:O78)</f>
        <v>514051</v>
      </c>
      <c r="Q78" s="35" t="s">
        <v>228</v>
      </c>
    </row>
    <row r="79" spans="1:17" s="11" customFormat="1" ht="12">
      <c r="A79" s="137"/>
      <c r="B79" s="129"/>
      <c r="C79" s="130"/>
      <c r="D79" s="138"/>
      <c r="E79" s="138"/>
      <c r="F79" s="138"/>
      <c r="G79" s="138"/>
      <c r="H79" s="138"/>
      <c r="I79" s="138"/>
      <c r="J79" s="138"/>
      <c r="K79" s="138"/>
      <c r="L79" s="138"/>
      <c r="M79" s="138"/>
      <c r="N79" s="138"/>
      <c r="O79" s="138"/>
      <c r="P79" s="138"/>
      <c r="Q79" s="130"/>
    </row>
    <row r="80" spans="1:17" s="87" customFormat="1" ht="27" customHeight="1">
      <c r="A80" s="216" t="s">
        <v>242</v>
      </c>
      <c r="B80" s="216"/>
      <c r="C80" s="216"/>
      <c r="D80" s="216"/>
      <c r="E80" s="216"/>
      <c r="F80" s="216"/>
      <c r="G80" s="216"/>
      <c r="H80" s="216"/>
      <c r="I80" s="216"/>
      <c r="J80" s="216"/>
      <c r="K80" s="216"/>
      <c r="L80" s="216"/>
      <c r="M80" s="216"/>
      <c r="N80" s="216"/>
      <c r="O80" s="216"/>
      <c r="P80" s="216"/>
      <c r="Q80" s="216"/>
    </row>
    <row r="82" ht="12.75">
      <c r="A82" s="63" t="s">
        <v>103</v>
      </c>
    </row>
    <row r="83" ht="12.75">
      <c r="B83" s="64"/>
    </row>
    <row r="84" spans="1:3" ht="39" thickBot="1">
      <c r="A84" s="194" t="s">
        <v>376</v>
      </c>
      <c r="B84" s="61" t="s">
        <v>104</v>
      </c>
      <c r="C84" s="61" t="s">
        <v>105</v>
      </c>
    </row>
    <row r="85" spans="1:4" ht="12.75">
      <c r="A85">
        <v>2005</v>
      </c>
      <c r="B85" s="80">
        <v>0.051</v>
      </c>
      <c r="C85" s="80">
        <v>0.0291</v>
      </c>
      <c r="D85" t="s">
        <v>326</v>
      </c>
    </row>
    <row r="86" spans="1:3" ht="12.75">
      <c r="A86">
        <v>2006</v>
      </c>
      <c r="B86" s="80">
        <v>0.0176</v>
      </c>
      <c r="C86" s="80">
        <v>0.0083</v>
      </c>
    </row>
    <row r="87" spans="1:3" ht="12.75">
      <c r="A87">
        <v>2007</v>
      </c>
      <c r="B87" s="80">
        <v>0.0126</v>
      </c>
      <c r="C87" s="80">
        <v>-0.0041</v>
      </c>
    </row>
    <row r="88" spans="1:3" ht="12.75">
      <c r="A88">
        <v>2008</v>
      </c>
      <c r="B88" s="80">
        <v>0.0079</v>
      </c>
      <c r="C88" s="80">
        <v>-0.0169</v>
      </c>
    </row>
    <row r="89" spans="1:3" ht="12.75">
      <c r="A89">
        <v>2009</v>
      </c>
      <c r="B89" s="80">
        <v>0.0033</v>
      </c>
      <c r="C89" s="80">
        <v>-0.0143</v>
      </c>
    </row>
    <row r="90" spans="1:3" ht="12.75">
      <c r="A90">
        <v>2010</v>
      </c>
      <c r="B90" s="195" t="s">
        <v>377</v>
      </c>
      <c r="C90" s="195" t="s">
        <v>377</v>
      </c>
    </row>
    <row r="92" spans="1:15" ht="12.75">
      <c r="A92" s="87" t="s">
        <v>386</v>
      </c>
      <c r="B92" s="87"/>
      <c r="C92" s="87"/>
      <c r="D92" s="87"/>
      <c r="E92" s="87"/>
      <c r="F92" s="108"/>
      <c r="G92" s="87"/>
      <c r="H92" s="87"/>
      <c r="I92" s="87"/>
      <c r="J92" s="87"/>
      <c r="K92" s="87"/>
      <c r="L92" s="87"/>
      <c r="M92" s="87"/>
      <c r="N92" s="87"/>
      <c r="O92" s="87"/>
    </row>
    <row r="93" ht="12.75">
      <c r="A93" t="s">
        <v>387</v>
      </c>
    </row>
    <row r="95" spans="1:17" ht="51">
      <c r="A95" s="183" t="s">
        <v>236</v>
      </c>
      <c r="B95" s="184" t="s">
        <v>2</v>
      </c>
      <c r="C95" s="183" t="s">
        <v>153</v>
      </c>
      <c r="D95" s="183" t="s">
        <v>180</v>
      </c>
      <c r="E95" s="148"/>
      <c r="G95" s="48"/>
      <c r="P95"/>
      <c r="Q95" s="48"/>
    </row>
    <row r="96" spans="1:17" s="87" customFormat="1" ht="25.5">
      <c r="A96" s="151" t="s">
        <v>316</v>
      </c>
      <c r="B96" s="152" t="s">
        <v>237</v>
      </c>
      <c r="C96" s="153" t="s">
        <v>155</v>
      </c>
      <c r="D96" s="163">
        <v>133523</v>
      </c>
      <c r="E96" s="146" t="s">
        <v>315</v>
      </c>
      <c r="G96" s="108"/>
      <c r="Q96" s="108"/>
    </row>
    <row r="97" spans="1:17" ht="38.25">
      <c r="A97" s="157" t="s">
        <v>29</v>
      </c>
      <c r="B97" s="158" t="s">
        <v>235</v>
      </c>
      <c r="C97" s="150" t="s">
        <v>156</v>
      </c>
      <c r="D97" s="163">
        <v>520</v>
      </c>
      <c r="G97" s="48"/>
      <c r="P97"/>
      <c r="Q97" s="48"/>
    </row>
    <row r="98" spans="1:17" ht="25.5">
      <c r="A98" s="154" t="s">
        <v>317</v>
      </c>
      <c r="B98" s="155" t="s">
        <v>160</v>
      </c>
      <c r="C98" s="156" t="s">
        <v>157</v>
      </c>
      <c r="D98" s="163">
        <v>3200000</v>
      </c>
      <c r="E98" s="87" t="s">
        <v>382</v>
      </c>
      <c r="G98" s="108"/>
      <c r="H98" s="87"/>
      <c r="I98" s="87"/>
      <c r="J98" s="87"/>
      <c r="K98" s="87"/>
      <c r="L98" s="87"/>
      <c r="M98" s="87"/>
      <c r="N98" s="87"/>
      <c r="P98"/>
      <c r="Q98" s="48"/>
    </row>
    <row r="99" spans="1:17" ht="25.5">
      <c r="A99" s="154" t="s">
        <v>120</v>
      </c>
      <c r="B99" s="155" t="s">
        <v>161</v>
      </c>
      <c r="C99" s="156" t="s">
        <v>157</v>
      </c>
      <c r="D99" s="163">
        <v>1697480</v>
      </c>
      <c r="E99" s="220" t="s">
        <v>384</v>
      </c>
      <c r="F99" s="216"/>
      <c r="G99" s="216"/>
      <c r="H99" s="216"/>
      <c r="I99" s="216"/>
      <c r="J99" s="216"/>
      <c r="K99" s="216"/>
      <c r="L99" s="216"/>
      <c r="M99" s="216"/>
      <c r="N99" s="216"/>
      <c r="O99" s="216"/>
      <c r="P99"/>
      <c r="Q99" s="48"/>
    </row>
    <row r="100" spans="1:11" ht="24">
      <c r="A100" s="161" t="s">
        <v>121</v>
      </c>
      <c r="B100" s="7" t="s">
        <v>381</v>
      </c>
      <c r="C100" s="157"/>
      <c r="D100" s="164">
        <v>24146</v>
      </c>
      <c r="E100" s="87" t="s">
        <v>314</v>
      </c>
      <c r="F100" s="108"/>
      <c r="G100" s="87"/>
      <c r="H100" s="87"/>
      <c r="I100" s="87"/>
      <c r="J100" s="87"/>
      <c r="K100" s="87"/>
    </row>
    <row r="101" spans="1:16" s="87" customFormat="1" ht="24">
      <c r="A101" s="161" t="s">
        <v>121</v>
      </c>
      <c r="B101" s="7" t="s">
        <v>381</v>
      </c>
      <c r="C101" s="197"/>
      <c r="D101" s="198">
        <v>2723</v>
      </c>
      <c r="E101" s="196" t="s">
        <v>380</v>
      </c>
      <c r="F101" s="108"/>
      <c r="P101" s="108"/>
    </row>
    <row r="102" spans="1:17" ht="12.75" customHeight="1">
      <c r="A102" s="159">
        <v>5.11</v>
      </c>
      <c r="B102" s="152" t="s">
        <v>238</v>
      </c>
      <c r="C102" s="150" t="s">
        <v>158</v>
      </c>
      <c r="D102" s="163">
        <v>218000</v>
      </c>
      <c r="E102" s="160"/>
      <c r="G102" s="149"/>
      <c r="H102" s="149"/>
      <c r="I102" s="149"/>
      <c r="J102" s="149"/>
      <c r="K102" s="149"/>
      <c r="L102" s="149"/>
      <c r="M102" s="149"/>
      <c r="N102" s="149"/>
      <c r="O102" s="149"/>
      <c r="P102" s="149"/>
      <c r="Q102" s="48"/>
    </row>
    <row r="104" spans="2:16" ht="12.75">
      <c r="B104" s="199"/>
      <c r="C104" s="200"/>
      <c r="D104" s="201"/>
      <c r="F104" s="200"/>
      <c r="G104" s="200"/>
      <c r="H104" s="200"/>
      <c r="I104" s="200"/>
      <c r="J104" s="200"/>
      <c r="K104" s="200"/>
      <c r="L104" s="200"/>
      <c r="M104" s="200"/>
      <c r="N104" s="200"/>
      <c r="O104" s="200"/>
      <c r="P104" s="202"/>
    </row>
  </sheetData>
  <mergeCells count="12">
    <mergeCell ref="A75:Q75"/>
    <mergeCell ref="A77:Q77"/>
    <mergeCell ref="E99:O99"/>
    <mergeCell ref="A1:Q1"/>
    <mergeCell ref="A3:Q3"/>
    <mergeCell ref="C5:P5"/>
    <mergeCell ref="A17:Q17"/>
    <mergeCell ref="A31:Q31"/>
    <mergeCell ref="A59:Q59"/>
    <mergeCell ref="A63:Q63"/>
    <mergeCell ref="A80:Q80"/>
    <mergeCell ref="A70:Q70"/>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1" manualBreakCount="1">
    <brk id="76" max="255" man="1"/>
  </rowBreaks>
</worksheet>
</file>

<file path=xl/worksheets/sheet7.xml><?xml version="1.0" encoding="utf-8"?>
<worksheet xmlns="http://schemas.openxmlformats.org/spreadsheetml/2006/main" xmlns:r="http://schemas.openxmlformats.org/officeDocument/2006/relationships">
  <dimension ref="A1:S89"/>
  <sheetViews>
    <sheetView zoomScale="75" zoomScaleNormal="75" workbookViewId="0" topLeftCell="A68">
      <selection activeCell="M74" sqref="M74"/>
    </sheetView>
  </sheetViews>
  <sheetFormatPr defaultColWidth="9.140625" defaultRowHeight="12.75"/>
  <cols>
    <col min="1" max="1" width="12.28125" style="0" customWidth="1"/>
    <col min="2" max="2" width="20.00390625" style="0" customWidth="1"/>
    <col min="3" max="3" width="16.140625" style="0" customWidth="1"/>
    <col min="6" max="6" width="9.7109375" style="0" customWidth="1"/>
    <col min="9" max="9" width="9.8515625" style="0" customWidth="1"/>
    <col min="10" max="10" width="9.28125" style="0" customWidth="1"/>
    <col min="11" max="11" width="9.8515625" style="0" customWidth="1"/>
    <col min="12" max="12" width="10.00390625" style="0" customWidth="1"/>
    <col min="15" max="15" width="9.8515625" style="0" customWidth="1"/>
    <col min="16" max="16" width="11.00390625" style="48" customWidth="1"/>
    <col min="17" max="17" width="19.421875" style="0" customWidth="1"/>
    <col min="20" max="20" width="11.57421875" style="0" bestFit="1"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1"/>
      <c r="G2" s="1"/>
      <c r="H2" s="1"/>
      <c r="I2" s="1"/>
      <c r="J2" s="1"/>
      <c r="K2" s="1"/>
      <c r="L2" s="1"/>
      <c r="M2" s="1"/>
      <c r="N2" s="1"/>
      <c r="O2" s="1"/>
      <c r="P2" s="47"/>
    </row>
    <row r="3" spans="1:17" ht="18">
      <c r="A3" s="211" t="s">
        <v>36</v>
      </c>
      <c r="B3" s="211"/>
      <c r="C3" s="211"/>
      <c r="D3" s="211"/>
      <c r="E3" s="211"/>
      <c r="F3" s="211"/>
      <c r="G3" s="211"/>
      <c r="H3" s="211"/>
      <c r="I3" s="211"/>
      <c r="J3" s="211"/>
      <c r="K3" s="211"/>
      <c r="L3" s="211"/>
      <c r="M3" s="211"/>
      <c r="N3" s="211"/>
      <c r="O3" s="211"/>
      <c r="P3" s="211"/>
      <c r="Q3" s="211"/>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78" t="s">
        <v>5</v>
      </c>
      <c r="G6" s="178" t="s">
        <v>6</v>
      </c>
      <c r="H6" s="178" t="s">
        <v>8</v>
      </c>
      <c r="I6" s="178" t="s">
        <v>7</v>
      </c>
      <c r="J6" s="178" t="s">
        <v>9</v>
      </c>
      <c r="K6" s="178" t="s">
        <v>10</v>
      </c>
      <c r="L6" s="178" t="s">
        <v>11</v>
      </c>
      <c r="M6" s="178" t="s">
        <v>12</v>
      </c>
      <c r="N6" s="178" t="s">
        <v>13</v>
      </c>
      <c r="O6" s="178" t="s">
        <v>14</v>
      </c>
      <c r="P6" s="181" t="s">
        <v>16</v>
      </c>
      <c r="Q6" s="174" t="s">
        <v>15</v>
      </c>
    </row>
    <row r="7" spans="1:17" s="3" customFormat="1" ht="12">
      <c r="A7" s="19" t="s">
        <v>40</v>
      </c>
      <c r="B7" s="15"/>
      <c r="C7" s="16"/>
      <c r="D7" s="17"/>
      <c r="E7" s="17"/>
      <c r="F7" s="17"/>
      <c r="G7" s="17"/>
      <c r="H7" s="17"/>
      <c r="I7" s="17"/>
      <c r="J7" s="17"/>
      <c r="K7" s="17"/>
      <c r="L7" s="17"/>
      <c r="M7" s="17"/>
      <c r="N7" s="17"/>
      <c r="O7" s="17"/>
      <c r="P7" s="49"/>
      <c r="Q7" s="18"/>
    </row>
    <row r="8" spans="1:17" s="3" customFormat="1" ht="48">
      <c r="A8" s="24" t="s">
        <v>41</v>
      </c>
      <c r="B8" s="27" t="s">
        <v>42</v>
      </c>
      <c r="C8" s="27" t="s">
        <v>43</v>
      </c>
      <c r="D8" s="45">
        <f>26*1.0046</f>
        <v>26.1196</v>
      </c>
      <c r="E8" s="45">
        <f>13*1.0046</f>
        <v>13.0598</v>
      </c>
      <c r="F8" s="45">
        <f>20*1.0046</f>
        <v>20.092</v>
      </c>
      <c r="G8" s="45">
        <f>4*1.0046</f>
        <v>4.0184</v>
      </c>
      <c r="H8" s="45">
        <f>7*1.0046</f>
        <v>7.0322</v>
      </c>
      <c r="I8" s="45">
        <f>3*1.0046</f>
        <v>3.0138</v>
      </c>
      <c r="J8" s="45">
        <f>5*1.0046</f>
        <v>5.023</v>
      </c>
      <c r="K8" s="45">
        <f>28*1.0046</f>
        <v>28.1288</v>
      </c>
      <c r="L8" s="45">
        <f>54*1.0046</f>
        <v>54.2484</v>
      </c>
      <c r="M8" s="45">
        <f>27*1.0046</f>
        <v>27.1242</v>
      </c>
      <c r="N8" s="45">
        <f>11*1.0046</f>
        <v>11.0506</v>
      </c>
      <c r="O8" s="45">
        <f>8*1.0046</f>
        <v>8.0368</v>
      </c>
      <c r="P8" s="43">
        <f>SUM(D8:O8)</f>
        <v>206.9476</v>
      </c>
      <c r="Q8" s="38" t="s">
        <v>163</v>
      </c>
    </row>
    <row r="9" spans="1:17" s="3" customFormat="1" ht="12">
      <c r="A9" s="19" t="s">
        <v>245</v>
      </c>
      <c r="B9" s="15"/>
      <c r="C9" s="16"/>
      <c r="D9" s="17"/>
      <c r="E9" s="17"/>
      <c r="F9" s="17"/>
      <c r="G9" s="17"/>
      <c r="H9" s="17"/>
      <c r="I9" s="17"/>
      <c r="J9" s="17"/>
      <c r="K9" s="17"/>
      <c r="L9" s="17"/>
      <c r="M9" s="17"/>
      <c r="N9" s="17"/>
      <c r="O9" s="17"/>
      <c r="P9" s="49"/>
      <c r="Q9" s="18"/>
    </row>
    <row r="10" spans="1:17" s="3"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row>
    <row r="11" spans="1:17" s="3" customFormat="1" ht="12">
      <c r="A11" s="19" t="s">
        <v>247</v>
      </c>
      <c r="B11" s="15"/>
      <c r="C11" s="16"/>
      <c r="D11" s="17"/>
      <c r="E11" s="17"/>
      <c r="F11" s="17"/>
      <c r="G11" s="17"/>
      <c r="H11" s="17"/>
      <c r="I11" s="17"/>
      <c r="J11" s="17"/>
      <c r="K11" s="17"/>
      <c r="L11" s="17"/>
      <c r="M11" s="17"/>
      <c r="N11" s="17"/>
      <c r="O11" s="17"/>
      <c r="P11" s="49"/>
      <c r="Q11" s="18"/>
    </row>
    <row r="12" spans="1:17" s="3" customFormat="1" ht="24">
      <c r="A12" s="24" t="s">
        <v>248</v>
      </c>
      <c r="B12" s="24" t="s">
        <v>148</v>
      </c>
      <c r="C12" s="24" t="s">
        <v>44</v>
      </c>
      <c r="D12" s="69">
        <v>5</v>
      </c>
      <c r="E12" s="69">
        <v>4</v>
      </c>
      <c r="F12" s="69">
        <v>5</v>
      </c>
      <c r="G12" s="69">
        <v>5</v>
      </c>
      <c r="H12" s="69">
        <v>4</v>
      </c>
      <c r="I12" s="69">
        <v>5</v>
      </c>
      <c r="J12" s="69">
        <v>4</v>
      </c>
      <c r="K12" s="69">
        <v>5</v>
      </c>
      <c r="L12" s="69">
        <v>4</v>
      </c>
      <c r="M12" s="69">
        <v>5</v>
      </c>
      <c r="N12" s="69">
        <v>4</v>
      </c>
      <c r="O12" s="69">
        <v>5</v>
      </c>
      <c r="P12" s="43">
        <f>SUM(D12:O12)</f>
        <v>55</v>
      </c>
      <c r="Q12" s="25" t="s">
        <v>79</v>
      </c>
    </row>
    <row r="13" spans="1:17"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43">
        <f>SUM(D13:O13)</f>
        <v>251</v>
      </c>
      <c r="Q13" s="28" t="s">
        <v>64</v>
      </c>
    </row>
    <row r="14" spans="1:17" s="3" customFormat="1" ht="12">
      <c r="A14" s="24" t="s">
        <v>250</v>
      </c>
      <c r="B14" s="38" t="s">
        <v>63</v>
      </c>
      <c r="C14" s="24" t="s">
        <v>44</v>
      </c>
      <c r="D14" s="69">
        <v>0</v>
      </c>
      <c r="E14" s="69">
        <v>0</v>
      </c>
      <c r="F14" s="45">
        <v>1</v>
      </c>
      <c r="G14" s="69">
        <v>0</v>
      </c>
      <c r="H14" s="69">
        <v>0</v>
      </c>
      <c r="I14" s="69">
        <v>1</v>
      </c>
      <c r="J14" s="69">
        <v>0</v>
      </c>
      <c r="K14" s="69">
        <v>0</v>
      </c>
      <c r="L14" s="69">
        <v>1</v>
      </c>
      <c r="M14" s="69">
        <v>0</v>
      </c>
      <c r="N14" s="69">
        <v>0</v>
      </c>
      <c r="O14" s="69">
        <v>1</v>
      </c>
      <c r="P14" s="43">
        <f>SUM(D14:O14)</f>
        <v>4</v>
      </c>
      <c r="Q14" s="28" t="s">
        <v>78</v>
      </c>
    </row>
    <row r="15" spans="1:17" s="3" customFormat="1" ht="12">
      <c r="A15" s="19" t="s">
        <v>251</v>
      </c>
      <c r="B15" s="15"/>
      <c r="C15" s="16"/>
      <c r="D15" s="17"/>
      <c r="E15" s="17"/>
      <c r="F15" s="17"/>
      <c r="G15" s="17"/>
      <c r="H15" s="17"/>
      <c r="I15" s="17"/>
      <c r="J15" s="17"/>
      <c r="K15" s="17"/>
      <c r="L15" s="17"/>
      <c r="M15" s="17"/>
      <c r="N15" s="17"/>
      <c r="O15" s="17"/>
      <c r="P15" s="49"/>
      <c r="Q15" s="66"/>
    </row>
    <row r="16" spans="1:17" s="58" customFormat="1" ht="24">
      <c r="A16" s="28">
        <v>5.4</v>
      </c>
      <c r="B16" s="38" t="s">
        <v>45</v>
      </c>
      <c r="C16" s="27" t="s">
        <v>46</v>
      </c>
      <c r="D16" s="45">
        <v>1609638.0071999999</v>
      </c>
      <c r="E16" s="45">
        <v>955156.6127999999</v>
      </c>
      <c r="F16" s="45">
        <v>902963.8659999999</v>
      </c>
      <c r="G16" s="45">
        <v>755647.0602</v>
      </c>
      <c r="H16" s="45">
        <v>793402.942</v>
      </c>
      <c r="I16" s="45">
        <v>963297.8801999999</v>
      </c>
      <c r="J16" s="45">
        <v>1206353.818</v>
      </c>
      <c r="K16" s="45">
        <v>1495454.5921999998</v>
      </c>
      <c r="L16" s="45">
        <v>1306020.184</v>
      </c>
      <c r="M16" s="45">
        <v>1427596.876</v>
      </c>
      <c r="N16" s="45">
        <v>1061445.291</v>
      </c>
      <c r="O16" s="45">
        <v>1038991.4763999999</v>
      </c>
      <c r="P16" s="45">
        <f>SUM(D16:O16)</f>
        <v>13515968.605999999</v>
      </c>
      <c r="Q16" s="7" t="s">
        <v>233</v>
      </c>
    </row>
    <row r="17" spans="1:17" s="3" customFormat="1" ht="12">
      <c r="A17" s="208" t="s">
        <v>252</v>
      </c>
      <c r="B17" s="209"/>
      <c r="C17" s="209"/>
      <c r="D17" s="209"/>
      <c r="E17" s="209"/>
      <c r="F17" s="209"/>
      <c r="G17" s="209"/>
      <c r="H17" s="209"/>
      <c r="I17" s="209"/>
      <c r="J17" s="209"/>
      <c r="K17" s="209"/>
      <c r="L17" s="209"/>
      <c r="M17" s="209"/>
      <c r="N17" s="209"/>
      <c r="O17" s="209"/>
      <c r="P17" s="209"/>
      <c r="Q17" s="210"/>
    </row>
    <row r="18" spans="1:17" s="2" customFormat="1" ht="12">
      <c r="A18" s="4" t="s">
        <v>21</v>
      </c>
      <c r="B18" s="5" t="s">
        <v>18</v>
      </c>
      <c r="C18" s="40"/>
      <c r="D18" s="41"/>
      <c r="E18" s="41"/>
      <c r="F18" s="41"/>
      <c r="G18" s="41"/>
      <c r="H18" s="41"/>
      <c r="I18" s="41"/>
      <c r="J18" s="41"/>
      <c r="K18" s="41"/>
      <c r="L18" s="41"/>
      <c r="M18" s="41"/>
      <c r="N18" s="41"/>
      <c r="O18" s="41"/>
      <c r="P18" s="50"/>
      <c r="Q18" s="40"/>
    </row>
    <row r="19" spans="1:17" s="2" customFormat="1" ht="12">
      <c r="A19" s="21" t="s">
        <v>253</v>
      </c>
      <c r="B19" s="5" t="s">
        <v>149</v>
      </c>
      <c r="C19" s="40"/>
      <c r="D19" s="40"/>
      <c r="E19" s="40"/>
      <c r="F19" s="40"/>
      <c r="G19" s="40"/>
      <c r="H19" s="40"/>
      <c r="I19" s="40"/>
      <c r="J19" s="40"/>
      <c r="K19" s="40"/>
      <c r="L19" s="40"/>
      <c r="M19" s="40"/>
      <c r="N19" s="40"/>
      <c r="O19" s="40"/>
      <c r="P19" s="40"/>
      <c r="Q19" s="40"/>
    </row>
    <row r="20" spans="1:17" s="2" customFormat="1" ht="94.5" customHeight="1">
      <c r="A20" s="21" t="s">
        <v>254</v>
      </c>
      <c r="B20" s="5" t="s">
        <v>110</v>
      </c>
      <c r="C20" s="26" t="s">
        <v>47</v>
      </c>
      <c r="D20" s="33">
        <f>SUM(1113804-570703)*1.0046</f>
        <v>545599.2646</v>
      </c>
      <c r="E20" s="32">
        <f>SUM(599889-343991)*1.0046</f>
        <v>257075.13079999998</v>
      </c>
      <c r="F20" s="32">
        <f>SUM(588932-473292)*1.0046</f>
        <v>116171.94399999999</v>
      </c>
      <c r="G20" s="32">
        <f>SUM(1903341-1511131)*1.0046</f>
        <v>394014.16599999997</v>
      </c>
      <c r="H20" s="32">
        <f>SUM(1449387-372073)*1.0046</f>
        <v>1082269.6443999999</v>
      </c>
      <c r="I20" s="32">
        <f>SUM(3848029-568315)*1.0046</f>
        <v>3294800.6843999997</v>
      </c>
      <c r="J20" s="32">
        <f>SUM(6392611-2737856)*1.0046</f>
        <v>3671566.8729999997</v>
      </c>
      <c r="K20" s="32">
        <f>SUM(6683242-321525)*1.0046</f>
        <v>6390980.8982</v>
      </c>
      <c r="L20" s="32">
        <f>SUM(3876948-1403712)*1.0046</f>
        <v>2484612.8855999997</v>
      </c>
      <c r="M20" s="32">
        <f>SUM(1102905-492309)*1.0046</f>
        <v>613404.7416</v>
      </c>
      <c r="N20" s="32">
        <f>SUM(1207510-475683)*1.0046</f>
        <v>735193.4042</v>
      </c>
      <c r="O20" s="32">
        <f>SUM(2715124-289704)*1.0046</f>
        <v>2436576.932</v>
      </c>
      <c r="P20" s="51">
        <f>SUM(D20:O20)</f>
        <v>22022266.568799995</v>
      </c>
      <c r="Q20" s="5"/>
    </row>
    <row r="21" spans="1:17" s="11" customFormat="1" ht="84">
      <c r="A21" s="21" t="s">
        <v>254</v>
      </c>
      <c r="B21" s="7" t="s">
        <v>110</v>
      </c>
      <c r="C21" s="27" t="s">
        <v>48</v>
      </c>
      <c r="D21" s="32">
        <f>10899*1.0046</f>
        <v>10949.1354</v>
      </c>
      <c r="E21" s="32">
        <f>11320*1.0046</f>
        <v>11372.072</v>
      </c>
      <c r="F21" s="32">
        <f>5394*1.0046</f>
        <v>5418.8124</v>
      </c>
      <c r="G21" s="32">
        <f>11986*1.0046</f>
        <v>12041.1356</v>
      </c>
      <c r="H21" s="32">
        <f>18584*1.0046</f>
        <v>18669.486399999998</v>
      </c>
      <c r="I21" s="32">
        <f>7807*1.0046</f>
        <v>7842.9122</v>
      </c>
      <c r="J21" s="32">
        <f>7999*1.0046</f>
        <v>8035.795399999999</v>
      </c>
      <c r="K21" s="32">
        <f>9840*1.0046</f>
        <v>9885.264</v>
      </c>
      <c r="L21" s="32">
        <f>4872*1.0046</f>
        <v>4894.4112</v>
      </c>
      <c r="M21" s="32">
        <f>6495*1.0046</f>
        <v>6524.8769999999995</v>
      </c>
      <c r="N21" s="32">
        <f>6189*1.0046</f>
        <v>6217.4694</v>
      </c>
      <c r="O21" s="32">
        <f>5865*1.0046</f>
        <v>5891.978999999999</v>
      </c>
      <c r="P21" s="57">
        <f>SUM(D21:O21)</f>
        <v>107743.35</v>
      </c>
      <c r="Q21" s="7" t="s">
        <v>201</v>
      </c>
    </row>
    <row r="22" spans="1:17" s="2" customFormat="1" ht="60">
      <c r="A22" s="21" t="s">
        <v>254</v>
      </c>
      <c r="B22" s="5" t="s">
        <v>110</v>
      </c>
      <c r="C22" s="27" t="s">
        <v>144</v>
      </c>
      <c r="D22" s="55" t="s">
        <v>59</v>
      </c>
      <c r="E22" s="55" t="s">
        <v>59</v>
      </c>
      <c r="F22" s="55" t="s">
        <v>59</v>
      </c>
      <c r="G22" s="55" t="s">
        <v>59</v>
      </c>
      <c r="H22" s="55" t="s">
        <v>59</v>
      </c>
      <c r="I22" s="55" t="s">
        <v>59</v>
      </c>
      <c r="J22" s="55" t="s">
        <v>59</v>
      </c>
      <c r="K22" s="55" t="s">
        <v>59</v>
      </c>
      <c r="L22" s="55" t="s">
        <v>59</v>
      </c>
      <c r="M22" s="55" t="s">
        <v>59</v>
      </c>
      <c r="N22" s="55" t="s">
        <v>59</v>
      </c>
      <c r="O22" s="55" t="s">
        <v>59</v>
      </c>
      <c r="P22" s="55" t="s">
        <v>59</v>
      </c>
      <c r="Q22" s="7" t="s">
        <v>192</v>
      </c>
    </row>
    <row r="23" spans="1:17" s="2" customFormat="1" ht="84">
      <c r="A23" s="21" t="s">
        <v>254</v>
      </c>
      <c r="B23" s="5" t="s">
        <v>110</v>
      </c>
      <c r="C23" s="26" t="s">
        <v>49</v>
      </c>
      <c r="D23" s="8" t="s">
        <v>59</v>
      </c>
      <c r="E23" s="8" t="s">
        <v>59</v>
      </c>
      <c r="F23" s="8" t="s">
        <v>59</v>
      </c>
      <c r="G23" s="8" t="s">
        <v>59</v>
      </c>
      <c r="H23" s="8" t="s">
        <v>59</v>
      </c>
      <c r="I23" s="8" t="s">
        <v>59</v>
      </c>
      <c r="J23" s="8" t="s">
        <v>59</v>
      </c>
      <c r="K23" s="8" t="s">
        <v>59</v>
      </c>
      <c r="L23" s="8" t="s">
        <v>59</v>
      </c>
      <c r="M23" s="8" t="s">
        <v>59</v>
      </c>
      <c r="N23" s="8" t="s">
        <v>59</v>
      </c>
      <c r="O23" s="8" t="s">
        <v>59</v>
      </c>
      <c r="P23" s="46" t="s">
        <v>59</v>
      </c>
      <c r="Q23" s="7" t="s">
        <v>200</v>
      </c>
    </row>
    <row r="24" spans="1:17" s="2" customFormat="1" ht="96">
      <c r="A24" s="21" t="s">
        <v>254</v>
      </c>
      <c r="B24" s="5" t="s">
        <v>110</v>
      </c>
      <c r="C24" s="26" t="s">
        <v>50</v>
      </c>
      <c r="D24" s="8" t="s">
        <v>59</v>
      </c>
      <c r="E24" s="8" t="s">
        <v>59</v>
      </c>
      <c r="F24" s="8" t="s">
        <v>59</v>
      </c>
      <c r="G24" s="8" t="s">
        <v>59</v>
      </c>
      <c r="H24" s="8" t="s">
        <v>59</v>
      </c>
      <c r="I24" s="8" t="s">
        <v>59</v>
      </c>
      <c r="J24" s="8" t="s">
        <v>59</v>
      </c>
      <c r="K24" s="8" t="s">
        <v>59</v>
      </c>
      <c r="L24" s="8" t="s">
        <v>59</v>
      </c>
      <c r="M24" s="8" t="s">
        <v>59</v>
      </c>
      <c r="N24" s="8" t="s">
        <v>59</v>
      </c>
      <c r="O24" s="8" t="s">
        <v>59</v>
      </c>
      <c r="P24" s="46" t="s">
        <v>59</v>
      </c>
      <c r="Q24" s="5" t="s">
        <v>88</v>
      </c>
    </row>
    <row r="25" spans="1:17" s="2" customFormat="1" ht="120">
      <c r="A25" s="21" t="s">
        <v>254</v>
      </c>
      <c r="B25" s="5" t="s">
        <v>110</v>
      </c>
      <c r="C25" s="26" t="s">
        <v>51</v>
      </c>
      <c r="D25" s="8" t="s">
        <v>59</v>
      </c>
      <c r="E25" s="8" t="s">
        <v>59</v>
      </c>
      <c r="F25" s="8" t="s">
        <v>59</v>
      </c>
      <c r="G25" s="8" t="s">
        <v>59</v>
      </c>
      <c r="H25" s="8" t="s">
        <v>59</v>
      </c>
      <c r="I25" s="8" t="s">
        <v>59</v>
      </c>
      <c r="J25" s="8" t="s">
        <v>59</v>
      </c>
      <c r="K25" s="8" t="s">
        <v>59</v>
      </c>
      <c r="L25" s="8" t="s">
        <v>59</v>
      </c>
      <c r="M25" s="8" t="s">
        <v>59</v>
      </c>
      <c r="N25" s="8" t="s">
        <v>59</v>
      </c>
      <c r="O25" s="8" t="s">
        <v>59</v>
      </c>
      <c r="P25" s="46" t="s">
        <v>59</v>
      </c>
      <c r="Q25" s="5" t="s">
        <v>84</v>
      </c>
    </row>
    <row r="26" spans="1:17" s="2" customFormat="1" ht="84">
      <c r="A26" s="21" t="s">
        <v>254</v>
      </c>
      <c r="B26" s="5" t="s">
        <v>110</v>
      </c>
      <c r="C26" s="27" t="s">
        <v>75</v>
      </c>
      <c r="D26" s="8" t="s">
        <v>59</v>
      </c>
      <c r="E26" s="8" t="s">
        <v>59</v>
      </c>
      <c r="F26" s="8" t="s">
        <v>59</v>
      </c>
      <c r="G26" s="8" t="s">
        <v>59</v>
      </c>
      <c r="H26" s="8" t="s">
        <v>59</v>
      </c>
      <c r="I26" s="8" t="s">
        <v>59</v>
      </c>
      <c r="J26" s="8" t="s">
        <v>59</v>
      </c>
      <c r="K26" s="8" t="s">
        <v>59</v>
      </c>
      <c r="L26" s="8" t="s">
        <v>59</v>
      </c>
      <c r="M26" s="8" t="s">
        <v>59</v>
      </c>
      <c r="N26" s="8" t="s">
        <v>59</v>
      </c>
      <c r="O26" s="8" t="s">
        <v>59</v>
      </c>
      <c r="P26" s="46" t="s">
        <v>59</v>
      </c>
      <c r="Q26" s="26" t="s">
        <v>85</v>
      </c>
    </row>
    <row r="27" spans="1:17" s="2" customFormat="1" ht="36">
      <c r="A27" s="109" t="s">
        <v>255</v>
      </c>
      <c r="B27" s="110"/>
      <c r="C27" s="111"/>
      <c r="D27" s="113">
        <f aca="true" t="shared" si="0" ref="D27:O27">SUM(D20:D26)</f>
        <v>556548.4</v>
      </c>
      <c r="E27" s="113">
        <f t="shared" si="0"/>
        <v>268447.20279999997</v>
      </c>
      <c r="F27" s="113">
        <f t="shared" si="0"/>
        <v>121590.75639999998</v>
      </c>
      <c r="G27" s="113">
        <f t="shared" si="0"/>
        <v>406055.30159999995</v>
      </c>
      <c r="H27" s="113">
        <f t="shared" si="0"/>
        <v>1100939.1308</v>
      </c>
      <c r="I27" s="113">
        <f t="shared" si="0"/>
        <v>3302643.5966</v>
      </c>
      <c r="J27" s="113">
        <f t="shared" si="0"/>
        <v>3679602.6684</v>
      </c>
      <c r="K27" s="113">
        <f t="shared" si="0"/>
        <v>6400866.1622</v>
      </c>
      <c r="L27" s="113">
        <f t="shared" si="0"/>
        <v>2489507.2967999997</v>
      </c>
      <c r="M27" s="113">
        <f t="shared" si="0"/>
        <v>619929.6185999999</v>
      </c>
      <c r="N27" s="113">
        <f t="shared" si="0"/>
        <v>741410.8735999999</v>
      </c>
      <c r="O27" s="113">
        <f t="shared" si="0"/>
        <v>2442468.911</v>
      </c>
      <c r="P27" s="114">
        <f>SUM(D27:O27)</f>
        <v>22130009.918799996</v>
      </c>
      <c r="Q27" s="111" t="s">
        <v>277</v>
      </c>
    </row>
    <row r="28" spans="1:17" s="2" customFormat="1" ht="48">
      <c r="A28" s="21" t="s">
        <v>256</v>
      </c>
      <c r="B28" s="5" t="s">
        <v>30</v>
      </c>
      <c r="C28" s="5" t="s">
        <v>99</v>
      </c>
      <c r="D28" s="8" t="s">
        <v>59</v>
      </c>
      <c r="E28" s="8" t="s">
        <v>59</v>
      </c>
      <c r="F28" s="8" t="s">
        <v>59</v>
      </c>
      <c r="G28" s="8" t="s">
        <v>59</v>
      </c>
      <c r="H28" s="8" t="s">
        <v>59</v>
      </c>
      <c r="I28" s="8" t="s">
        <v>59</v>
      </c>
      <c r="J28" s="8" t="s">
        <v>59</v>
      </c>
      <c r="K28" s="8" t="s">
        <v>59</v>
      </c>
      <c r="L28" s="8" t="s">
        <v>59</v>
      </c>
      <c r="M28" s="8" t="s">
        <v>59</v>
      </c>
      <c r="N28" s="8" t="s">
        <v>59</v>
      </c>
      <c r="O28" s="8" t="s">
        <v>59</v>
      </c>
      <c r="P28" s="46" t="s">
        <v>59</v>
      </c>
      <c r="Q28" s="7" t="s">
        <v>358</v>
      </c>
    </row>
    <row r="29" spans="1:17" s="2" customFormat="1" ht="36" customHeight="1">
      <c r="A29" s="21" t="s">
        <v>257</v>
      </c>
      <c r="B29" s="5" t="s">
        <v>111</v>
      </c>
      <c r="C29" s="34" t="s">
        <v>61</v>
      </c>
      <c r="D29" s="32">
        <f>0*1.0046</f>
        <v>0</v>
      </c>
      <c r="E29" s="32">
        <f>0*1.0046</f>
        <v>0</v>
      </c>
      <c r="F29" s="32">
        <f>0*1.0046</f>
        <v>0</v>
      </c>
      <c r="G29" s="32">
        <f>0*1.0046</f>
        <v>0</v>
      </c>
      <c r="H29" s="32">
        <f>0*1.0046</f>
        <v>0</v>
      </c>
      <c r="I29" s="32">
        <f>1*1.0046</f>
        <v>1.0046</v>
      </c>
      <c r="J29" s="32">
        <f>10*1.0046</f>
        <v>10.046</v>
      </c>
      <c r="K29" s="32">
        <f>23*1.0046</f>
        <v>23.1058</v>
      </c>
      <c r="L29" s="32">
        <f>17*1.0046</f>
        <v>17.0782</v>
      </c>
      <c r="M29" s="32">
        <f>28*1.0046</f>
        <v>28.1288</v>
      </c>
      <c r="N29" s="32">
        <f>123*1.0046</f>
        <v>123.5658</v>
      </c>
      <c r="O29" s="32">
        <f>38*1.0046</f>
        <v>38.1748</v>
      </c>
      <c r="P29" s="45">
        <f>SUM(D29:O29)</f>
        <v>241.10399999999998</v>
      </c>
      <c r="Q29" s="7" t="s">
        <v>168</v>
      </c>
    </row>
    <row r="30" spans="1:17" s="2" customFormat="1" ht="60" customHeight="1">
      <c r="A30" s="4" t="s">
        <v>23</v>
      </c>
      <c r="B30" s="5" t="s">
        <v>19</v>
      </c>
      <c r="C30" s="26" t="s">
        <v>52</v>
      </c>
      <c r="D30" s="43">
        <f>D27</f>
        <v>556548.4</v>
      </c>
      <c r="E30" s="43">
        <f aca="true" t="shared" si="1" ref="E30:O30">E27</f>
        <v>268447.20279999997</v>
      </c>
      <c r="F30" s="43">
        <f t="shared" si="1"/>
        <v>121590.75639999998</v>
      </c>
      <c r="G30" s="43">
        <f t="shared" si="1"/>
        <v>406055.30159999995</v>
      </c>
      <c r="H30" s="43">
        <f t="shared" si="1"/>
        <v>1100939.1308</v>
      </c>
      <c r="I30" s="43">
        <f t="shared" si="1"/>
        <v>3302643.5966</v>
      </c>
      <c r="J30" s="43">
        <f t="shared" si="1"/>
        <v>3679602.6684</v>
      </c>
      <c r="K30" s="43">
        <f t="shared" si="1"/>
        <v>6400866.1622</v>
      </c>
      <c r="L30" s="43">
        <f t="shared" si="1"/>
        <v>2489507.2967999997</v>
      </c>
      <c r="M30" s="43">
        <f t="shared" si="1"/>
        <v>619929.6185999999</v>
      </c>
      <c r="N30" s="43">
        <f t="shared" si="1"/>
        <v>741410.8735999999</v>
      </c>
      <c r="O30" s="43">
        <f t="shared" si="1"/>
        <v>2442468.911</v>
      </c>
      <c r="P30" s="45">
        <f>SUM(D30:O30)</f>
        <v>22130009.918799996</v>
      </c>
      <c r="Q30" s="7" t="s">
        <v>65</v>
      </c>
    </row>
    <row r="31" spans="1:17" s="3" customFormat="1" ht="12">
      <c r="A31" s="208" t="s">
        <v>258</v>
      </c>
      <c r="B31" s="209"/>
      <c r="C31" s="209"/>
      <c r="D31" s="209"/>
      <c r="E31" s="209"/>
      <c r="F31" s="209"/>
      <c r="G31" s="209"/>
      <c r="H31" s="209"/>
      <c r="I31" s="209"/>
      <c r="J31" s="209"/>
      <c r="K31" s="209"/>
      <c r="L31" s="209"/>
      <c r="M31" s="209"/>
      <c r="N31" s="209"/>
      <c r="O31" s="209"/>
      <c r="P31" s="209"/>
      <c r="Q31" s="210"/>
    </row>
    <row r="32" spans="1:17" s="59" customFormat="1" ht="78" customHeight="1">
      <c r="A32" s="32" t="s">
        <v>24</v>
      </c>
      <c r="B32" s="27" t="s">
        <v>112</v>
      </c>
      <c r="C32" s="27" t="s">
        <v>53</v>
      </c>
      <c r="D32" s="32">
        <f>SUM(D20:D26)</f>
        <v>556548.4</v>
      </c>
      <c r="E32" s="32">
        <f aca="true" t="shared" si="2" ref="E32:O32">SUM(E20:E26)</f>
        <v>268447.20279999997</v>
      </c>
      <c r="F32" s="32">
        <f t="shared" si="2"/>
        <v>121590.75639999998</v>
      </c>
      <c r="G32" s="32">
        <f t="shared" si="2"/>
        <v>406055.30159999995</v>
      </c>
      <c r="H32" s="32">
        <f t="shared" si="2"/>
        <v>1100939.1308</v>
      </c>
      <c r="I32" s="32">
        <f t="shared" si="2"/>
        <v>3302643.5966</v>
      </c>
      <c r="J32" s="32">
        <f t="shared" si="2"/>
        <v>3679602.6684</v>
      </c>
      <c r="K32" s="32">
        <f t="shared" si="2"/>
        <v>6400866.1622</v>
      </c>
      <c r="L32" s="32">
        <f t="shared" si="2"/>
        <v>2489507.2967999997</v>
      </c>
      <c r="M32" s="32">
        <f t="shared" si="2"/>
        <v>619929.6185999999</v>
      </c>
      <c r="N32" s="32">
        <f t="shared" si="2"/>
        <v>741410.8735999999</v>
      </c>
      <c r="O32" s="32">
        <f t="shared" si="2"/>
        <v>2442468.911</v>
      </c>
      <c r="P32" s="45">
        <f>SUM(D32:O32)</f>
        <v>22130009.918799996</v>
      </c>
      <c r="Q32" s="27" t="s">
        <v>288</v>
      </c>
    </row>
    <row r="33" spans="1:17" s="59" customFormat="1" ht="37.5" customHeight="1">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row>
    <row r="34" spans="1:17" s="2" customFormat="1" ht="13.5" customHeight="1">
      <c r="A34" s="4" t="s">
        <v>115</v>
      </c>
      <c r="B34" s="5" t="s">
        <v>20</v>
      </c>
      <c r="C34" s="40"/>
      <c r="D34" s="41"/>
      <c r="E34" s="41"/>
      <c r="F34" s="41"/>
      <c r="G34" s="41"/>
      <c r="H34" s="41"/>
      <c r="I34" s="41"/>
      <c r="J34" s="41"/>
      <c r="K34" s="41"/>
      <c r="L34" s="41"/>
      <c r="M34" s="41"/>
      <c r="N34" s="41"/>
      <c r="O34" s="41"/>
      <c r="P34" s="50"/>
      <c r="Q34" s="40"/>
    </row>
    <row r="35" spans="1:17" s="2" customFormat="1" ht="36">
      <c r="A35" s="22" t="s">
        <v>259</v>
      </c>
      <c r="B35" s="5" t="s">
        <v>66</v>
      </c>
      <c r="C35" s="27" t="s">
        <v>150</v>
      </c>
      <c r="D35" s="45">
        <f aca="true" t="shared" si="3" ref="D35:L35">0*1.0046</f>
        <v>0</v>
      </c>
      <c r="E35" s="45">
        <f t="shared" si="3"/>
        <v>0</v>
      </c>
      <c r="F35" s="45">
        <f t="shared" si="3"/>
        <v>0</v>
      </c>
      <c r="G35" s="45">
        <f t="shared" si="3"/>
        <v>0</v>
      </c>
      <c r="H35" s="45">
        <f t="shared" si="3"/>
        <v>0</v>
      </c>
      <c r="I35" s="45">
        <f t="shared" si="3"/>
        <v>0</v>
      </c>
      <c r="J35" s="45">
        <f t="shared" si="3"/>
        <v>0</v>
      </c>
      <c r="K35" s="45">
        <f t="shared" si="3"/>
        <v>0</v>
      </c>
      <c r="L35" s="45">
        <f t="shared" si="3"/>
        <v>0</v>
      </c>
      <c r="M35" s="45">
        <f>1266*1.0046</f>
        <v>1271.8236</v>
      </c>
      <c r="N35" s="45">
        <f>518*1.0046</f>
        <v>520.3828</v>
      </c>
      <c r="O35" s="45">
        <f>249*1.0046</f>
        <v>250.1454</v>
      </c>
      <c r="P35" s="45">
        <f>SUM(D35:O35)</f>
        <v>2042.3518</v>
      </c>
      <c r="Q35" s="67" t="s">
        <v>73</v>
      </c>
    </row>
    <row r="36" spans="1:17" s="2" customFormat="1" ht="36">
      <c r="A36" s="22" t="s">
        <v>259</v>
      </c>
      <c r="B36" s="5" t="s">
        <v>66</v>
      </c>
      <c r="C36" s="27" t="s">
        <v>181</v>
      </c>
      <c r="D36" s="39">
        <f>72195*1.0046</f>
        <v>72527.097</v>
      </c>
      <c r="E36" s="39">
        <f>58405*1.0046</f>
        <v>58673.66299999999</v>
      </c>
      <c r="F36" s="39">
        <f>53278*1.0046</f>
        <v>53523.078799999996</v>
      </c>
      <c r="G36" s="39">
        <f>27725*1.0046</f>
        <v>27852.535</v>
      </c>
      <c r="H36" s="39">
        <f>55310*1.0046</f>
        <v>55564.426</v>
      </c>
      <c r="I36" s="39">
        <f>102814*1.0046</f>
        <v>103286.9444</v>
      </c>
      <c r="J36" s="39">
        <f>120656*1.0046</f>
        <v>121211.01759999999</v>
      </c>
      <c r="K36" s="39">
        <f>204411*1.0046</f>
        <v>205351.29059999998</v>
      </c>
      <c r="L36" s="39">
        <f>149098*1.0046</f>
        <v>149783.8508</v>
      </c>
      <c r="M36" s="39">
        <f>76719*1.0046</f>
        <v>77071.9074</v>
      </c>
      <c r="N36" s="39">
        <f>47266*1.0046</f>
        <v>47483.423599999995</v>
      </c>
      <c r="O36" s="39">
        <f>60237*1.0046</f>
        <v>60514.0902</v>
      </c>
      <c r="P36" s="51">
        <f>SUM(D36:O36)</f>
        <v>1032843.3243999999</v>
      </c>
      <c r="Q36" s="35" t="s">
        <v>211</v>
      </c>
    </row>
    <row r="37" spans="1:17" s="2" customFormat="1" ht="36">
      <c r="A37" s="22" t="s">
        <v>259</v>
      </c>
      <c r="B37" s="5" t="s">
        <v>66</v>
      </c>
      <c r="C37" s="5" t="s">
        <v>182</v>
      </c>
      <c r="D37" s="55" t="s">
        <v>59</v>
      </c>
      <c r="E37" s="55" t="s">
        <v>59</v>
      </c>
      <c r="F37" s="55" t="s">
        <v>59</v>
      </c>
      <c r="G37" s="55" t="s">
        <v>59</v>
      </c>
      <c r="H37" s="55" t="s">
        <v>59</v>
      </c>
      <c r="I37" s="55" t="s">
        <v>59</v>
      </c>
      <c r="J37" s="55" t="s">
        <v>59</v>
      </c>
      <c r="K37" s="55" t="s">
        <v>59</v>
      </c>
      <c r="L37" s="55" t="s">
        <v>59</v>
      </c>
      <c r="M37" s="55" t="s">
        <v>59</v>
      </c>
      <c r="N37" s="55" t="s">
        <v>59</v>
      </c>
      <c r="O37" s="55" t="s">
        <v>59</v>
      </c>
      <c r="P37" s="55" t="s">
        <v>59</v>
      </c>
      <c r="Q37" s="5" t="s">
        <v>60</v>
      </c>
    </row>
    <row r="38" spans="1:17" s="2" customFormat="1" ht="36">
      <c r="A38" s="22" t="s">
        <v>259</v>
      </c>
      <c r="B38" s="5" t="s">
        <v>66</v>
      </c>
      <c r="C38" s="5" t="s">
        <v>183</v>
      </c>
      <c r="D38" s="29">
        <f>11646*1.0046</f>
        <v>11699.5716</v>
      </c>
      <c r="E38" s="30">
        <f>19107*1.0046</f>
        <v>19194.8922</v>
      </c>
      <c r="F38" s="30">
        <f>3424*1.0046</f>
        <v>3439.7504</v>
      </c>
      <c r="G38" s="30">
        <f>926*1.0046</f>
        <v>930.2596</v>
      </c>
      <c r="H38" s="30">
        <f>5487*1.0046</f>
        <v>5512.240199999999</v>
      </c>
      <c r="I38" s="30">
        <f>12973*1.0046</f>
        <v>13032.675799999999</v>
      </c>
      <c r="J38" s="30">
        <f>12344*1.0046</f>
        <v>12400.7824</v>
      </c>
      <c r="K38" s="30">
        <f>10164*1.0046</f>
        <v>10210.7544</v>
      </c>
      <c r="L38" s="30">
        <f>2397*1.0046</f>
        <v>2408.0262</v>
      </c>
      <c r="M38" s="30">
        <f>1622*1.0046</f>
        <v>1629.4612</v>
      </c>
      <c r="N38" s="30">
        <f>1394*1.0046</f>
        <v>1400.4124</v>
      </c>
      <c r="O38" s="36">
        <f>1326*1.0046</f>
        <v>1332.0996</v>
      </c>
      <c r="P38" s="51">
        <f>SUM(D38:O38)</f>
        <v>83190.92599999999</v>
      </c>
      <c r="Q38" s="5" t="s">
        <v>83</v>
      </c>
    </row>
    <row r="39" spans="1:17" s="2" customFormat="1" ht="36">
      <c r="A39" s="22" t="s">
        <v>259</v>
      </c>
      <c r="B39" s="5" t="s">
        <v>66</v>
      </c>
      <c r="C39" s="26" t="s">
        <v>184</v>
      </c>
      <c r="D39" s="37" t="s">
        <v>59</v>
      </c>
      <c r="E39" s="37" t="s">
        <v>59</v>
      </c>
      <c r="F39" s="37" t="s">
        <v>59</v>
      </c>
      <c r="G39" s="37" t="s">
        <v>59</v>
      </c>
      <c r="H39" s="37" t="s">
        <v>59</v>
      </c>
      <c r="I39" s="37" t="s">
        <v>59</v>
      </c>
      <c r="J39" s="37" t="s">
        <v>59</v>
      </c>
      <c r="K39" s="37" t="s">
        <v>59</v>
      </c>
      <c r="L39" s="37" t="s">
        <v>59</v>
      </c>
      <c r="M39" s="37" t="s">
        <v>59</v>
      </c>
      <c r="N39" s="37" t="s">
        <v>59</v>
      </c>
      <c r="O39" s="37" t="s">
        <v>59</v>
      </c>
      <c r="P39" s="46" t="s">
        <v>59</v>
      </c>
      <c r="Q39" s="5" t="s">
        <v>86</v>
      </c>
    </row>
    <row r="40" spans="1:17" s="2" customFormat="1" ht="48">
      <c r="A40" s="22" t="s">
        <v>259</v>
      </c>
      <c r="B40" s="27" t="s">
        <v>66</v>
      </c>
      <c r="C40" s="26" t="s">
        <v>185</v>
      </c>
      <c r="D40" s="37" t="s">
        <v>59</v>
      </c>
      <c r="E40" s="37" t="s">
        <v>59</v>
      </c>
      <c r="F40" s="37" t="s">
        <v>59</v>
      </c>
      <c r="G40" s="37" t="s">
        <v>59</v>
      </c>
      <c r="H40" s="37" t="s">
        <v>59</v>
      </c>
      <c r="I40" s="37" t="s">
        <v>59</v>
      </c>
      <c r="J40" s="37" t="s">
        <v>59</v>
      </c>
      <c r="K40" s="37" t="s">
        <v>59</v>
      </c>
      <c r="L40" s="37" t="s">
        <v>59</v>
      </c>
      <c r="M40" s="37" t="s">
        <v>59</v>
      </c>
      <c r="N40" s="37" t="s">
        <v>59</v>
      </c>
      <c r="O40" s="37" t="s">
        <v>59</v>
      </c>
      <c r="P40" s="46" t="s">
        <v>59</v>
      </c>
      <c r="Q40" s="5" t="s">
        <v>176</v>
      </c>
    </row>
    <row r="41" spans="1:17" s="2" customFormat="1" ht="36">
      <c r="A41" s="22" t="s">
        <v>259</v>
      </c>
      <c r="B41" s="5" t="s">
        <v>66</v>
      </c>
      <c r="C41" s="26" t="s">
        <v>186</v>
      </c>
      <c r="D41" s="37" t="s">
        <v>59</v>
      </c>
      <c r="E41" s="37" t="s">
        <v>59</v>
      </c>
      <c r="F41" s="37" t="s">
        <v>59</v>
      </c>
      <c r="G41" s="37" t="s">
        <v>59</v>
      </c>
      <c r="H41" s="37" t="s">
        <v>59</v>
      </c>
      <c r="I41" s="37" t="s">
        <v>59</v>
      </c>
      <c r="J41" s="37" t="s">
        <v>59</v>
      </c>
      <c r="K41" s="37" t="s">
        <v>59</v>
      </c>
      <c r="L41" s="37" t="s">
        <v>59</v>
      </c>
      <c r="M41" s="37" t="s">
        <v>59</v>
      </c>
      <c r="N41" s="37" t="s">
        <v>59</v>
      </c>
      <c r="O41" s="37" t="s">
        <v>59</v>
      </c>
      <c r="P41" s="46" t="s">
        <v>59</v>
      </c>
      <c r="Q41" s="5" t="s">
        <v>97</v>
      </c>
    </row>
    <row r="42" spans="1:17" s="60" customFormat="1" ht="36">
      <c r="A42" s="22" t="s">
        <v>259</v>
      </c>
      <c r="B42" s="26" t="s">
        <v>66</v>
      </c>
      <c r="C42" s="27" t="s">
        <v>187</v>
      </c>
      <c r="D42" s="43">
        <f>(1432+241)*1.0046</f>
        <v>1680.6958</v>
      </c>
      <c r="E42" s="43">
        <f>(6735+974)*1.0046</f>
        <v>7744.461399999999</v>
      </c>
      <c r="F42" s="43">
        <f>(742+72)*1.0046</f>
        <v>817.7443999999999</v>
      </c>
      <c r="G42" s="43">
        <f>(229+24)*1.0046</f>
        <v>254.16379999999998</v>
      </c>
      <c r="H42" s="43">
        <f>(275+37)*1.0046</f>
        <v>313.4352</v>
      </c>
      <c r="I42" s="43">
        <f>(1482+47)*1.0046</f>
        <v>1536.0333999999998</v>
      </c>
      <c r="J42" s="43">
        <f>(3384+81)*1.0046</f>
        <v>3480.939</v>
      </c>
      <c r="K42" s="43">
        <f>(7143+275)*1.0046</f>
        <v>7452.122799999999</v>
      </c>
      <c r="L42" s="43">
        <f>(5857+181)*1.0046</f>
        <v>6065.774799999999</v>
      </c>
      <c r="M42" s="43">
        <f>(3122+233)*1.0046</f>
        <v>3370.433</v>
      </c>
      <c r="N42" s="43">
        <f>(900+107)*1.0046</f>
        <v>1011.6321999999999</v>
      </c>
      <c r="O42" s="43">
        <f>(1754+65)*1.0046</f>
        <v>1827.3673999999999</v>
      </c>
      <c r="P42" s="43">
        <f aca="true" t="shared" si="4" ref="P42:P48">SUM(D42:O42)</f>
        <v>35554.8032</v>
      </c>
      <c r="Q42" s="5" t="s">
        <v>109</v>
      </c>
    </row>
    <row r="43" spans="1:17" s="2" customFormat="1" ht="84">
      <c r="A43" s="109" t="s">
        <v>260</v>
      </c>
      <c r="B43" s="110"/>
      <c r="C43" s="111"/>
      <c r="D43" s="113">
        <f>SUM(D35:D42)</f>
        <v>85907.36439999999</v>
      </c>
      <c r="E43" s="113">
        <f aca="true" t="shared" si="5" ref="E43:O43">SUM(E35:E42)</f>
        <v>85613.01659999999</v>
      </c>
      <c r="F43" s="113">
        <f t="shared" si="5"/>
        <v>57780.573599999996</v>
      </c>
      <c r="G43" s="113">
        <f t="shared" si="5"/>
        <v>29036.9584</v>
      </c>
      <c r="H43" s="113">
        <f t="shared" si="5"/>
        <v>61390.1014</v>
      </c>
      <c r="I43" s="113">
        <f t="shared" si="5"/>
        <v>117855.65359999999</v>
      </c>
      <c r="J43" s="113">
        <f t="shared" si="5"/>
        <v>137092.739</v>
      </c>
      <c r="K43" s="113">
        <f t="shared" si="5"/>
        <v>223014.1678</v>
      </c>
      <c r="L43" s="113">
        <f t="shared" si="5"/>
        <v>158257.6518</v>
      </c>
      <c r="M43" s="113">
        <f t="shared" si="5"/>
        <v>83343.62520000001</v>
      </c>
      <c r="N43" s="113">
        <f t="shared" si="5"/>
        <v>50415.850999999995</v>
      </c>
      <c r="O43" s="113">
        <f t="shared" si="5"/>
        <v>63923.702600000004</v>
      </c>
      <c r="P43" s="114">
        <f t="shared" si="4"/>
        <v>1153631.4053999998</v>
      </c>
      <c r="Q43" s="111" t="s">
        <v>322</v>
      </c>
    </row>
    <row r="44" spans="1:17" s="2" customFormat="1" ht="36">
      <c r="A44" s="22" t="s">
        <v>259</v>
      </c>
      <c r="B44" s="26" t="s">
        <v>66</v>
      </c>
      <c r="C44" s="27" t="s">
        <v>244</v>
      </c>
      <c r="D44" s="45">
        <f>1095*1.0046</f>
        <v>1100.037</v>
      </c>
      <c r="E44" s="45">
        <f>77760*1.0046</f>
        <v>78117.696</v>
      </c>
      <c r="F44" s="45">
        <f>357*1.0046</f>
        <v>358.6422</v>
      </c>
      <c r="G44" s="45">
        <f>616*1.0046</f>
        <v>618.8335999999999</v>
      </c>
      <c r="H44" s="45">
        <f>758*1.0046</f>
        <v>761.4867999999999</v>
      </c>
      <c r="I44" s="45">
        <f>294*1.0046</f>
        <v>295.3524</v>
      </c>
      <c r="J44" s="45">
        <f>482*1.0046</f>
        <v>484.2172</v>
      </c>
      <c r="K44" s="45">
        <f>542*1.0046</f>
        <v>544.4932</v>
      </c>
      <c r="L44" s="45">
        <f>235*1.0046</f>
        <v>236.081</v>
      </c>
      <c r="M44" s="45">
        <f>420*1.0046</f>
        <v>421.93199999999996</v>
      </c>
      <c r="N44" s="45">
        <f>431*1.0046</f>
        <v>432.9826</v>
      </c>
      <c r="O44" s="45">
        <f>405*1.0046</f>
        <v>406.863</v>
      </c>
      <c r="P44" s="43">
        <f t="shared" si="4"/>
        <v>83778.617</v>
      </c>
      <c r="Q44" s="27" t="s">
        <v>243</v>
      </c>
    </row>
    <row r="45" spans="1:17" s="59" customFormat="1" ht="39.75" customHeight="1">
      <c r="A45" s="105" t="s">
        <v>261</v>
      </c>
      <c r="B45" s="27" t="s">
        <v>32</v>
      </c>
      <c r="C45" s="27" t="s">
        <v>67</v>
      </c>
      <c r="D45" s="45">
        <f aca="true" t="shared" si="6" ref="D45:O45">SUM(D36:D42)</f>
        <v>85907.36439999999</v>
      </c>
      <c r="E45" s="45">
        <f t="shared" si="6"/>
        <v>85613.01659999999</v>
      </c>
      <c r="F45" s="45">
        <f t="shared" si="6"/>
        <v>57780.573599999996</v>
      </c>
      <c r="G45" s="45">
        <f t="shared" si="6"/>
        <v>29036.9584</v>
      </c>
      <c r="H45" s="45">
        <f t="shared" si="6"/>
        <v>61390.1014</v>
      </c>
      <c r="I45" s="45">
        <f t="shared" si="6"/>
        <v>117855.65359999999</v>
      </c>
      <c r="J45" s="45">
        <f t="shared" si="6"/>
        <v>137092.739</v>
      </c>
      <c r="K45" s="45">
        <f t="shared" si="6"/>
        <v>223014.1678</v>
      </c>
      <c r="L45" s="45">
        <f t="shared" si="6"/>
        <v>158257.6518</v>
      </c>
      <c r="M45" s="45">
        <f t="shared" si="6"/>
        <v>82071.8016</v>
      </c>
      <c r="N45" s="45">
        <f t="shared" si="6"/>
        <v>49895.468199999996</v>
      </c>
      <c r="O45" s="45">
        <f t="shared" si="6"/>
        <v>63673.5572</v>
      </c>
      <c r="P45" s="45">
        <f t="shared" si="4"/>
        <v>1151589.0535999998</v>
      </c>
      <c r="Q45" s="27" t="s">
        <v>91</v>
      </c>
    </row>
    <row r="46" spans="1:18" s="2" customFormat="1" ht="36.75" customHeight="1">
      <c r="A46" s="105" t="s">
        <v>261</v>
      </c>
      <c r="B46" s="7" t="s">
        <v>32</v>
      </c>
      <c r="C46" s="7" t="s">
        <v>68</v>
      </c>
      <c r="D46" s="45">
        <f>D35</f>
        <v>0</v>
      </c>
      <c r="E46" s="45">
        <f aca="true" t="shared" si="7" ref="E46:O46">E35</f>
        <v>0</v>
      </c>
      <c r="F46" s="45">
        <f t="shared" si="7"/>
        <v>0</v>
      </c>
      <c r="G46" s="45">
        <f t="shared" si="7"/>
        <v>0</v>
      </c>
      <c r="H46" s="45">
        <f t="shared" si="7"/>
        <v>0</v>
      </c>
      <c r="I46" s="45">
        <f t="shared" si="7"/>
        <v>0</v>
      </c>
      <c r="J46" s="45">
        <f t="shared" si="7"/>
        <v>0</v>
      </c>
      <c r="K46" s="45">
        <f t="shared" si="7"/>
        <v>0</v>
      </c>
      <c r="L46" s="45">
        <f t="shared" si="7"/>
        <v>0</v>
      </c>
      <c r="M46" s="45">
        <f t="shared" si="7"/>
        <v>1271.8236</v>
      </c>
      <c r="N46" s="45">
        <f t="shared" si="7"/>
        <v>520.3828</v>
      </c>
      <c r="O46" s="45">
        <f t="shared" si="7"/>
        <v>250.1454</v>
      </c>
      <c r="P46" s="45">
        <f t="shared" si="4"/>
        <v>2042.3518</v>
      </c>
      <c r="Q46" s="27" t="s">
        <v>94</v>
      </c>
      <c r="R46" s="11"/>
    </row>
    <row r="47" spans="1:17" s="2" customFormat="1" ht="36">
      <c r="A47" s="109" t="s">
        <v>262</v>
      </c>
      <c r="B47" s="110"/>
      <c r="C47" s="111"/>
      <c r="D47" s="113">
        <f>SUM(D45:D46)</f>
        <v>85907.36439999999</v>
      </c>
      <c r="E47" s="113">
        <f aca="true" t="shared" si="8" ref="E47:O47">SUM(E45:E46)</f>
        <v>85613.01659999999</v>
      </c>
      <c r="F47" s="113">
        <f t="shared" si="8"/>
        <v>57780.573599999996</v>
      </c>
      <c r="G47" s="113">
        <f t="shared" si="8"/>
        <v>29036.9584</v>
      </c>
      <c r="H47" s="113">
        <f t="shared" si="8"/>
        <v>61390.1014</v>
      </c>
      <c r="I47" s="113">
        <f t="shared" si="8"/>
        <v>117855.65359999999</v>
      </c>
      <c r="J47" s="113">
        <f t="shared" si="8"/>
        <v>137092.739</v>
      </c>
      <c r="K47" s="113">
        <f t="shared" si="8"/>
        <v>223014.1678</v>
      </c>
      <c r="L47" s="113">
        <f t="shared" si="8"/>
        <v>158257.6518</v>
      </c>
      <c r="M47" s="113">
        <f t="shared" si="8"/>
        <v>83343.62520000001</v>
      </c>
      <c r="N47" s="113">
        <f t="shared" si="8"/>
        <v>50415.850999999995</v>
      </c>
      <c r="O47" s="113">
        <f t="shared" si="8"/>
        <v>63923.702600000004</v>
      </c>
      <c r="P47" s="114">
        <f t="shared" si="4"/>
        <v>1153631.4053999998</v>
      </c>
      <c r="Q47" s="111" t="s">
        <v>280</v>
      </c>
    </row>
    <row r="48" spans="1:17" s="2" customFormat="1" ht="39" customHeight="1">
      <c r="A48" s="6" t="s">
        <v>263</v>
      </c>
      <c r="B48" s="7" t="s">
        <v>126</v>
      </c>
      <c r="C48" s="27" t="s">
        <v>206</v>
      </c>
      <c r="D48" s="45">
        <f>(142398-34206)*1.0046</f>
        <v>108689.6832</v>
      </c>
      <c r="E48" s="45">
        <f>(52827-31496)*1.0046</f>
        <v>21429.1226</v>
      </c>
      <c r="F48" s="45">
        <f>(65059-31077)*1.0046</f>
        <v>34138.3172</v>
      </c>
      <c r="G48" s="45">
        <f>(44845-8222)*1.0046</f>
        <v>36791.4658</v>
      </c>
      <c r="H48" s="45">
        <f>(65320-20154)*1.0046</f>
        <v>45373.7636</v>
      </c>
      <c r="I48" s="45">
        <f>(90976-39677)*1.0046</f>
        <v>51534.975399999996</v>
      </c>
      <c r="J48" s="45">
        <f>(130906-52534)*1.0046</f>
        <v>78732.5112</v>
      </c>
      <c r="K48" s="45">
        <f>(149244-61412)*1.0046</f>
        <v>88236.0272</v>
      </c>
      <c r="L48" s="45">
        <f>(217383-102134)*1.0046</f>
        <v>115779.1454</v>
      </c>
      <c r="M48" s="45">
        <f>(176434-88165)*1.0046</f>
        <v>88675.0374</v>
      </c>
      <c r="N48" s="45">
        <f>(127857-30685)*1.0046</f>
        <v>97618.99119999999</v>
      </c>
      <c r="O48" s="45">
        <f>(70873-19604)*1.0046</f>
        <v>51504.8374</v>
      </c>
      <c r="P48" s="57">
        <f t="shared" si="4"/>
        <v>818503.8775999999</v>
      </c>
      <c r="Q48" s="35" t="s">
        <v>209</v>
      </c>
    </row>
    <row r="49" spans="1:17" s="2" customFormat="1" ht="36">
      <c r="A49" s="6" t="s">
        <v>263</v>
      </c>
      <c r="B49" s="7" t="s">
        <v>126</v>
      </c>
      <c r="C49" s="27" t="s">
        <v>207</v>
      </c>
      <c r="D49" s="121" t="s">
        <v>59</v>
      </c>
      <c r="E49" s="121" t="s">
        <v>59</v>
      </c>
      <c r="F49" s="121" t="s">
        <v>59</v>
      </c>
      <c r="G49" s="121" t="s">
        <v>59</v>
      </c>
      <c r="H49" s="121" t="s">
        <v>59</v>
      </c>
      <c r="I49" s="121" t="s">
        <v>59</v>
      </c>
      <c r="J49" s="121" t="s">
        <v>59</v>
      </c>
      <c r="K49" s="121" t="s">
        <v>59</v>
      </c>
      <c r="L49" s="121" t="s">
        <v>59</v>
      </c>
      <c r="M49" s="121" t="s">
        <v>59</v>
      </c>
      <c r="N49" s="121" t="s">
        <v>59</v>
      </c>
      <c r="O49" s="121" t="s">
        <v>59</v>
      </c>
      <c r="P49" s="121" t="s">
        <v>59</v>
      </c>
      <c r="Q49" s="7" t="s">
        <v>58</v>
      </c>
    </row>
    <row r="50" spans="1:17" s="2" customFormat="1" ht="36">
      <c r="A50" s="6" t="s">
        <v>263</v>
      </c>
      <c r="B50" s="7" t="s">
        <v>126</v>
      </c>
      <c r="C50" s="27" t="s">
        <v>208</v>
      </c>
      <c r="D50" s="10" t="s">
        <v>59</v>
      </c>
      <c r="E50" s="10" t="s">
        <v>59</v>
      </c>
      <c r="F50" s="10" t="s">
        <v>59</v>
      </c>
      <c r="G50" s="10" t="s">
        <v>59</v>
      </c>
      <c r="H50" s="10" t="s">
        <v>59</v>
      </c>
      <c r="I50" s="10" t="s">
        <v>59</v>
      </c>
      <c r="J50" s="10" t="s">
        <v>59</v>
      </c>
      <c r="K50" s="10" t="s">
        <v>59</v>
      </c>
      <c r="L50" s="10" t="s">
        <v>59</v>
      </c>
      <c r="M50" s="10" t="s">
        <v>59</v>
      </c>
      <c r="N50" s="10" t="s">
        <v>59</v>
      </c>
      <c r="O50" s="10" t="s">
        <v>59</v>
      </c>
      <c r="P50" s="44" t="s">
        <v>59</v>
      </c>
      <c r="Q50" s="7" t="s">
        <v>175</v>
      </c>
    </row>
    <row r="51" spans="1:17" s="2" customFormat="1" ht="72">
      <c r="A51" s="6" t="s">
        <v>263</v>
      </c>
      <c r="B51" s="7" t="s">
        <v>126</v>
      </c>
      <c r="C51" s="27" t="s">
        <v>205</v>
      </c>
      <c r="D51" s="32">
        <f>(13897+34206)*1.0046</f>
        <v>48324.273799999995</v>
      </c>
      <c r="E51" s="32">
        <f>(23308+31496)*1.0046</f>
        <v>55056.098399999995</v>
      </c>
      <c r="F51" s="32">
        <f>(3569+31077)*1.0046</f>
        <v>34805.3716</v>
      </c>
      <c r="G51" s="32">
        <f>(1137+8222)*1.0046</f>
        <v>9402.0514</v>
      </c>
      <c r="H51" s="32">
        <f>(2207+20154)*1.0046</f>
        <v>22463.8606</v>
      </c>
      <c r="I51" s="32">
        <f>(8299+39677)*1.0046</f>
        <v>48196.6896</v>
      </c>
      <c r="J51" s="32">
        <f>(9202+52534)*1.0046</f>
        <v>62019.98559999999</v>
      </c>
      <c r="K51" s="32">
        <f>(8914+61412)*1.0046</f>
        <v>70649.4996</v>
      </c>
      <c r="L51" s="32">
        <f>(1763+102134)*1.0046</f>
        <v>104374.92619999999</v>
      </c>
      <c r="M51" s="32">
        <f>(1159+88165)*1.0046</f>
        <v>89734.89039999999</v>
      </c>
      <c r="N51" s="32">
        <f>(790+30685)*1.0046</f>
        <v>31619.784999999996</v>
      </c>
      <c r="O51" s="32">
        <f>(742+19604)*1.0046</f>
        <v>20439.5916</v>
      </c>
      <c r="P51" s="57">
        <f aca="true" t="shared" si="9" ref="P51:P58">SUM(D51:O51)</f>
        <v>597087.0238000001</v>
      </c>
      <c r="Q51" s="7" t="s">
        <v>204</v>
      </c>
    </row>
    <row r="52" spans="1:17" s="2" customFormat="1" ht="36">
      <c r="A52" s="6" t="s">
        <v>263</v>
      </c>
      <c r="B52" s="7" t="s">
        <v>126</v>
      </c>
      <c r="C52" s="27" t="s">
        <v>226</v>
      </c>
      <c r="D52" s="32">
        <f>D68</f>
        <v>813018.7616</v>
      </c>
      <c r="E52" s="32">
        <f aca="true" t="shared" si="10" ref="E52:O52">E68</f>
        <v>666529.9988</v>
      </c>
      <c r="F52" s="32">
        <f t="shared" si="10"/>
        <v>685667.6288</v>
      </c>
      <c r="G52" s="32">
        <f t="shared" si="10"/>
        <v>576309.8866</v>
      </c>
      <c r="H52" s="32">
        <f t="shared" si="10"/>
        <v>569614.2276</v>
      </c>
      <c r="I52" s="32">
        <f t="shared" si="10"/>
        <v>632315.3319999999</v>
      </c>
      <c r="J52" s="32">
        <f t="shared" si="10"/>
        <v>827485.0016</v>
      </c>
      <c r="K52" s="32">
        <f t="shared" si="10"/>
        <v>1033912.2187999999</v>
      </c>
      <c r="L52" s="32">
        <f t="shared" si="10"/>
        <v>861717.7511999999</v>
      </c>
      <c r="M52" s="32">
        <f t="shared" si="10"/>
        <v>909982.7535999999</v>
      </c>
      <c r="N52" s="32">
        <f t="shared" si="10"/>
        <v>636472.3668</v>
      </c>
      <c r="O52" s="32">
        <f t="shared" si="10"/>
        <v>754033.6725999999</v>
      </c>
      <c r="P52" s="57">
        <f t="shared" si="9"/>
        <v>8967059.6</v>
      </c>
      <c r="Q52" s="7" t="s">
        <v>281</v>
      </c>
    </row>
    <row r="53" spans="1:17" s="2" customFormat="1" ht="24">
      <c r="A53" s="109" t="s">
        <v>264</v>
      </c>
      <c r="B53" s="110"/>
      <c r="C53" s="111"/>
      <c r="D53" s="113">
        <f>SUM(D48:D52)</f>
        <v>970032.7186</v>
      </c>
      <c r="E53" s="113">
        <f aca="true" t="shared" si="11" ref="E53:O53">SUM(E48:E52)</f>
        <v>743015.2198</v>
      </c>
      <c r="F53" s="113">
        <f t="shared" si="11"/>
        <v>754611.3176</v>
      </c>
      <c r="G53" s="113">
        <f t="shared" si="11"/>
        <v>622503.4038</v>
      </c>
      <c r="H53" s="113">
        <f t="shared" si="11"/>
        <v>637451.8518</v>
      </c>
      <c r="I53" s="113">
        <f t="shared" si="11"/>
        <v>732046.997</v>
      </c>
      <c r="J53" s="113">
        <f t="shared" si="11"/>
        <v>968237.4983999999</v>
      </c>
      <c r="K53" s="113">
        <f t="shared" si="11"/>
        <v>1192797.7456</v>
      </c>
      <c r="L53" s="113">
        <f t="shared" si="11"/>
        <v>1081871.8228</v>
      </c>
      <c r="M53" s="113">
        <f t="shared" si="11"/>
        <v>1088392.6814</v>
      </c>
      <c r="N53" s="113">
        <f t="shared" si="11"/>
        <v>765711.1429999999</v>
      </c>
      <c r="O53" s="113">
        <f t="shared" si="11"/>
        <v>825978.1015999999</v>
      </c>
      <c r="P53" s="114">
        <f t="shared" si="9"/>
        <v>10382650.5014</v>
      </c>
      <c r="Q53" s="111" t="s">
        <v>282</v>
      </c>
    </row>
    <row r="54" spans="1:19" s="2" customFormat="1" ht="84">
      <c r="A54" s="6" t="s">
        <v>263</v>
      </c>
      <c r="B54" s="7" t="s">
        <v>126</v>
      </c>
      <c r="C54" s="7" t="s">
        <v>152</v>
      </c>
      <c r="D54" s="124">
        <f>0.01*D53</f>
        <v>9700.327186</v>
      </c>
      <c r="E54" s="124">
        <f aca="true" t="shared" si="12" ref="E54:O54">0.01*E53</f>
        <v>7430.152198</v>
      </c>
      <c r="F54" s="124">
        <f t="shared" si="12"/>
        <v>7546.113176</v>
      </c>
      <c r="G54" s="124">
        <f t="shared" si="12"/>
        <v>6225.034038</v>
      </c>
      <c r="H54" s="124">
        <f t="shared" si="12"/>
        <v>6374.518518</v>
      </c>
      <c r="I54" s="124">
        <f t="shared" si="12"/>
        <v>7320.46997</v>
      </c>
      <c r="J54" s="124">
        <f t="shared" si="12"/>
        <v>9682.374984</v>
      </c>
      <c r="K54" s="124">
        <f t="shared" si="12"/>
        <v>11927.977456</v>
      </c>
      <c r="L54" s="124">
        <f t="shared" si="12"/>
        <v>10818.718228</v>
      </c>
      <c r="M54" s="124">
        <f t="shared" si="12"/>
        <v>10883.926813999999</v>
      </c>
      <c r="N54" s="124">
        <f t="shared" si="12"/>
        <v>7657.111429999999</v>
      </c>
      <c r="O54" s="124">
        <f t="shared" si="12"/>
        <v>8259.781015999999</v>
      </c>
      <c r="P54" s="45">
        <f t="shared" si="9"/>
        <v>103826.50501399998</v>
      </c>
      <c r="Q54" s="7" t="s">
        <v>220</v>
      </c>
      <c r="S54" s="60"/>
    </row>
    <row r="55" spans="1:17" s="2" customFormat="1" ht="60">
      <c r="A55" s="4" t="s">
        <v>265</v>
      </c>
      <c r="B55" s="5" t="s">
        <v>27</v>
      </c>
      <c r="C55" s="5" t="s">
        <v>70</v>
      </c>
      <c r="D55" s="32">
        <f>(550924-354760)*1.0046</f>
        <v>197066.35439999998</v>
      </c>
      <c r="E55" s="32">
        <f>(117342-75561)*1.0046</f>
        <v>41973.192599999995</v>
      </c>
      <c r="F55" s="32">
        <f>(112512-72451)*1.0046</f>
        <v>40245.2806</v>
      </c>
      <c r="G55" s="32">
        <f>59867*1.0046</f>
        <v>60142.388199999994</v>
      </c>
      <c r="H55" s="32">
        <f>73216*1.0046</f>
        <v>73552.79359999999</v>
      </c>
      <c r="I55" s="32">
        <f>105928*1.0046</f>
        <v>106415.26879999999</v>
      </c>
      <c r="J55" s="32">
        <f>147501*1.0046</f>
        <v>148179.5046</v>
      </c>
      <c r="K55" s="32">
        <f>141203*1.0046</f>
        <v>141852.5338</v>
      </c>
      <c r="L55" s="32">
        <f>98024*1.0046</f>
        <v>98474.9104</v>
      </c>
      <c r="M55" s="32">
        <f>118094*1.0046</f>
        <v>118637.2324</v>
      </c>
      <c r="N55" s="32">
        <f>140708*1.0046</f>
        <v>141355.2568</v>
      </c>
      <c r="O55" s="32">
        <f>69928*1.0046</f>
        <v>70249.6688</v>
      </c>
      <c r="P55" s="51">
        <f t="shared" si="9"/>
        <v>1238144.385</v>
      </c>
      <c r="Q55" s="27" t="s">
        <v>291</v>
      </c>
    </row>
    <row r="56" spans="1:17" s="2" customFormat="1" ht="36">
      <c r="A56" s="4" t="s">
        <v>265</v>
      </c>
      <c r="B56" s="5" t="s">
        <v>27</v>
      </c>
      <c r="C56" s="5" t="s">
        <v>71</v>
      </c>
      <c r="D56" s="32">
        <f>1210*1.0046</f>
        <v>1215.566</v>
      </c>
      <c r="E56" s="32">
        <f>896*1.0046</f>
        <v>900.1216</v>
      </c>
      <c r="F56" s="32">
        <f>1041*1.0046</f>
        <v>1045.7885999999999</v>
      </c>
      <c r="G56" s="32">
        <f>604*1.0046</f>
        <v>606.7783999999999</v>
      </c>
      <c r="H56" s="32">
        <f>936*1.0046</f>
        <v>940.3055999999999</v>
      </c>
      <c r="I56" s="32">
        <f>1249*1.0046</f>
        <v>1254.7454</v>
      </c>
      <c r="J56" s="32">
        <f>1660*1.0046</f>
        <v>1667.636</v>
      </c>
      <c r="K56" s="32">
        <f>1489*1.0046</f>
        <v>1495.8493999999998</v>
      </c>
      <c r="L56" s="32">
        <f>1134*1.0046</f>
        <v>1139.2164</v>
      </c>
      <c r="M56" s="32">
        <f>1184*1.0046</f>
        <v>1189.4463999999998</v>
      </c>
      <c r="N56" s="32">
        <f>667*1.0046</f>
        <v>670.0681999999999</v>
      </c>
      <c r="O56" s="32">
        <f>1000*1.0046</f>
        <v>1004.5999999999999</v>
      </c>
      <c r="P56" s="51">
        <f t="shared" si="9"/>
        <v>13130.122</v>
      </c>
      <c r="Q56" s="27" t="s">
        <v>72</v>
      </c>
    </row>
    <row r="57" spans="1:17" s="2" customFormat="1" ht="24">
      <c r="A57" s="109" t="s">
        <v>266</v>
      </c>
      <c r="B57" s="110"/>
      <c r="C57" s="111"/>
      <c r="D57" s="113">
        <f>SUM(D55:D56)</f>
        <v>198281.92039999997</v>
      </c>
      <c r="E57" s="113">
        <f>SUM(E55:E56)</f>
        <v>42873.31419999999</v>
      </c>
      <c r="F57" s="113">
        <f aca="true" t="shared" si="13" ref="F57:O57">SUM(F55:F56)</f>
        <v>41291.0692</v>
      </c>
      <c r="G57" s="113">
        <f t="shared" si="13"/>
        <v>60749.1666</v>
      </c>
      <c r="H57" s="113">
        <f t="shared" si="13"/>
        <v>74493.0992</v>
      </c>
      <c r="I57" s="113">
        <f t="shared" si="13"/>
        <v>107670.01419999999</v>
      </c>
      <c r="J57" s="113">
        <f t="shared" si="13"/>
        <v>149847.14059999998</v>
      </c>
      <c r="K57" s="113">
        <f t="shared" si="13"/>
        <v>143348.3832</v>
      </c>
      <c r="L57" s="113">
        <f t="shared" si="13"/>
        <v>99614.1268</v>
      </c>
      <c r="M57" s="113">
        <f t="shared" si="13"/>
        <v>119826.6788</v>
      </c>
      <c r="N57" s="113">
        <f t="shared" si="13"/>
        <v>142025.325</v>
      </c>
      <c r="O57" s="113">
        <f t="shared" si="13"/>
        <v>71254.2688</v>
      </c>
      <c r="P57" s="114">
        <f t="shared" si="9"/>
        <v>1251274.507</v>
      </c>
      <c r="Q57" s="111" t="s">
        <v>284</v>
      </c>
    </row>
    <row r="58" spans="1:17" s="2" customFormat="1" ht="36">
      <c r="A58" s="4" t="s">
        <v>265</v>
      </c>
      <c r="B58" s="5" t="s">
        <v>27</v>
      </c>
      <c r="C58" s="26" t="s">
        <v>56</v>
      </c>
      <c r="D58" s="32">
        <f>112547*1.0046</f>
        <v>113064.7162</v>
      </c>
      <c r="E58" s="32">
        <f>65720*1.0046</f>
        <v>66022.31199999999</v>
      </c>
      <c r="F58" s="32">
        <f>34714*1.0046</f>
        <v>34873.6844</v>
      </c>
      <c r="G58" s="32">
        <f>73255*1.0046</f>
        <v>73591.973</v>
      </c>
      <c r="H58" s="32">
        <f>71887*1.0046</f>
        <v>72217.6802</v>
      </c>
      <c r="I58" s="32">
        <f>102110*1.0046</f>
        <v>102579.70599999999</v>
      </c>
      <c r="J58" s="32">
        <f>75456*1.0046</f>
        <v>75803.0976</v>
      </c>
      <c r="K58" s="32">
        <f>120245*1.0046</f>
        <v>120798.127</v>
      </c>
      <c r="L58" s="32">
        <f>122056*1.0046</f>
        <v>122617.4576</v>
      </c>
      <c r="M58" s="32">
        <f>154849*1.0046</f>
        <v>155561.30539999998</v>
      </c>
      <c r="N58" s="32">
        <f>171013*1.0046</f>
        <v>171799.6598</v>
      </c>
      <c r="O58" s="32">
        <f>125692*1.0046</f>
        <v>126270.18319999998</v>
      </c>
      <c r="P58" s="51">
        <f t="shared" si="9"/>
        <v>1235199.9024</v>
      </c>
      <c r="Q58" s="27" t="s">
        <v>69</v>
      </c>
    </row>
    <row r="59" spans="1:17" s="3" customFormat="1" ht="12">
      <c r="A59" s="208" t="s">
        <v>267</v>
      </c>
      <c r="B59" s="209"/>
      <c r="C59" s="209"/>
      <c r="D59" s="209"/>
      <c r="E59" s="209"/>
      <c r="F59" s="209"/>
      <c r="G59" s="209"/>
      <c r="H59" s="209"/>
      <c r="I59" s="209"/>
      <c r="J59" s="209"/>
      <c r="K59" s="209"/>
      <c r="L59" s="209"/>
      <c r="M59" s="209"/>
      <c r="N59" s="209"/>
      <c r="O59" s="209"/>
      <c r="P59" s="209"/>
      <c r="Q59" s="210"/>
    </row>
    <row r="60" spans="1:17" s="2" customFormat="1" ht="72" customHeight="1">
      <c r="A60" s="4" t="s">
        <v>25</v>
      </c>
      <c r="B60" s="9" t="s">
        <v>22</v>
      </c>
      <c r="C60" s="27" t="s">
        <v>154</v>
      </c>
      <c r="D60" s="45">
        <f>12967*1.0046</f>
        <v>13026.6482</v>
      </c>
      <c r="E60" s="45">
        <f>12141*1.0046</f>
        <v>12196.8486</v>
      </c>
      <c r="F60" s="45">
        <f>9245*1.0046</f>
        <v>9287.527</v>
      </c>
      <c r="G60" s="45">
        <f>6284*1.0046</f>
        <v>6312.9064</v>
      </c>
      <c r="H60" s="45">
        <f>7237*1.0046</f>
        <v>7270.2901999999995</v>
      </c>
      <c r="I60" s="45">
        <f>7866*1.0046</f>
        <v>7902.183599999999</v>
      </c>
      <c r="J60" s="45">
        <f>6216*1.0046</f>
        <v>6244.593599999999</v>
      </c>
      <c r="K60" s="45">
        <f>6183*1.0046</f>
        <v>6211.4418</v>
      </c>
      <c r="L60" s="45">
        <f>10671*1.0046</f>
        <v>10720.086599999999</v>
      </c>
      <c r="M60" s="45">
        <f>12534*1.0046</f>
        <v>12591.6564</v>
      </c>
      <c r="N60" s="45">
        <f>8034*1.0046</f>
        <v>8070.956399999999</v>
      </c>
      <c r="O60" s="45">
        <f>3908*1.0046</f>
        <v>3925.9768</v>
      </c>
      <c r="P60" s="45">
        <f>SUM(D60:O60)</f>
        <v>103761.11559999999</v>
      </c>
      <c r="Q60" s="7" t="s">
        <v>303</v>
      </c>
    </row>
    <row r="61" spans="1:17" s="11" customFormat="1" ht="36">
      <c r="A61" s="6" t="s">
        <v>26</v>
      </c>
      <c r="B61" s="7" t="s">
        <v>151</v>
      </c>
      <c r="C61" s="7" t="s">
        <v>173</v>
      </c>
      <c r="D61" s="128">
        <f>(250+350)/2/12</f>
        <v>25</v>
      </c>
      <c r="E61" s="128">
        <f aca="true" t="shared" si="14" ref="E61:O61">(250+350)/2/12</f>
        <v>25</v>
      </c>
      <c r="F61" s="128">
        <f t="shared" si="14"/>
        <v>25</v>
      </c>
      <c r="G61" s="128">
        <f t="shared" si="14"/>
        <v>25</v>
      </c>
      <c r="H61" s="128">
        <f t="shared" si="14"/>
        <v>25</v>
      </c>
      <c r="I61" s="128">
        <f t="shared" si="14"/>
        <v>25</v>
      </c>
      <c r="J61" s="128">
        <f t="shared" si="14"/>
        <v>25</v>
      </c>
      <c r="K61" s="128">
        <f t="shared" si="14"/>
        <v>25</v>
      </c>
      <c r="L61" s="128">
        <f t="shared" si="14"/>
        <v>25</v>
      </c>
      <c r="M61" s="128">
        <f t="shared" si="14"/>
        <v>25</v>
      </c>
      <c r="N61" s="128">
        <f t="shared" si="14"/>
        <v>25</v>
      </c>
      <c r="O61" s="128">
        <f t="shared" si="14"/>
        <v>25</v>
      </c>
      <c r="P61" s="45">
        <f>SUM(D61:O61)</f>
        <v>300</v>
      </c>
      <c r="Q61" s="7" t="s">
        <v>227</v>
      </c>
    </row>
    <row r="62" spans="1:17" s="2" customFormat="1" ht="48">
      <c r="A62" s="4" t="s">
        <v>29</v>
      </c>
      <c r="B62" s="5" t="s">
        <v>116</v>
      </c>
      <c r="C62" s="5" t="s">
        <v>128</v>
      </c>
      <c r="D62" s="30">
        <f>1344*1.0046</f>
        <v>1350.1824</v>
      </c>
      <c r="E62" s="30">
        <f>1417*1.0046</f>
        <v>1423.5182</v>
      </c>
      <c r="F62" s="30">
        <f>1103*1.0046</f>
        <v>1108.0738</v>
      </c>
      <c r="G62" s="30">
        <f>1496*1.0046</f>
        <v>1502.8816</v>
      </c>
      <c r="H62" s="30">
        <f>1961*1.0046</f>
        <v>1970.0205999999998</v>
      </c>
      <c r="I62" s="30">
        <f>1687*1.0046</f>
        <v>1694.7602</v>
      </c>
      <c r="J62" s="30">
        <f>1173*1.0046</f>
        <v>1178.3958</v>
      </c>
      <c r="K62" s="30">
        <f>1330*1.0046</f>
        <v>1336.118</v>
      </c>
      <c r="L62" s="30">
        <f>1564*1.0046</f>
        <v>1571.1943999999999</v>
      </c>
      <c r="M62" s="30">
        <f>1481*1.0046</f>
        <v>1487.8126</v>
      </c>
      <c r="N62" s="30">
        <f>1023*1.0046</f>
        <v>1027.7058</v>
      </c>
      <c r="O62" s="32">
        <f>1864*1.0046</f>
        <v>1872.5744</v>
      </c>
      <c r="P62" s="51">
        <f>SUM(D62:O62)</f>
        <v>17523.2378</v>
      </c>
      <c r="Q62" s="13" t="s">
        <v>54</v>
      </c>
    </row>
    <row r="63" spans="1:17" s="3" customFormat="1" ht="12">
      <c r="A63" s="208" t="s">
        <v>268</v>
      </c>
      <c r="B63" s="209"/>
      <c r="C63" s="209"/>
      <c r="D63" s="209"/>
      <c r="E63" s="209"/>
      <c r="F63" s="209"/>
      <c r="G63" s="209"/>
      <c r="H63" s="209"/>
      <c r="I63" s="209"/>
      <c r="J63" s="209"/>
      <c r="K63" s="209"/>
      <c r="L63" s="209"/>
      <c r="M63" s="209"/>
      <c r="N63" s="209"/>
      <c r="O63" s="209"/>
      <c r="P63" s="209"/>
      <c r="Q63" s="210"/>
    </row>
    <row r="64" spans="1:17"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33">
        <f>8284*1.0046</f>
        <v>8322.106399999999</v>
      </c>
      <c r="E65" s="32">
        <f>5113*1.0046</f>
        <v>5136.5198</v>
      </c>
      <c r="F65" s="32">
        <f>5219*1.0046</f>
        <v>5243.0073999999995</v>
      </c>
      <c r="G65" s="32">
        <f>10630*1.0046</f>
        <v>10678.898</v>
      </c>
      <c r="H65" s="32">
        <f>5679*1.0046</f>
        <v>5705.1233999999995</v>
      </c>
      <c r="I65" s="32">
        <f>6364*1.0046</f>
        <v>6393.274399999999</v>
      </c>
      <c r="J65" s="32">
        <f>6957*1.0046</f>
        <v>6989.0022</v>
      </c>
      <c r="K65" s="32">
        <f>9142*1.0046</f>
        <v>9184.0532</v>
      </c>
      <c r="L65" s="32">
        <f>21860*1.0046</f>
        <v>21960.555999999997</v>
      </c>
      <c r="M65" s="32">
        <f>7611*1.0046</f>
        <v>7646.0106</v>
      </c>
      <c r="N65" s="32">
        <f>3028*1.0046</f>
        <v>3041.9287999999997</v>
      </c>
      <c r="O65" s="32">
        <f>3386*1.0046</f>
        <v>3401.5755999999997</v>
      </c>
      <c r="P65" s="51">
        <f>SUM(D65:O65)</f>
        <v>93702.05579999997</v>
      </c>
      <c r="Q65" s="6" t="s">
        <v>55</v>
      </c>
    </row>
    <row r="66" spans="1:17" s="2" customFormat="1" ht="72">
      <c r="A66" s="6" t="s">
        <v>120</v>
      </c>
      <c r="B66" s="7" t="s">
        <v>117</v>
      </c>
      <c r="C66" s="7" t="s">
        <v>223</v>
      </c>
      <c r="D66" s="33">
        <f>D68-D67</f>
        <v>693642.1436</v>
      </c>
      <c r="E66" s="33">
        <f aca="true" t="shared" si="15" ref="E66:O66">E68-E67</f>
        <v>555430.2801999999</v>
      </c>
      <c r="F66" s="33">
        <f t="shared" si="15"/>
        <v>557920.6836</v>
      </c>
      <c r="G66" s="33">
        <f t="shared" si="15"/>
        <v>482849.9394</v>
      </c>
      <c r="H66" s="33">
        <f t="shared" si="15"/>
        <v>461065.1884</v>
      </c>
      <c r="I66" s="33">
        <f t="shared" si="15"/>
        <v>454259.02339999995</v>
      </c>
      <c r="J66" s="33">
        <f t="shared" si="15"/>
        <v>595308.8818</v>
      </c>
      <c r="K66" s="33">
        <f t="shared" si="15"/>
        <v>753063.2289999999</v>
      </c>
      <c r="L66" s="33">
        <f t="shared" si="15"/>
        <v>605039.4373999999</v>
      </c>
      <c r="M66" s="33">
        <f t="shared" si="15"/>
        <v>693916.3994</v>
      </c>
      <c r="N66" s="33">
        <f t="shared" si="15"/>
        <v>496316.6024</v>
      </c>
      <c r="O66" s="33">
        <f t="shared" si="15"/>
        <v>625992.3796</v>
      </c>
      <c r="P66" s="51">
        <f>SUM(D66:O66)</f>
        <v>6974804.1882</v>
      </c>
      <c r="Q66" s="7" t="s">
        <v>304</v>
      </c>
    </row>
    <row r="67" spans="1:17" s="11" customFormat="1" ht="72">
      <c r="A67" s="6" t="s">
        <v>120</v>
      </c>
      <c r="B67" s="7" t="s">
        <v>117</v>
      </c>
      <c r="C67" s="7" t="s">
        <v>224</v>
      </c>
      <c r="D67" s="56">
        <f>(115716+3114)*1.0046</f>
        <v>119376.61799999999</v>
      </c>
      <c r="E67" s="56">
        <f>(107453+3138)*1.0046</f>
        <v>111099.7186</v>
      </c>
      <c r="F67" s="56">
        <f>(127162+0)*1.0046</f>
        <v>127746.94519999999</v>
      </c>
      <c r="G67" s="56">
        <f>(90957+2075)*1.0046</f>
        <v>93459.9472</v>
      </c>
      <c r="H67" s="56">
        <f>(106517+1535)*1.0046</f>
        <v>108549.0392</v>
      </c>
      <c r="I67" s="56">
        <f>(175078+2163)*1.0046</f>
        <v>178056.3086</v>
      </c>
      <c r="J67" s="56">
        <f>(230775+338)*1.0046</f>
        <v>232176.1198</v>
      </c>
      <c r="K67" s="56">
        <f>(279146+417)*1.0046</f>
        <v>280848.9898</v>
      </c>
      <c r="L67" s="56">
        <f>(252821+2682)*1.0046</f>
        <v>256678.31379999997</v>
      </c>
      <c r="M67" s="56">
        <f>(214193+884)*1.0046</f>
        <v>216066.35419999997</v>
      </c>
      <c r="N67" s="56">
        <f>(138474+1040)*1.0046</f>
        <v>140155.7644</v>
      </c>
      <c r="O67" s="56">
        <f>(126114+1341)*1.0046</f>
        <v>128041.29299999999</v>
      </c>
      <c r="P67" s="43">
        <f>SUM(D67:O67)</f>
        <v>1992255.4118</v>
      </c>
      <c r="Q67" s="7" t="s">
        <v>305</v>
      </c>
    </row>
    <row r="68" spans="1:17" s="11" customFormat="1" ht="12">
      <c r="A68" s="133" t="s">
        <v>269</v>
      </c>
      <c r="B68" s="110"/>
      <c r="C68" s="111"/>
      <c r="D68" s="136">
        <f>(3078+687388+3114+115716)*1.0046</f>
        <v>813018.7616</v>
      </c>
      <c r="E68" s="113">
        <f>(2009+550878+3138+107453)*1.0046</f>
        <v>666529.9988</v>
      </c>
      <c r="F68" s="113">
        <f>(1673+553693+0+127162)*1.0046</f>
        <v>685667.6288</v>
      </c>
      <c r="G68" s="113">
        <f>(1338+479301+2075+90957)*1.0046</f>
        <v>576309.8866</v>
      </c>
      <c r="H68" s="113">
        <f>(1567+457387+1535+106517)*1.0046</f>
        <v>569614.2276</v>
      </c>
      <c r="I68" s="113">
        <f>(2719+449460+2163+175078)*1.0046</f>
        <v>632315.3319999999</v>
      </c>
      <c r="J68" s="113">
        <f>(5059+587524+338+230775)*1.0046</f>
        <v>827485.0016</v>
      </c>
      <c r="K68" s="113">
        <f>(8758+740857+417+279146)*1.0046</f>
        <v>1033912.2187999999</v>
      </c>
      <c r="L68" s="113">
        <f>(8435+593834+2682+252821)*1.0046</f>
        <v>861717.7511999999</v>
      </c>
      <c r="M68" s="113">
        <f>(6906+683833+884+214193)*1.0046</f>
        <v>909982.7535999999</v>
      </c>
      <c r="N68" s="113">
        <f>(5612+488432+1040+138474)*1.0046</f>
        <v>636472.3668</v>
      </c>
      <c r="O68" s="113">
        <f>(8926+614200+1341+126114)*1.0046</f>
        <v>754033.6725999999</v>
      </c>
      <c r="P68" s="114">
        <f>SUM(D68:O68)</f>
        <v>8967059.6</v>
      </c>
      <c r="Q68" s="110" t="s">
        <v>287</v>
      </c>
    </row>
    <row r="69" spans="1:17" ht="86.25" customHeight="1">
      <c r="A69" s="161" t="s">
        <v>121</v>
      </c>
      <c r="B69" s="7" t="s">
        <v>127</v>
      </c>
      <c r="C69" s="7" t="s">
        <v>313</v>
      </c>
      <c r="D69" s="83">
        <f>1041*1.0046</f>
        <v>1045.7885999999999</v>
      </c>
      <c r="E69" s="83">
        <f>2827*1.0046</f>
        <v>2840.0042</v>
      </c>
      <c r="F69" s="83">
        <f>2008*1.0046</f>
        <v>2017.2368</v>
      </c>
      <c r="G69" s="83">
        <f>295*1.0046</f>
        <v>296.35699999999997</v>
      </c>
      <c r="H69" s="83">
        <f>27*1.0046</f>
        <v>27.1242</v>
      </c>
      <c r="I69" s="83">
        <f>225*1.0046</f>
        <v>226.035</v>
      </c>
      <c r="J69" s="83">
        <f>208*1.0046</f>
        <v>208.9568</v>
      </c>
      <c r="K69" s="83">
        <f>1549*1.0046</f>
        <v>1556.1254</v>
      </c>
      <c r="L69" s="83">
        <f>739*1.0046</f>
        <v>742.3993999999999</v>
      </c>
      <c r="M69" s="83">
        <f>1525*1.0046</f>
        <v>1532.0149999999999</v>
      </c>
      <c r="N69" s="83">
        <f>910*1.0046</f>
        <v>914.1859999999999</v>
      </c>
      <c r="O69" s="83">
        <f>1099*1.0046</f>
        <v>1104.0554</v>
      </c>
      <c r="P69" s="45">
        <f>SUM(D69:O69)</f>
        <v>12510.2838</v>
      </c>
      <c r="Q69" s="7" t="s">
        <v>321</v>
      </c>
    </row>
    <row r="70" spans="1:17" s="3" customFormat="1" ht="12">
      <c r="A70" s="208" t="s">
        <v>270</v>
      </c>
      <c r="B70" s="209"/>
      <c r="C70" s="209"/>
      <c r="D70" s="209"/>
      <c r="E70" s="209"/>
      <c r="F70" s="209"/>
      <c r="G70" s="209"/>
      <c r="H70" s="209"/>
      <c r="I70" s="209"/>
      <c r="J70" s="209"/>
      <c r="K70" s="209"/>
      <c r="L70" s="209"/>
      <c r="M70" s="209"/>
      <c r="N70" s="209"/>
      <c r="O70" s="209"/>
      <c r="P70" s="209"/>
      <c r="Q70" s="210"/>
    </row>
    <row r="71" spans="1:17" s="11" customFormat="1" ht="24">
      <c r="A71" s="6" t="s">
        <v>271</v>
      </c>
      <c r="B71" s="38" t="s">
        <v>33</v>
      </c>
      <c r="C71" s="7" t="s">
        <v>76</v>
      </c>
      <c r="D71" s="45">
        <v>0</v>
      </c>
      <c r="E71" s="45">
        <v>0</v>
      </c>
      <c r="F71" s="45">
        <v>0</v>
      </c>
      <c r="G71" s="69">
        <v>1</v>
      </c>
      <c r="H71" s="69">
        <v>0</v>
      </c>
      <c r="I71" s="69">
        <v>0</v>
      </c>
      <c r="J71" s="69">
        <v>0</v>
      </c>
      <c r="K71" s="69">
        <v>0</v>
      </c>
      <c r="L71" s="69">
        <v>0</v>
      </c>
      <c r="M71" s="69">
        <v>0</v>
      </c>
      <c r="N71" s="69">
        <v>0</v>
      </c>
      <c r="O71" s="69">
        <v>0</v>
      </c>
      <c r="P71" s="43">
        <f>SUM(D71:O71)</f>
        <v>1</v>
      </c>
      <c r="Q71" s="20" t="s">
        <v>159</v>
      </c>
    </row>
    <row r="72" spans="1:17" s="11" customFormat="1" ht="64.5" customHeight="1">
      <c r="A72" s="6" t="s">
        <v>272</v>
      </c>
      <c r="B72" s="38" t="s">
        <v>122</v>
      </c>
      <c r="C72" s="7" t="s">
        <v>124</v>
      </c>
      <c r="D72" s="33">
        <f>7*1.0046</f>
        <v>7.0322</v>
      </c>
      <c r="E72" s="33">
        <f>1*1.0046</f>
        <v>1.0046</v>
      </c>
      <c r="F72" s="33">
        <f>6*1.0046</f>
        <v>6.0276</v>
      </c>
      <c r="G72" s="33">
        <f>0*1.0046</f>
        <v>0</v>
      </c>
      <c r="H72" s="33">
        <f>13*1.0046</f>
        <v>13.0598</v>
      </c>
      <c r="I72" s="33">
        <f>11*1.0046</f>
        <v>11.0506</v>
      </c>
      <c r="J72" s="33">
        <f>1*1.0046</f>
        <v>1.0046</v>
      </c>
      <c r="K72" s="33">
        <f>2*1.0046</f>
        <v>2.0092</v>
      </c>
      <c r="L72" s="33">
        <f>1*1.0046</f>
        <v>1.0046</v>
      </c>
      <c r="M72" s="33">
        <f>2*1.0046</f>
        <v>2.0092</v>
      </c>
      <c r="N72" s="33">
        <f>1*1.0046</f>
        <v>1.0046</v>
      </c>
      <c r="O72" s="33">
        <f>2*1.0046</f>
        <v>2.0092</v>
      </c>
      <c r="P72" s="45">
        <f>SUM(D72:O72)</f>
        <v>47.21620000000001</v>
      </c>
      <c r="Q72" s="20" t="s">
        <v>190</v>
      </c>
    </row>
    <row r="73" spans="1:17" s="11" customFormat="1" ht="24">
      <c r="A73" s="6" t="s">
        <v>273</v>
      </c>
      <c r="B73" s="38" t="s">
        <v>363</v>
      </c>
      <c r="C73" s="7" t="s">
        <v>100</v>
      </c>
      <c r="D73" s="32">
        <f>D72</f>
        <v>7.0322</v>
      </c>
      <c r="E73" s="32">
        <f aca="true" t="shared" si="16" ref="E73:O73">E72</f>
        <v>1.0046</v>
      </c>
      <c r="F73" s="32">
        <f t="shared" si="16"/>
        <v>6.0276</v>
      </c>
      <c r="G73" s="32">
        <f t="shared" si="16"/>
        <v>0</v>
      </c>
      <c r="H73" s="32">
        <f t="shared" si="16"/>
        <v>13.0598</v>
      </c>
      <c r="I73" s="32">
        <f t="shared" si="16"/>
        <v>11.0506</v>
      </c>
      <c r="J73" s="32">
        <f t="shared" si="16"/>
        <v>1.0046</v>
      </c>
      <c r="K73" s="32">
        <f t="shared" si="16"/>
        <v>2.0092</v>
      </c>
      <c r="L73" s="32">
        <f t="shared" si="16"/>
        <v>1.0046</v>
      </c>
      <c r="M73" s="32">
        <f t="shared" si="16"/>
        <v>2.0092</v>
      </c>
      <c r="N73" s="32">
        <f t="shared" si="16"/>
        <v>1.0046</v>
      </c>
      <c r="O73" s="32">
        <f t="shared" si="16"/>
        <v>2.0092</v>
      </c>
      <c r="P73" s="45">
        <f>SUM(D73:O73)</f>
        <v>47.21620000000001</v>
      </c>
      <c r="Q73" s="20" t="s">
        <v>190</v>
      </c>
    </row>
    <row r="74" spans="1:17" s="11" customFormat="1" ht="63" customHeight="1">
      <c r="A74" s="6" t="s">
        <v>274</v>
      </c>
      <c r="B74" s="38" t="s">
        <v>123</v>
      </c>
      <c r="C74" s="7" t="s">
        <v>77</v>
      </c>
      <c r="D74" s="33">
        <f>10343*1.0046</f>
        <v>10390.5778</v>
      </c>
      <c r="E74" s="33">
        <f>2260*1.0046</f>
        <v>2270.3959999999997</v>
      </c>
      <c r="F74" s="33">
        <f>13975*1.0046</f>
        <v>14039.285</v>
      </c>
      <c r="G74" s="33">
        <f>0*1.0046</f>
        <v>0</v>
      </c>
      <c r="H74" s="33">
        <f>763*1.0046</f>
        <v>766.5097999999999</v>
      </c>
      <c r="I74" s="33">
        <f>14545*1.0046</f>
        <v>14611.907</v>
      </c>
      <c r="J74" s="33">
        <f>11369*1.0046</f>
        <v>11421.2974</v>
      </c>
      <c r="K74" s="33">
        <f>13717*1.0046</f>
        <v>13780.098199999999</v>
      </c>
      <c r="L74" s="33">
        <f>8955*1.0046</f>
        <v>8996.193</v>
      </c>
      <c r="M74" s="33">
        <f>13793*1.0046</f>
        <v>13856.4478</v>
      </c>
      <c r="N74" s="33">
        <f>4814*1.0046</f>
        <v>4836.1444</v>
      </c>
      <c r="O74" s="33">
        <f>15565*1.0046</f>
        <v>15636.598999999998</v>
      </c>
      <c r="P74" s="45">
        <f>SUM(D74:O74)</f>
        <v>110605.45539999999</v>
      </c>
      <c r="Q74" s="20" t="s">
        <v>190</v>
      </c>
    </row>
    <row r="75" spans="1:17" s="3" customFormat="1" ht="12">
      <c r="A75" s="208" t="s">
        <v>275</v>
      </c>
      <c r="B75" s="209"/>
      <c r="C75" s="209"/>
      <c r="D75" s="209"/>
      <c r="E75" s="209"/>
      <c r="F75" s="209"/>
      <c r="G75" s="209"/>
      <c r="H75" s="209"/>
      <c r="I75" s="209"/>
      <c r="J75" s="209"/>
      <c r="K75" s="209"/>
      <c r="L75" s="209"/>
      <c r="M75" s="209"/>
      <c r="N75" s="209"/>
      <c r="O75" s="209"/>
      <c r="P75" s="209"/>
      <c r="Q75" s="210"/>
    </row>
    <row r="76" spans="1:17" s="11" customFormat="1" ht="120">
      <c r="A76" s="170">
        <v>5.1</v>
      </c>
      <c r="B76" s="7" t="s">
        <v>179</v>
      </c>
      <c r="C76" s="34" t="s">
        <v>362</v>
      </c>
      <c r="D76" s="98">
        <f>2500*1.0046</f>
        <v>2511.5</v>
      </c>
      <c r="E76" s="98">
        <f>2500*1.0046</f>
        <v>2511.5</v>
      </c>
      <c r="F76" s="98">
        <f>2500*1.0046</f>
        <v>2511.5</v>
      </c>
      <c r="G76" s="45">
        <f>1500000*1.0046</f>
        <v>1506900</v>
      </c>
      <c r="H76" s="98">
        <f aca="true" t="shared" si="17" ref="H76:O76">2500*1.0046</f>
        <v>2511.5</v>
      </c>
      <c r="I76" s="98">
        <f t="shared" si="17"/>
        <v>2511.5</v>
      </c>
      <c r="J76" s="98">
        <f t="shared" si="17"/>
        <v>2511.5</v>
      </c>
      <c r="K76" s="98">
        <f t="shared" si="17"/>
        <v>2511.5</v>
      </c>
      <c r="L76" s="98">
        <f t="shared" si="17"/>
        <v>2511.5</v>
      </c>
      <c r="M76" s="98">
        <f t="shared" si="17"/>
        <v>2511.5</v>
      </c>
      <c r="N76" s="98">
        <f t="shared" si="17"/>
        <v>2511.5</v>
      </c>
      <c r="O76" s="98">
        <f t="shared" si="17"/>
        <v>2511.5</v>
      </c>
      <c r="P76" s="43">
        <f>SUM(D76:O76)</f>
        <v>1534526.5</v>
      </c>
      <c r="Q76" s="27" t="s">
        <v>188</v>
      </c>
    </row>
    <row r="77" spans="1:17" ht="12.75">
      <c r="A77" s="208" t="s">
        <v>276</v>
      </c>
      <c r="B77" s="209"/>
      <c r="C77" s="209"/>
      <c r="D77" s="209"/>
      <c r="E77" s="209"/>
      <c r="F77" s="209"/>
      <c r="G77" s="209"/>
      <c r="H77" s="209"/>
      <c r="I77" s="209"/>
      <c r="J77" s="209"/>
      <c r="K77" s="209"/>
      <c r="L77" s="209"/>
      <c r="M77" s="209"/>
      <c r="N77" s="209"/>
      <c r="O77" s="209"/>
      <c r="P77" s="209"/>
      <c r="Q77" s="210"/>
    </row>
    <row r="78" spans="1:17" s="87" customFormat="1" ht="46.5" customHeight="1">
      <c r="A78" s="14">
        <v>5.11</v>
      </c>
      <c r="B78" s="7" t="s">
        <v>125</v>
      </c>
      <c r="C78" s="27" t="s">
        <v>241</v>
      </c>
      <c r="D78" s="98">
        <v>354760.45857849484</v>
      </c>
      <c r="E78" s="98">
        <v>75560.87905140771</v>
      </c>
      <c r="F78" s="33">
        <v>72450.66237009752</v>
      </c>
      <c r="G78" s="33">
        <f aca="true" t="shared" si="18" ref="G78:O78">0*1.0046</f>
        <v>0</v>
      </c>
      <c r="H78" s="33">
        <f t="shared" si="18"/>
        <v>0</v>
      </c>
      <c r="I78" s="33">
        <f t="shared" si="18"/>
        <v>0</v>
      </c>
      <c r="J78" s="33">
        <f t="shared" si="18"/>
        <v>0</v>
      </c>
      <c r="K78" s="33">
        <f t="shared" si="18"/>
        <v>0</v>
      </c>
      <c r="L78" s="33">
        <f t="shared" si="18"/>
        <v>0</v>
      </c>
      <c r="M78" s="33">
        <f t="shared" si="18"/>
        <v>0</v>
      </c>
      <c r="N78" s="33">
        <f t="shared" si="18"/>
        <v>0</v>
      </c>
      <c r="O78" s="33">
        <f t="shared" si="18"/>
        <v>0</v>
      </c>
      <c r="P78" s="43">
        <f>SUM(D78:O78)</f>
        <v>502772.00000000006</v>
      </c>
      <c r="Q78" s="35" t="s">
        <v>228</v>
      </c>
    </row>
    <row r="79" spans="1:17" s="11" customFormat="1" ht="12">
      <c r="A79" s="137"/>
      <c r="B79" s="129"/>
      <c r="C79" s="130"/>
      <c r="D79" s="138"/>
      <c r="E79" s="138"/>
      <c r="F79" s="138"/>
      <c r="G79" s="138"/>
      <c r="H79" s="138"/>
      <c r="I79" s="138"/>
      <c r="J79" s="138"/>
      <c r="K79" s="138"/>
      <c r="L79" s="138"/>
      <c r="M79" s="138"/>
      <c r="N79" s="138"/>
      <c r="O79" s="138"/>
      <c r="P79" s="139"/>
      <c r="Q79" s="130"/>
    </row>
    <row r="80" spans="1:17" s="87" customFormat="1" ht="25.5" customHeight="1">
      <c r="A80" s="216" t="s">
        <v>242</v>
      </c>
      <c r="B80" s="216"/>
      <c r="C80" s="216"/>
      <c r="D80" s="216"/>
      <c r="E80" s="216"/>
      <c r="F80" s="216"/>
      <c r="G80" s="216"/>
      <c r="H80" s="216"/>
      <c r="I80" s="216"/>
      <c r="J80" s="216"/>
      <c r="K80" s="216"/>
      <c r="L80" s="216"/>
      <c r="M80" s="216"/>
      <c r="N80" s="216"/>
      <c r="O80" s="216"/>
      <c r="P80" s="216"/>
      <c r="Q80" s="216"/>
    </row>
    <row r="82" ht="12.75">
      <c r="A82" s="63" t="s">
        <v>103</v>
      </c>
    </row>
    <row r="83" ht="12.75">
      <c r="B83" s="64"/>
    </row>
    <row r="84" spans="1:3" ht="12.75">
      <c r="A84">
        <v>2005</v>
      </c>
      <c r="B84" s="80">
        <v>0.0046</v>
      </c>
      <c r="C84" t="s">
        <v>325</v>
      </c>
    </row>
    <row r="85" spans="1:2" ht="12.75">
      <c r="A85">
        <v>2006</v>
      </c>
      <c r="B85" s="80">
        <v>0.0498</v>
      </c>
    </row>
    <row r="86" spans="1:2" ht="12.75">
      <c r="A86">
        <v>2007</v>
      </c>
      <c r="B86" s="80">
        <v>-0.0286</v>
      </c>
    </row>
    <row r="87" spans="1:2" ht="12.75">
      <c r="A87">
        <v>2008</v>
      </c>
      <c r="B87" s="80">
        <v>-0.0693</v>
      </c>
    </row>
    <row r="88" spans="1:2" ht="12.75">
      <c r="A88">
        <v>2009</v>
      </c>
      <c r="B88" s="80">
        <v>0.0139</v>
      </c>
    </row>
    <row r="89" spans="1:2" ht="12.75">
      <c r="A89">
        <v>2010</v>
      </c>
      <c r="B89" s="195" t="s">
        <v>377</v>
      </c>
    </row>
  </sheetData>
  <mergeCells count="11">
    <mergeCell ref="A1:Q1"/>
    <mergeCell ref="A3:Q3"/>
    <mergeCell ref="C5:P5"/>
    <mergeCell ref="A17:Q17"/>
    <mergeCell ref="A80:Q80"/>
    <mergeCell ref="A75:Q75"/>
    <mergeCell ref="A77:Q77"/>
    <mergeCell ref="A31:Q31"/>
    <mergeCell ref="A59:Q59"/>
    <mergeCell ref="A63:Q63"/>
    <mergeCell ref="A70:Q70"/>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1" manualBreakCount="1">
    <brk id="76" max="255" man="1"/>
  </rowBreaks>
</worksheet>
</file>

<file path=xl/worksheets/sheet8.xml><?xml version="1.0" encoding="utf-8"?>
<worksheet xmlns="http://schemas.openxmlformats.org/spreadsheetml/2006/main" xmlns:r="http://schemas.openxmlformats.org/officeDocument/2006/relationships">
  <dimension ref="A1:T109"/>
  <sheetViews>
    <sheetView zoomScale="75" zoomScaleNormal="75" workbookViewId="0" topLeftCell="H34">
      <selection activeCell="Q40" sqref="Q40"/>
    </sheetView>
  </sheetViews>
  <sheetFormatPr defaultColWidth="9.140625" defaultRowHeight="12.75"/>
  <cols>
    <col min="1" max="1" width="12.28125" style="0" customWidth="1"/>
    <col min="2" max="2" width="20.00390625" style="0" customWidth="1"/>
    <col min="3" max="3" width="16.140625" style="0" customWidth="1"/>
    <col min="6" max="6" width="9.7109375" style="0" customWidth="1"/>
    <col min="9" max="9" width="9.8515625" style="0" customWidth="1"/>
    <col min="10" max="10" width="9.28125" style="0" customWidth="1"/>
    <col min="11" max="11" width="9.8515625" style="0" customWidth="1"/>
    <col min="14" max="14" width="8.7109375" style="0" customWidth="1"/>
    <col min="15" max="15" width="9.8515625" style="0" customWidth="1"/>
    <col min="16" max="16" width="11.00390625" style="48" customWidth="1"/>
    <col min="17" max="17" width="19.421875" style="0" customWidth="1"/>
    <col min="20" max="20" width="11.57421875" style="0" bestFit="1"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1"/>
      <c r="G2" s="1"/>
      <c r="H2" s="1"/>
      <c r="I2" s="1"/>
      <c r="J2" s="1"/>
      <c r="K2" s="1"/>
      <c r="L2" s="1"/>
      <c r="M2" s="1"/>
      <c r="N2" s="1"/>
      <c r="O2" s="1"/>
      <c r="P2" s="47"/>
    </row>
    <row r="3" spans="1:17" ht="18">
      <c r="A3" s="211" t="s">
        <v>37</v>
      </c>
      <c r="B3" s="211"/>
      <c r="C3" s="211"/>
      <c r="D3" s="211"/>
      <c r="E3" s="211"/>
      <c r="F3" s="211"/>
      <c r="G3" s="211"/>
      <c r="H3" s="211"/>
      <c r="I3" s="211"/>
      <c r="J3" s="211"/>
      <c r="K3" s="211"/>
      <c r="L3" s="211"/>
      <c r="M3" s="211"/>
      <c r="N3" s="211"/>
      <c r="O3" s="211"/>
      <c r="P3" s="211"/>
      <c r="Q3" s="211"/>
    </row>
    <row r="5" spans="3:17" s="2" customFormat="1" ht="12.75" customHeight="1">
      <c r="C5" s="212" t="s">
        <v>356</v>
      </c>
      <c r="D5" s="213"/>
      <c r="E5" s="213"/>
      <c r="F5" s="213"/>
      <c r="G5" s="213"/>
      <c r="H5" s="213"/>
      <c r="I5" s="213"/>
      <c r="J5" s="213"/>
      <c r="K5" s="213"/>
      <c r="L5" s="213"/>
      <c r="M5" s="213"/>
      <c r="N5" s="213"/>
      <c r="O5" s="213"/>
      <c r="P5" s="214"/>
      <c r="Q5" s="3"/>
    </row>
    <row r="6" spans="1:17" s="3" customFormat="1" ht="60.75" customHeight="1">
      <c r="A6" s="180" t="s">
        <v>0</v>
      </c>
      <c r="B6" s="174" t="s">
        <v>1</v>
      </c>
      <c r="C6" s="180" t="s">
        <v>2</v>
      </c>
      <c r="D6" s="178" t="s">
        <v>3</v>
      </c>
      <c r="E6" s="178" t="s">
        <v>4</v>
      </c>
      <c r="F6" s="178" t="s">
        <v>5</v>
      </c>
      <c r="G6" s="178" t="s">
        <v>6</v>
      </c>
      <c r="H6" s="178" t="s">
        <v>8</v>
      </c>
      <c r="I6" s="178" t="s">
        <v>7</v>
      </c>
      <c r="J6" s="178" t="s">
        <v>9</v>
      </c>
      <c r="K6" s="178" t="s">
        <v>10</v>
      </c>
      <c r="L6" s="178" t="s">
        <v>11</v>
      </c>
      <c r="M6" s="178" t="s">
        <v>12</v>
      </c>
      <c r="N6" s="178" t="s">
        <v>13</v>
      </c>
      <c r="O6" s="178" t="s">
        <v>14</v>
      </c>
      <c r="P6" s="181" t="s">
        <v>16</v>
      </c>
      <c r="Q6" s="174" t="s">
        <v>15</v>
      </c>
    </row>
    <row r="7" spans="1:17" s="3" customFormat="1" ht="12">
      <c r="A7" s="19" t="s">
        <v>40</v>
      </c>
      <c r="B7" s="15"/>
      <c r="C7" s="16"/>
      <c r="D7" s="17"/>
      <c r="E7" s="17"/>
      <c r="F7" s="17"/>
      <c r="G7" s="17"/>
      <c r="H7" s="17"/>
      <c r="I7" s="17"/>
      <c r="J7" s="17"/>
      <c r="K7" s="17"/>
      <c r="L7" s="17"/>
      <c r="M7" s="17"/>
      <c r="N7" s="17"/>
      <c r="O7" s="17"/>
      <c r="P7" s="49"/>
      <c r="Q7" s="18"/>
    </row>
    <row r="8" spans="1:17" s="3" customFormat="1" ht="48">
      <c r="A8" s="24" t="s">
        <v>41</v>
      </c>
      <c r="B8" s="27" t="s">
        <v>42</v>
      </c>
      <c r="C8" s="27" t="s">
        <v>43</v>
      </c>
      <c r="D8" s="45">
        <f>41*1.0449</f>
        <v>42.8409</v>
      </c>
      <c r="E8" s="45">
        <f>20*1.0449</f>
        <v>20.898</v>
      </c>
      <c r="F8" s="45">
        <f>38*1.0449</f>
        <v>39.706199999999995</v>
      </c>
      <c r="G8" s="45">
        <f>15*1.0449</f>
        <v>15.673499999999999</v>
      </c>
      <c r="H8" s="45">
        <f>15*1.0449</f>
        <v>15.673499999999999</v>
      </c>
      <c r="I8" s="45">
        <f>34*1.0449</f>
        <v>35.526599999999995</v>
      </c>
      <c r="J8" s="45">
        <f>49*1.0449</f>
        <v>51.2001</v>
      </c>
      <c r="K8" s="45">
        <f>280*1.0449</f>
        <v>292.572</v>
      </c>
      <c r="L8" s="45">
        <f>387*1.0449</f>
        <v>404.37629999999996</v>
      </c>
      <c r="M8" s="45">
        <f>99*1.0449</f>
        <v>103.4451</v>
      </c>
      <c r="N8" s="45">
        <f>41*1.0449</f>
        <v>42.8409</v>
      </c>
      <c r="O8" s="45">
        <f>49*1.0449</f>
        <v>51.2001</v>
      </c>
      <c r="P8" s="43">
        <f>SUM(D8:O8)</f>
        <v>1115.9532</v>
      </c>
      <c r="Q8" s="38" t="s">
        <v>163</v>
      </c>
    </row>
    <row r="9" spans="1:17" s="3" customFormat="1" ht="12">
      <c r="A9" s="19" t="s">
        <v>245</v>
      </c>
      <c r="B9" s="15"/>
      <c r="C9" s="16"/>
      <c r="D9" s="17"/>
      <c r="E9" s="17"/>
      <c r="F9" s="17"/>
      <c r="G9" s="17"/>
      <c r="H9" s="17"/>
      <c r="I9" s="17"/>
      <c r="J9" s="17"/>
      <c r="K9" s="17"/>
      <c r="L9" s="17"/>
      <c r="M9" s="17"/>
      <c r="N9" s="17"/>
      <c r="O9" s="17"/>
      <c r="P9" s="49"/>
      <c r="Q9" s="18"/>
    </row>
    <row r="10" spans="1:17" s="3" customFormat="1" ht="24">
      <c r="A10" s="38">
        <v>5.2</v>
      </c>
      <c r="B10" s="27" t="s">
        <v>246</v>
      </c>
      <c r="C10" s="27" t="s">
        <v>240</v>
      </c>
      <c r="D10" s="45">
        <f>40*20</f>
        <v>800</v>
      </c>
      <c r="E10" s="45">
        <f>40*20</f>
        <v>800</v>
      </c>
      <c r="F10" s="45">
        <f>40*22</f>
        <v>880</v>
      </c>
      <c r="G10" s="45">
        <f>40*19</f>
        <v>760</v>
      </c>
      <c r="H10" s="45">
        <f>40*19</f>
        <v>760</v>
      </c>
      <c r="I10" s="45">
        <f>40*23</f>
        <v>920</v>
      </c>
      <c r="J10" s="45">
        <f>40*21</f>
        <v>840</v>
      </c>
      <c r="K10" s="45">
        <f>40*21</f>
        <v>840</v>
      </c>
      <c r="L10" s="45">
        <f>40*22</f>
        <v>880</v>
      </c>
      <c r="M10" s="45">
        <f>40*20</f>
        <v>800</v>
      </c>
      <c r="N10" s="45">
        <f>40*23</f>
        <v>920</v>
      </c>
      <c r="O10" s="45">
        <f>40*21</f>
        <v>840</v>
      </c>
      <c r="P10" s="45">
        <f>SUM(D10:O10)</f>
        <v>10040</v>
      </c>
      <c r="Q10" s="38" t="s">
        <v>319</v>
      </c>
    </row>
    <row r="11" spans="1:17" s="3" customFormat="1" ht="12">
      <c r="A11" s="19" t="s">
        <v>247</v>
      </c>
      <c r="B11" s="15"/>
      <c r="C11" s="16"/>
      <c r="D11" s="17"/>
      <c r="E11" s="17"/>
      <c r="F11" s="17"/>
      <c r="G11" s="17"/>
      <c r="H11" s="17"/>
      <c r="I11" s="17"/>
      <c r="J11" s="17"/>
      <c r="K11" s="17"/>
      <c r="L11" s="17"/>
      <c r="M11" s="17"/>
      <c r="N11" s="17"/>
      <c r="O11" s="17"/>
      <c r="P11" s="49"/>
      <c r="Q11" s="18"/>
    </row>
    <row r="12" spans="1:17" s="3" customFormat="1" ht="24">
      <c r="A12" s="24" t="s">
        <v>248</v>
      </c>
      <c r="B12" s="24" t="s">
        <v>148</v>
      </c>
      <c r="C12" s="24" t="s">
        <v>44</v>
      </c>
      <c r="D12" s="69">
        <v>5</v>
      </c>
      <c r="E12" s="69">
        <v>4</v>
      </c>
      <c r="F12" s="69">
        <v>5</v>
      </c>
      <c r="G12" s="69">
        <v>5</v>
      </c>
      <c r="H12" s="69">
        <v>4</v>
      </c>
      <c r="I12" s="69">
        <v>5</v>
      </c>
      <c r="J12" s="69">
        <v>4</v>
      </c>
      <c r="K12" s="69">
        <v>5</v>
      </c>
      <c r="L12" s="69">
        <v>4</v>
      </c>
      <c r="M12" s="69">
        <v>5</v>
      </c>
      <c r="N12" s="69">
        <v>4</v>
      </c>
      <c r="O12" s="69">
        <v>5</v>
      </c>
      <c r="P12" s="43">
        <f>SUM(D12:O12)</f>
        <v>55</v>
      </c>
      <c r="Q12" s="25" t="s">
        <v>79</v>
      </c>
    </row>
    <row r="13" spans="1:17" s="3" customFormat="1" ht="12">
      <c r="A13" s="24" t="s">
        <v>249</v>
      </c>
      <c r="B13" s="38" t="s">
        <v>62</v>
      </c>
      <c r="C13" s="24" t="s">
        <v>44</v>
      </c>
      <c r="D13" s="69">
        <v>20</v>
      </c>
      <c r="E13" s="69">
        <v>20</v>
      </c>
      <c r="F13" s="69">
        <v>22</v>
      </c>
      <c r="G13" s="69">
        <v>19</v>
      </c>
      <c r="H13" s="69">
        <v>19</v>
      </c>
      <c r="I13" s="69">
        <v>23</v>
      </c>
      <c r="J13" s="69">
        <v>21</v>
      </c>
      <c r="K13" s="69">
        <v>21</v>
      </c>
      <c r="L13" s="69">
        <v>22</v>
      </c>
      <c r="M13" s="69">
        <v>20</v>
      </c>
      <c r="N13" s="69">
        <v>23</v>
      </c>
      <c r="O13" s="69">
        <v>21</v>
      </c>
      <c r="P13" s="43">
        <f>SUM(D13:O13)</f>
        <v>251</v>
      </c>
      <c r="Q13" s="28" t="s">
        <v>64</v>
      </c>
    </row>
    <row r="14" spans="1:17" s="3" customFormat="1" ht="12">
      <c r="A14" s="24" t="s">
        <v>250</v>
      </c>
      <c r="B14" s="38" t="s">
        <v>63</v>
      </c>
      <c r="C14" s="24" t="s">
        <v>44</v>
      </c>
      <c r="D14" s="69">
        <v>0</v>
      </c>
      <c r="E14" s="69">
        <v>0</v>
      </c>
      <c r="F14" s="45">
        <v>1</v>
      </c>
      <c r="G14" s="69">
        <v>0</v>
      </c>
      <c r="H14" s="69">
        <v>0</v>
      </c>
      <c r="I14" s="69">
        <v>1</v>
      </c>
      <c r="J14" s="69">
        <v>0</v>
      </c>
      <c r="K14" s="69">
        <v>0</v>
      </c>
      <c r="L14" s="69">
        <v>1</v>
      </c>
      <c r="M14" s="69">
        <v>0</v>
      </c>
      <c r="N14" s="69">
        <v>0</v>
      </c>
      <c r="O14" s="69">
        <v>1</v>
      </c>
      <c r="P14" s="43">
        <f>SUM(D14:O14)</f>
        <v>4</v>
      </c>
      <c r="Q14" s="28" t="s">
        <v>78</v>
      </c>
    </row>
    <row r="15" spans="1:17" s="3" customFormat="1" ht="12">
      <c r="A15" s="19" t="s">
        <v>251</v>
      </c>
      <c r="B15" s="15"/>
      <c r="C15" s="16"/>
      <c r="D15" s="17"/>
      <c r="E15" s="17"/>
      <c r="F15" s="17"/>
      <c r="G15" s="17"/>
      <c r="H15" s="17"/>
      <c r="I15" s="17"/>
      <c r="J15" s="17"/>
      <c r="K15" s="17"/>
      <c r="L15" s="17"/>
      <c r="M15" s="17"/>
      <c r="N15" s="17"/>
      <c r="O15" s="17"/>
      <c r="P15" s="49"/>
      <c r="Q15" s="66"/>
    </row>
    <row r="16" spans="1:17" s="58" customFormat="1" ht="24">
      <c r="A16" s="28">
        <v>5.4</v>
      </c>
      <c r="B16" s="38" t="s">
        <v>45</v>
      </c>
      <c r="C16" s="27" t="s">
        <v>46</v>
      </c>
      <c r="D16" s="45">
        <v>860669.5508</v>
      </c>
      <c r="E16" s="45">
        <v>640583.314</v>
      </c>
      <c r="F16" s="45">
        <v>604986.8853</v>
      </c>
      <c r="G16" s="45">
        <v>486351.8397</v>
      </c>
      <c r="H16" s="45">
        <v>517878.5625</v>
      </c>
      <c r="I16" s="45">
        <v>749699.0316</v>
      </c>
      <c r="J16" s="45">
        <v>1052528.8148999999</v>
      </c>
      <c r="K16" s="45">
        <v>1461289.5152999999</v>
      </c>
      <c r="L16" s="45">
        <v>995151.2660999999</v>
      </c>
      <c r="M16" s="45">
        <v>954511.9704</v>
      </c>
      <c r="N16" s="45">
        <v>640859.1129</v>
      </c>
      <c r="O16" s="45">
        <v>650488.9113</v>
      </c>
      <c r="P16" s="45">
        <f>SUM(D16:O16)</f>
        <v>9614998.774799999</v>
      </c>
      <c r="Q16" s="7" t="s">
        <v>232</v>
      </c>
    </row>
    <row r="17" spans="1:17" s="3" customFormat="1" ht="12">
      <c r="A17" s="208" t="s">
        <v>252</v>
      </c>
      <c r="B17" s="209"/>
      <c r="C17" s="209"/>
      <c r="D17" s="209"/>
      <c r="E17" s="209"/>
      <c r="F17" s="209"/>
      <c r="G17" s="209"/>
      <c r="H17" s="209"/>
      <c r="I17" s="209"/>
      <c r="J17" s="209"/>
      <c r="K17" s="209"/>
      <c r="L17" s="209"/>
      <c r="M17" s="209"/>
      <c r="N17" s="209"/>
      <c r="O17" s="209"/>
      <c r="P17" s="209"/>
      <c r="Q17" s="210"/>
    </row>
    <row r="18" spans="1:17" s="2" customFormat="1" ht="12">
      <c r="A18" s="4" t="s">
        <v>21</v>
      </c>
      <c r="B18" s="5" t="s">
        <v>18</v>
      </c>
      <c r="C18" s="40"/>
      <c r="D18" s="41"/>
      <c r="E18" s="41"/>
      <c r="F18" s="41"/>
      <c r="G18" s="41"/>
      <c r="H18" s="41"/>
      <c r="I18" s="41"/>
      <c r="J18" s="41"/>
      <c r="K18" s="41"/>
      <c r="L18" s="41"/>
      <c r="M18" s="41"/>
      <c r="N18" s="41"/>
      <c r="O18" s="41"/>
      <c r="P18" s="50"/>
      <c r="Q18" s="40"/>
    </row>
    <row r="19" spans="1:17" s="2" customFormat="1" ht="12">
      <c r="A19" s="21" t="s">
        <v>253</v>
      </c>
      <c r="B19" s="5" t="s">
        <v>149</v>
      </c>
      <c r="C19" s="40"/>
      <c r="D19" s="41"/>
      <c r="E19" s="41"/>
      <c r="F19" s="41"/>
      <c r="G19" s="41"/>
      <c r="H19" s="41"/>
      <c r="I19" s="41"/>
      <c r="J19" s="41"/>
      <c r="K19" s="41"/>
      <c r="L19" s="41"/>
      <c r="M19" s="41"/>
      <c r="N19" s="41"/>
      <c r="O19" s="41"/>
      <c r="P19" s="50"/>
      <c r="Q19" s="40"/>
    </row>
    <row r="20" spans="1:17" s="2" customFormat="1" ht="94.5" customHeight="1">
      <c r="A20" s="21" t="s">
        <v>254</v>
      </c>
      <c r="B20" s="5" t="s">
        <v>110</v>
      </c>
      <c r="C20" s="26" t="s">
        <v>47</v>
      </c>
      <c r="D20" s="33">
        <f>SUM(474757-333404)*1.0449</f>
        <v>147699.7497</v>
      </c>
      <c r="E20" s="32">
        <f>SUM(280630-200959)*1.0449</f>
        <v>83248.2279</v>
      </c>
      <c r="F20" s="32">
        <f>SUM(265887-276497+86208)*1.0449</f>
        <v>78992.3502</v>
      </c>
      <c r="G20" s="32">
        <f>SUM(574862-882803+391728)*1.0449</f>
        <v>87549.03629999999</v>
      </c>
      <c r="H20" s="32">
        <f>SUM(1420955-217365-477936)*1.0449</f>
        <v>758235.8646</v>
      </c>
      <c r="I20" s="32">
        <f>SUM(2584794-332010)*1.0449</f>
        <v>2353934.0016</v>
      </c>
      <c r="J20" s="32">
        <f>SUM(3551089-1599455)*1.0449</f>
        <v>2039262.3665999998</v>
      </c>
      <c r="K20" s="32">
        <f>SUM(4900963-187835)*1.0449</f>
        <v>4924747.447199999</v>
      </c>
      <c r="L20" s="32">
        <f>SUM(1899639-820049)*1.0449</f>
        <v>1128063.591</v>
      </c>
      <c r="M20" s="32">
        <f>SUM(1027125-287607)*1.0449</f>
        <v>772722.3581999999</v>
      </c>
      <c r="N20" s="32">
        <f>SUM(340490-277894)*1.0449</f>
        <v>65406.560399999995</v>
      </c>
      <c r="O20" s="32">
        <f>SUM(1070428-169245)*1.0449</f>
        <v>941646.1166999999</v>
      </c>
      <c r="P20" s="51">
        <f>SUM(D20:O20)</f>
        <v>13381507.670399997</v>
      </c>
      <c r="Q20" s="7"/>
    </row>
    <row r="21" spans="1:17" s="11" customFormat="1" ht="84">
      <c r="A21" s="21" t="s">
        <v>254</v>
      </c>
      <c r="B21" s="7" t="s">
        <v>110</v>
      </c>
      <c r="C21" s="27" t="s">
        <v>48</v>
      </c>
      <c r="D21" s="32">
        <f>7162*1.0449</f>
        <v>7483.573799999999</v>
      </c>
      <c r="E21" s="32">
        <f>5761*1.0449</f>
        <v>6019.6689</v>
      </c>
      <c r="F21" s="32">
        <f>2592*1.0449</f>
        <v>2708.3808</v>
      </c>
      <c r="G21" s="32">
        <f>38592*1.0449</f>
        <v>40324.7808</v>
      </c>
      <c r="H21" s="32">
        <f>8003*1.0449</f>
        <v>8362.3347</v>
      </c>
      <c r="I21" s="32">
        <f>8115*1.0449</f>
        <v>8479.3635</v>
      </c>
      <c r="J21" s="32">
        <f>2553*1.0449</f>
        <v>2667.6297</v>
      </c>
      <c r="K21" s="32">
        <f>3171*1.0449</f>
        <v>3313.3779</v>
      </c>
      <c r="L21" s="32">
        <f>995*1.0449</f>
        <v>1039.6754999999998</v>
      </c>
      <c r="M21" s="32">
        <f>2190*1.0449</f>
        <v>2288.3309999999997</v>
      </c>
      <c r="N21" s="32">
        <f>1266*1.0449</f>
        <v>1322.8434</v>
      </c>
      <c r="O21" s="32">
        <f>742*1.0449</f>
        <v>775.3158</v>
      </c>
      <c r="P21" s="57">
        <f>SUM(D21:O21)</f>
        <v>84785.2758</v>
      </c>
      <c r="Q21" s="7" t="s">
        <v>202</v>
      </c>
    </row>
    <row r="22" spans="1:17" s="2" customFormat="1" ht="60">
      <c r="A22" s="21" t="s">
        <v>254</v>
      </c>
      <c r="B22" s="5" t="s">
        <v>110</v>
      </c>
      <c r="C22" s="27" t="s">
        <v>144</v>
      </c>
      <c r="D22" s="55" t="s">
        <v>59</v>
      </c>
      <c r="E22" s="55" t="s">
        <v>59</v>
      </c>
      <c r="F22" s="55" t="s">
        <v>59</v>
      </c>
      <c r="G22" s="55" t="s">
        <v>59</v>
      </c>
      <c r="H22" s="55" t="s">
        <v>59</v>
      </c>
      <c r="I22" s="55" t="s">
        <v>59</v>
      </c>
      <c r="J22" s="55" t="s">
        <v>59</v>
      </c>
      <c r="K22" s="55" t="s">
        <v>59</v>
      </c>
      <c r="L22" s="55" t="s">
        <v>59</v>
      </c>
      <c r="M22" s="55" t="s">
        <v>59</v>
      </c>
      <c r="N22" s="55" t="s">
        <v>59</v>
      </c>
      <c r="O22" s="55" t="s">
        <v>59</v>
      </c>
      <c r="P22" s="55" t="s">
        <v>59</v>
      </c>
      <c r="Q22" s="7" t="s">
        <v>192</v>
      </c>
    </row>
    <row r="23" spans="1:17" s="2" customFormat="1" ht="84">
      <c r="A23" s="21" t="s">
        <v>254</v>
      </c>
      <c r="B23" s="5" t="s">
        <v>110</v>
      </c>
      <c r="C23" s="26" t="s">
        <v>49</v>
      </c>
      <c r="D23" s="8" t="s">
        <v>59</v>
      </c>
      <c r="E23" s="8" t="s">
        <v>59</v>
      </c>
      <c r="F23" s="8" t="s">
        <v>59</v>
      </c>
      <c r="G23" s="8" t="s">
        <v>59</v>
      </c>
      <c r="H23" s="8" t="s">
        <v>59</v>
      </c>
      <c r="I23" s="8" t="s">
        <v>59</v>
      </c>
      <c r="J23" s="8" t="s">
        <v>59</v>
      </c>
      <c r="K23" s="8" t="s">
        <v>59</v>
      </c>
      <c r="L23" s="8" t="s">
        <v>59</v>
      </c>
      <c r="M23" s="8" t="s">
        <v>59</v>
      </c>
      <c r="N23" s="8" t="s">
        <v>59</v>
      </c>
      <c r="O23" s="8" t="s">
        <v>59</v>
      </c>
      <c r="P23" s="46" t="s">
        <v>59</v>
      </c>
      <c r="Q23" s="7" t="s">
        <v>200</v>
      </c>
    </row>
    <row r="24" spans="1:17" s="2" customFormat="1" ht="96">
      <c r="A24" s="21" t="s">
        <v>254</v>
      </c>
      <c r="B24" s="5" t="s">
        <v>110</v>
      </c>
      <c r="C24" s="26" t="s">
        <v>50</v>
      </c>
      <c r="D24" s="8" t="s">
        <v>59</v>
      </c>
      <c r="E24" s="8" t="s">
        <v>59</v>
      </c>
      <c r="F24" s="8" t="s">
        <v>59</v>
      </c>
      <c r="G24" s="8" t="s">
        <v>59</v>
      </c>
      <c r="H24" s="8" t="s">
        <v>59</v>
      </c>
      <c r="I24" s="8" t="s">
        <v>59</v>
      </c>
      <c r="J24" s="8" t="s">
        <v>59</v>
      </c>
      <c r="K24" s="8" t="s">
        <v>59</v>
      </c>
      <c r="L24" s="8" t="s">
        <v>59</v>
      </c>
      <c r="M24" s="8" t="s">
        <v>59</v>
      </c>
      <c r="N24" s="8" t="s">
        <v>59</v>
      </c>
      <c r="O24" s="8" t="s">
        <v>59</v>
      </c>
      <c r="P24" s="46" t="s">
        <v>59</v>
      </c>
      <c r="Q24" s="5" t="s">
        <v>88</v>
      </c>
    </row>
    <row r="25" spans="1:17" s="2" customFormat="1" ht="120">
      <c r="A25" s="21" t="s">
        <v>254</v>
      </c>
      <c r="B25" s="5" t="s">
        <v>110</v>
      </c>
      <c r="C25" s="26" t="s">
        <v>51</v>
      </c>
      <c r="D25" s="8" t="s">
        <v>59</v>
      </c>
      <c r="E25" s="8" t="s">
        <v>59</v>
      </c>
      <c r="F25" s="8" t="s">
        <v>59</v>
      </c>
      <c r="G25" s="8" t="s">
        <v>59</v>
      </c>
      <c r="H25" s="8" t="s">
        <v>59</v>
      </c>
      <c r="I25" s="8" t="s">
        <v>59</v>
      </c>
      <c r="J25" s="8" t="s">
        <v>59</v>
      </c>
      <c r="K25" s="8" t="s">
        <v>59</v>
      </c>
      <c r="L25" s="8" t="s">
        <v>59</v>
      </c>
      <c r="M25" s="8" t="s">
        <v>59</v>
      </c>
      <c r="N25" s="8" t="s">
        <v>59</v>
      </c>
      <c r="O25" s="8" t="s">
        <v>59</v>
      </c>
      <c r="P25" s="46" t="s">
        <v>59</v>
      </c>
      <c r="Q25" s="5" t="s">
        <v>84</v>
      </c>
    </row>
    <row r="26" spans="1:17" s="2" customFormat="1" ht="84">
      <c r="A26" s="21" t="s">
        <v>254</v>
      </c>
      <c r="B26" s="5" t="s">
        <v>110</v>
      </c>
      <c r="C26" s="27" t="s">
        <v>75</v>
      </c>
      <c r="D26" s="8" t="s">
        <v>59</v>
      </c>
      <c r="E26" s="8" t="s">
        <v>59</v>
      </c>
      <c r="F26" s="8" t="s">
        <v>59</v>
      </c>
      <c r="G26" s="8" t="s">
        <v>59</v>
      </c>
      <c r="H26" s="8" t="s">
        <v>59</v>
      </c>
      <c r="I26" s="8" t="s">
        <v>59</v>
      </c>
      <c r="J26" s="8" t="s">
        <v>59</v>
      </c>
      <c r="K26" s="8" t="s">
        <v>59</v>
      </c>
      <c r="L26" s="8" t="s">
        <v>59</v>
      </c>
      <c r="M26" s="8" t="s">
        <v>59</v>
      </c>
      <c r="N26" s="8" t="s">
        <v>59</v>
      </c>
      <c r="O26" s="8" t="s">
        <v>59</v>
      </c>
      <c r="P26" s="46" t="s">
        <v>59</v>
      </c>
      <c r="Q26" s="26" t="s">
        <v>85</v>
      </c>
    </row>
    <row r="27" spans="1:17" s="2" customFormat="1" ht="36">
      <c r="A27" s="109" t="s">
        <v>255</v>
      </c>
      <c r="B27" s="110"/>
      <c r="C27" s="111"/>
      <c r="D27" s="113">
        <f>SUM(D20:D26)</f>
        <v>155183.3235</v>
      </c>
      <c r="E27" s="113">
        <f aca="true" t="shared" si="0" ref="E27:O27">SUM(E20:E26)</f>
        <v>89267.8968</v>
      </c>
      <c r="F27" s="113">
        <f t="shared" si="0"/>
        <v>81700.731</v>
      </c>
      <c r="G27" s="113">
        <f t="shared" si="0"/>
        <v>127873.81709999999</v>
      </c>
      <c r="H27" s="113">
        <f t="shared" si="0"/>
        <v>766598.1993</v>
      </c>
      <c r="I27" s="113">
        <f t="shared" si="0"/>
        <v>2362413.3651</v>
      </c>
      <c r="J27" s="113">
        <f t="shared" si="0"/>
        <v>2041929.9962999998</v>
      </c>
      <c r="K27" s="113">
        <f t="shared" si="0"/>
        <v>4928060.825099999</v>
      </c>
      <c r="L27" s="113">
        <f t="shared" si="0"/>
        <v>1129103.2665</v>
      </c>
      <c r="M27" s="113">
        <f t="shared" si="0"/>
        <v>775010.6891999999</v>
      </c>
      <c r="N27" s="113">
        <f t="shared" si="0"/>
        <v>66729.4038</v>
      </c>
      <c r="O27" s="113">
        <f t="shared" si="0"/>
        <v>942421.4324999999</v>
      </c>
      <c r="P27" s="114">
        <f>SUM(D27:O27)</f>
        <v>13466292.946199996</v>
      </c>
      <c r="Q27" s="111" t="s">
        <v>277</v>
      </c>
    </row>
    <row r="28" spans="1:17" s="2" customFormat="1" ht="48">
      <c r="A28" s="21" t="s">
        <v>256</v>
      </c>
      <c r="B28" s="5" t="s">
        <v>30</v>
      </c>
      <c r="C28" s="5" t="s">
        <v>99</v>
      </c>
      <c r="D28" s="8" t="s">
        <v>59</v>
      </c>
      <c r="E28" s="8" t="s">
        <v>59</v>
      </c>
      <c r="F28" s="8" t="s">
        <v>59</v>
      </c>
      <c r="G28" s="8" t="s">
        <v>59</v>
      </c>
      <c r="H28" s="8" t="s">
        <v>59</v>
      </c>
      <c r="I28" s="8" t="s">
        <v>59</v>
      </c>
      <c r="J28" s="8" t="s">
        <v>59</v>
      </c>
      <c r="K28" s="8" t="s">
        <v>59</v>
      </c>
      <c r="L28" s="8" t="s">
        <v>59</v>
      </c>
      <c r="M28" s="8" t="s">
        <v>59</v>
      </c>
      <c r="N28" s="8" t="s">
        <v>59</v>
      </c>
      <c r="O28" s="8" t="s">
        <v>59</v>
      </c>
      <c r="P28" s="46" t="s">
        <v>59</v>
      </c>
      <c r="Q28" s="7" t="s">
        <v>358</v>
      </c>
    </row>
    <row r="29" spans="1:17" s="2" customFormat="1" ht="36" customHeight="1">
      <c r="A29" s="21" t="s">
        <v>257</v>
      </c>
      <c r="B29" s="5" t="s">
        <v>111</v>
      </c>
      <c r="C29" s="34" t="s">
        <v>61</v>
      </c>
      <c r="D29" s="32">
        <f>0*1.0449</f>
        <v>0</v>
      </c>
      <c r="E29" s="32">
        <f>101*1.0449</f>
        <v>105.5349</v>
      </c>
      <c r="F29" s="32">
        <f>58*1.0449</f>
        <v>60.6042</v>
      </c>
      <c r="G29" s="32">
        <f>0*1.0449</f>
        <v>0</v>
      </c>
      <c r="H29" s="32">
        <f>0*1.0449</f>
        <v>0</v>
      </c>
      <c r="I29" s="32">
        <f>0*1.0449</f>
        <v>0</v>
      </c>
      <c r="J29" s="32">
        <f>0*1.0449</f>
        <v>0</v>
      </c>
      <c r="K29" s="32">
        <f>0*1.0449</f>
        <v>0</v>
      </c>
      <c r="L29" s="32">
        <f>1*1.0449</f>
        <v>1.0449</v>
      </c>
      <c r="M29" s="32">
        <f>0*1.0449</f>
        <v>0</v>
      </c>
      <c r="N29" s="32">
        <f>2*1.0449</f>
        <v>2.0898</v>
      </c>
      <c r="O29" s="32">
        <f>2*1.0449</f>
        <v>2.0898</v>
      </c>
      <c r="P29" s="45">
        <f>SUM(D29:O29)</f>
        <v>171.3636</v>
      </c>
      <c r="Q29" s="7" t="s">
        <v>168</v>
      </c>
    </row>
    <row r="30" spans="1:17" s="2" customFormat="1" ht="60" customHeight="1">
      <c r="A30" s="4" t="s">
        <v>23</v>
      </c>
      <c r="B30" s="5" t="s">
        <v>19</v>
      </c>
      <c r="C30" s="26" t="s">
        <v>52</v>
      </c>
      <c r="D30" s="43">
        <f>D27</f>
        <v>155183.3235</v>
      </c>
      <c r="E30" s="43">
        <f aca="true" t="shared" si="1" ref="E30:O30">E27</f>
        <v>89267.8968</v>
      </c>
      <c r="F30" s="43">
        <f t="shared" si="1"/>
        <v>81700.731</v>
      </c>
      <c r="G30" s="43">
        <f t="shared" si="1"/>
        <v>127873.81709999999</v>
      </c>
      <c r="H30" s="43">
        <f t="shared" si="1"/>
        <v>766598.1993</v>
      </c>
      <c r="I30" s="43">
        <f t="shared" si="1"/>
        <v>2362413.3651</v>
      </c>
      <c r="J30" s="43">
        <f t="shared" si="1"/>
        <v>2041929.9962999998</v>
      </c>
      <c r="K30" s="43">
        <f t="shared" si="1"/>
        <v>4928060.825099999</v>
      </c>
      <c r="L30" s="43">
        <f t="shared" si="1"/>
        <v>1129103.2665</v>
      </c>
      <c r="M30" s="43">
        <f t="shared" si="1"/>
        <v>775010.6891999999</v>
      </c>
      <c r="N30" s="43">
        <f t="shared" si="1"/>
        <v>66729.4038</v>
      </c>
      <c r="O30" s="43">
        <f t="shared" si="1"/>
        <v>942421.4324999999</v>
      </c>
      <c r="P30" s="45">
        <f>SUM(D30:O30)</f>
        <v>13466292.946199996</v>
      </c>
      <c r="Q30" s="7"/>
    </row>
    <row r="31" spans="1:17" s="3" customFormat="1" ht="12">
      <c r="A31" s="208" t="s">
        <v>258</v>
      </c>
      <c r="B31" s="209"/>
      <c r="C31" s="209"/>
      <c r="D31" s="209"/>
      <c r="E31" s="209"/>
      <c r="F31" s="209"/>
      <c r="G31" s="209"/>
      <c r="H31" s="209"/>
      <c r="I31" s="209"/>
      <c r="J31" s="209"/>
      <c r="K31" s="209"/>
      <c r="L31" s="209"/>
      <c r="M31" s="209"/>
      <c r="N31" s="209"/>
      <c r="O31" s="209"/>
      <c r="P31" s="209"/>
      <c r="Q31" s="210"/>
    </row>
    <row r="32" spans="1:17" s="59" customFormat="1" ht="74.25" customHeight="1">
      <c r="A32" s="32" t="s">
        <v>24</v>
      </c>
      <c r="B32" s="27" t="s">
        <v>112</v>
      </c>
      <c r="C32" s="27" t="s">
        <v>53</v>
      </c>
      <c r="D32" s="32">
        <f>SUM(D20:D26)</f>
        <v>155183.3235</v>
      </c>
      <c r="E32" s="32">
        <f aca="true" t="shared" si="2" ref="E32:O32">SUM(E20:E26)</f>
        <v>89267.8968</v>
      </c>
      <c r="F32" s="32">
        <f t="shared" si="2"/>
        <v>81700.731</v>
      </c>
      <c r="G32" s="32">
        <f t="shared" si="2"/>
        <v>127873.81709999999</v>
      </c>
      <c r="H32" s="32">
        <f t="shared" si="2"/>
        <v>766598.1993</v>
      </c>
      <c r="I32" s="32">
        <f t="shared" si="2"/>
        <v>2362413.3651</v>
      </c>
      <c r="J32" s="32">
        <f t="shared" si="2"/>
        <v>2041929.9962999998</v>
      </c>
      <c r="K32" s="32">
        <f t="shared" si="2"/>
        <v>4928060.825099999</v>
      </c>
      <c r="L32" s="32">
        <f t="shared" si="2"/>
        <v>1129103.2665</v>
      </c>
      <c r="M32" s="32">
        <f t="shared" si="2"/>
        <v>775010.6891999999</v>
      </c>
      <c r="N32" s="32">
        <f t="shared" si="2"/>
        <v>66729.4038</v>
      </c>
      <c r="O32" s="32">
        <f t="shared" si="2"/>
        <v>942421.4324999999</v>
      </c>
      <c r="P32" s="45">
        <f>SUM(D32:O32)</f>
        <v>13466292.946199996</v>
      </c>
      <c r="Q32" s="27" t="s">
        <v>288</v>
      </c>
    </row>
    <row r="33" spans="1:17" s="59" customFormat="1" ht="37.5" customHeight="1">
      <c r="A33" s="32" t="s">
        <v>114</v>
      </c>
      <c r="B33" s="27" t="s">
        <v>113</v>
      </c>
      <c r="C33" s="27" t="s">
        <v>171</v>
      </c>
      <c r="D33" s="8" t="s">
        <v>59</v>
      </c>
      <c r="E33" s="8" t="s">
        <v>59</v>
      </c>
      <c r="F33" s="8" t="s">
        <v>59</v>
      </c>
      <c r="G33" s="8" t="s">
        <v>59</v>
      </c>
      <c r="H33" s="8" t="s">
        <v>59</v>
      </c>
      <c r="I33" s="8" t="s">
        <v>59</v>
      </c>
      <c r="J33" s="8" t="s">
        <v>59</v>
      </c>
      <c r="K33" s="8" t="s">
        <v>59</v>
      </c>
      <c r="L33" s="8" t="s">
        <v>59</v>
      </c>
      <c r="M33" s="8" t="s">
        <v>59</v>
      </c>
      <c r="N33" s="8" t="s">
        <v>59</v>
      </c>
      <c r="O33" s="8" t="s">
        <v>59</v>
      </c>
      <c r="P33" s="46" t="s">
        <v>59</v>
      </c>
      <c r="Q33" s="27" t="s">
        <v>289</v>
      </c>
    </row>
    <row r="34" spans="1:17" s="2" customFormat="1" ht="13.5" customHeight="1">
      <c r="A34" s="4" t="s">
        <v>115</v>
      </c>
      <c r="B34" s="5" t="s">
        <v>20</v>
      </c>
      <c r="C34" s="40"/>
      <c r="D34" s="41"/>
      <c r="E34" s="41"/>
      <c r="F34" s="41"/>
      <c r="G34" s="41"/>
      <c r="H34" s="41"/>
      <c r="I34" s="41"/>
      <c r="J34" s="41"/>
      <c r="K34" s="41"/>
      <c r="L34" s="41"/>
      <c r="M34" s="41"/>
      <c r="N34" s="41"/>
      <c r="O34" s="41"/>
      <c r="P34" s="50"/>
      <c r="Q34" s="40"/>
    </row>
    <row r="35" spans="1:17" s="2" customFormat="1" ht="36">
      <c r="A35" s="22" t="s">
        <v>259</v>
      </c>
      <c r="B35" s="5" t="s">
        <v>66</v>
      </c>
      <c r="C35" s="27" t="s">
        <v>150</v>
      </c>
      <c r="D35" s="98">
        <f>303*1.0449</f>
        <v>316.6047</v>
      </c>
      <c r="E35" s="45">
        <f>149*1.0449</f>
        <v>155.6901</v>
      </c>
      <c r="F35" s="45">
        <f>1060*1.0449</f>
        <v>1107.5939999999998</v>
      </c>
      <c r="G35" s="45">
        <f>172*1.0449</f>
        <v>179.72279999999998</v>
      </c>
      <c r="H35" s="45">
        <f>241*1.0449</f>
        <v>251.8209</v>
      </c>
      <c r="I35" s="45">
        <f>307*1.0449</f>
        <v>320.7843</v>
      </c>
      <c r="J35" s="45">
        <f>181*1.0449</f>
        <v>189.12689999999998</v>
      </c>
      <c r="K35" s="45">
        <f>393*1.0449</f>
        <v>410.6457</v>
      </c>
      <c r="L35" s="45">
        <f>172*1.0449</f>
        <v>179.72279999999998</v>
      </c>
      <c r="M35" s="45">
        <f>173*1.0449</f>
        <v>180.7677</v>
      </c>
      <c r="N35" s="45">
        <f>199*1.0449</f>
        <v>207.93509999999998</v>
      </c>
      <c r="O35" s="45">
        <f>194*1.0449</f>
        <v>202.7106</v>
      </c>
      <c r="P35" s="45">
        <f>SUM(D35:O35)</f>
        <v>3703.1255999999994</v>
      </c>
      <c r="Q35" s="67" t="s">
        <v>73</v>
      </c>
    </row>
    <row r="36" spans="1:17" s="2" customFormat="1" ht="74.25" customHeight="1">
      <c r="A36" s="22" t="s">
        <v>259</v>
      </c>
      <c r="B36" s="5" t="s">
        <v>66</v>
      </c>
      <c r="C36" s="27" t="s">
        <v>181</v>
      </c>
      <c r="D36" s="39">
        <f>34148*1.0449</f>
        <v>35681.2452</v>
      </c>
      <c r="E36" s="39">
        <f>40523*1.0449</f>
        <v>42342.4827</v>
      </c>
      <c r="F36" s="39">
        <f>29490*1.0449</f>
        <v>30814.101</v>
      </c>
      <c r="G36" s="39">
        <f>33993*1.0449</f>
        <v>35519.2857</v>
      </c>
      <c r="H36" s="39">
        <f>32895*1.0449</f>
        <v>34371.985499999995</v>
      </c>
      <c r="I36" s="39">
        <f>75415*1.0449</f>
        <v>78801.1335</v>
      </c>
      <c r="J36" s="39">
        <f>150704*1.0449</f>
        <v>157470.6096</v>
      </c>
      <c r="K36" s="39">
        <f>212184*1.0449</f>
        <v>221711.0616</v>
      </c>
      <c r="L36" s="39">
        <f>139256*1.0449</f>
        <v>145508.5944</v>
      </c>
      <c r="M36" s="39">
        <f>109226*1.0449</f>
        <v>114130.2474</v>
      </c>
      <c r="N36" s="39">
        <f>43060*1.0449</f>
        <v>44993.394</v>
      </c>
      <c r="O36" s="39">
        <f>53364*1.0449</f>
        <v>55760.0436</v>
      </c>
      <c r="P36" s="51">
        <f>SUM(D36:O36)</f>
        <v>997104.1841999999</v>
      </c>
      <c r="Q36" s="35" t="s">
        <v>211</v>
      </c>
    </row>
    <row r="37" spans="1:17" s="2" customFormat="1" ht="36">
      <c r="A37" s="22" t="s">
        <v>259</v>
      </c>
      <c r="B37" s="5" t="s">
        <v>66</v>
      </c>
      <c r="C37" s="5" t="s">
        <v>182</v>
      </c>
      <c r="D37" s="55" t="s">
        <v>59</v>
      </c>
      <c r="E37" s="55" t="s">
        <v>59</v>
      </c>
      <c r="F37" s="55" t="s">
        <v>59</v>
      </c>
      <c r="G37" s="55" t="s">
        <v>59</v>
      </c>
      <c r="H37" s="55" t="s">
        <v>59</v>
      </c>
      <c r="I37" s="55" t="s">
        <v>59</v>
      </c>
      <c r="J37" s="55" t="s">
        <v>59</v>
      </c>
      <c r="K37" s="55" t="s">
        <v>59</v>
      </c>
      <c r="L37" s="55" t="s">
        <v>59</v>
      </c>
      <c r="M37" s="55" t="s">
        <v>59</v>
      </c>
      <c r="N37" s="55" t="s">
        <v>59</v>
      </c>
      <c r="O37" s="55" t="s">
        <v>59</v>
      </c>
      <c r="P37" s="55" t="s">
        <v>59</v>
      </c>
      <c r="Q37" s="5" t="s">
        <v>60</v>
      </c>
    </row>
    <row r="38" spans="1:17" s="2" customFormat="1" ht="36">
      <c r="A38" s="22" t="s">
        <v>259</v>
      </c>
      <c r="B38" s="7" t="s">
        <v>66</v>
      </c>
      <c r="C38" s="7" t="s">
        <v>183</v>
      </c>
      <c r="D38" s="33">
        <f>498*1.0449</f>
        <v>520.3602</v>
      </c>
      <c r="E38" s="32">
        <f>338*1.0449</f>
        <v>353.1762</v>
      </c>
      <c r="F38" s="32">
        <f>40*1.0449</f>
        <v>41.796</v>
      </c>
      <c r="G38" s="32">
        <f>351*1.0449</f>
        <v>366.75989999999996</v>
      </c>
      <c r="H38" s="32">
        <f>1*1.0449</f>
        <v>1.0449</v>
      </c>
      <c r="I38" s="32">
        <f>226*1.0449</f>
        <v>236.14739999999998</v>
      </c>
      <c r="J38" s="32">
        <f>666*1.0449</f>
        <v>695.9033999999999</v>
      </c>
      <c r="K38" s="32">
        <f>522*1.0449</f>
        <v>545.4377999999999</v>
      </c>
      <c r="L38" s="32">
        <f>33*1.0449</f>
        <v>34.4817</v>
      </c>
      <c r="M38" s="32">
        <f>231*1.0449</f>
        <v>241.37189999999998</v>
      </c>
      <c r="N38" s="32">
        <f>29*1.0449</f>
        <v>30.3021</v>
      </c>
      <c r="O38" s="36">
        <f>29*1.0449</f>
        <v>30.3021</v>
      </c>
      <c r="P38" s="57">
        <f>SUM(D38:O38)</f>
        <v>3097.0835999999995</v>
      </c>
      <c r="Q38" s="7" t="s">
        <v>83</v>
      </c>
    </row>
    <row r="39" spans="1:17" s="2" customFormat="1" ht="36">
      <c r="A39" s="22" t="s">
        <v>259</v>
      </c>
      <c r="B39" s="5" t="s">
        <v>66</v>
      </c>
      <c r="C39" s="26" t="s">
        <v>184</v>
      </c>
      <c r="D39" s="37" t="s">
        <v>59</v>
      </c>
      <c r="E39" s="37" t="s">
        <v>59</v>
      </c>
      <c r="F39" s="37" t="s">
        <v>59</v>
      </c>
      <c r="G39" s="37" t="s">
        <v>59</v>
      </c>
      <c r="H39" s="37" t="s">
        <v>59</v>
      </c>
      <c r="I39" s="37" t="s">
        <v>59</v>
      </c>
      <c r="J39" s="37" t="s">
        <v>59</v>
      </c>
      <c r="K39" s="37" t="s">
        <v>59</v>
      </c>
      <c r="L39" s="37" t="s">
        <v>59</v>
      </c>
      <c r="M39" s="37" t="s">
        <v>59</v>
      </c>
      <c r="N39" s="37" t="s">
        <v>59</v>
      </c>
      <c r="O39" s="37" t="s">
        <v>59</v>
      </c>
      <c r="P39" s="46" t="s">
        <v>59</v>
      </c>
      <c r="Q39" s="5" t="s">
        <v>86</v>
      </c>
    </row>
    <row r="40" spans="1:17" s="2" customFormat="1" ht="48">
      <c r="A40" s="22" t="s">
        <v>259</v>
      </c>
      <c r="B40" s="27" t="s">
        <v>66</v>
      </c>
      <c r="C40" s="26" t="s">
        <v>185</v>
      </c>
      <c r="D40" s="37" t="s">
        <v>59</v>
      </c>
      <c r="E40" s="37" t="s">
        <v>59</v>
      </c>
      <c r="F40" s="37" t="s">
        <v>59</v>
      </c>
      <c r="G40" s="37" t="s">
        <v>59</v>
      </c>
      <c r="H40" s="37" t="s">
        <v>59</v>
      </c>
      <c r="I40" s="37" t="s">
        <v>59</v>
      </c>
      <c r="J40" s="37" t="s">
        <v>59</v>
      </c>
      <c r="K40" s="37" t="s">
        <v>59</v>
      </c>
      <c r="L40" s="37" t="s">
        <v>59</v>
      </c>
      <c r="M40" s="37" t="s">
        <v>59</v>
      </c>
      <c r="N40" s="37" t="s">
        <v>59</v>
      </c>
      <c r="O40" s="37" t="s">
        <v>59</v>
      </c>
      <c r="P40" s="46" t="s">
        <v>59</v>
      </c>
      <c r="Q40" s="5" t="s">
        <v>176</v>
      </c>
    </row>
    <row r="41" spans="1:17" s="2" customFormat="1" ht="36">
      <c r="A41" s="22" t="s">
        <v>259</v>
      </c>
      <c r="B41" s="5" t="s">
        <v>66</v>
      </c>
      <c r="C41" s="26" t="s">
        <v>186</v>
      </c>
      <c r="D41" s="37" t="s">
        <v>59</v>
      </c>
      <c r="E41" s="37" t="s">
        <v>59</v>
      </c>
      <c r="F41" s="37" t="s">
        <v>59</v>
      </c>
      <c r="G41" s="37" t="s">
        <v>59</v>
      </c>
      <c r="H41" s="37" t="s">
        <v>59</v>
      </c>
      <c r="I41" s="37" t="s">
        <v>59</v>
      </c>
      <c r="J41" s="37" t="s">
        <v>59</v>
      </c>
      <c r="K41" s="37" t="s">
        <v>59</v>
      </c>
      <c r="L41" s="37" t="s">
        <v>59</v>
      </c>
      <c r="M41" s="37" t="s">
        <v>59</v>
      </c>
      <c r="N41" s="37" t="s">
        <v>59</v>
      </c>
      <c r="O41" s="37" t="s">
        <v>59</v>
      </c>
      <c r="P41" s="46" t="s">
        <v>59</v>
      </c>
      <c r="Q41" s="5" t="s">
        <v>97</v>
      </c>
    </row>
    <row r="42" spans="1:17" s="60" customFormat="1" ht="36">
      <c r="A42" s="22" t="s">
        <v>259</v>
      </c>
      <c r="B42" s="26" t="s">
        <v>66</v>
      </c>
      <c r="C42" s="27" t="s">
        <v>187</v>
      </c>
      <c r="D42" s="43">
        <f>654*1.0449</f>
        <v>683.3646</v>
      </c>
      <c r="E42" s="43">
        <f>1915*1.0449</f>
        <v>2000.9834999999998</v>
      </c>
      <c r="F42" s="43">
        <f>211*1.0449</f>
        <v>220.4739</v>
      </c>
      <c r="G42" s="43">
        <f>65*1.0449</f>
        <v>67.9185</v>
      </c>
      <c r="H42" s="43">
        <f>278*1.0449</f>
        <v>290.4822</v>
      </c>
      <c r="I42" s="43">
        <f>1132*1.0449</f>
        <v>1182.8267999999998</v>
      </c>
      <c r="J42" s="43">
        <f>2448*1.0449</f>
        <v>2557.9152</v>
      </c>
      <c r="K42" s="43">
        <f>4874*1.0449</f>
        <v>5092.8426</v>
      </c>
      <c r="L42" s="43">
        <f>2659*1.0449</f>
        <v>2778.3891</v>
      </c>
      <c r="M42" s="43">
        <f>2621*1.0449</f>
        <v>2738.6829</v>
      </c>
      <c r="N42" s="43">
        <f>367*1.0449</f>
        <v>383.4783</v>
      </c>
      <c r="O42" s="43">
        <f>925*1.0449</f>
        <v>966.5324999999999</v>
      </c>
      <c r="P42" s="43">
        <f aca="true" t="shared" si="3" ref="P42:P48">SUM(D42:O42)</f>
        <v>18963.8901</v>
      </c>
      <c r="Q42" s="5" t="s">
        <v>98</v>
      </c>
    </row>
    <row r="43" spans="1:17" s="2" customFormat="1" ht="84">
      <c r="A43" s="109" t="s">
        <v>260</v>
      </c>
      <c r="B43" s="110"/>
      <c r="C43" s="111"/>
      <c r="D43" s="113">
        <f>SUM(D35:D42)</f>
        <v>37201.574700000005</v>
      </c>
      <c r="E43" s="113">
        <f aca="true" t="shared" si="4" ref="E43:O43">SUM(E35:E42)</f>
        <v>44852.332500000004</v>
      </c>
      <c r="F43" s="113">
        <f t="shared" si="4"/>
        <v>32183.9649</v>
      </c>
      <c r="G43" s="113">
        <f t="shared" si="4"/>
        <v>36133.6869</v>
      </c>
      <c r="H43" s="113">
        <f t="shared" si="4"/>
        <v>34915.33349999999</v>
      </c>
      <c r="I43" s="113">
        <f t="shared" si="4"/>
        <v>80540.89199999999</v>
      </c>
      <c r="J43" s="113">
        <f t="shared" si="4"/>
        <v>160913.5551</v>
      </c>
      <c r="K43" s="113">
        <f t="shared" si="4"/>
        <v>227759.9877</v>
      </c>
      <c r="L43" s="113">
        <f t="shared" si="4"/>
        <v>148501.188</v>
      </c>
      <c r="M43" s="113">
        <f t="shared" si="4"/>
        <v>117291.06989999999</v>
      </c>
      <c r="N43" s="113">
        <f t="shared" si="4"/>
        <v>45615.109500000006</v>
      </c>
      <c r="O43" s="113">
        <f t="shared" si="4"/>
        <v>56959.5888</v>
      </c>
      <c r="P43" s="114">
        <f t="shared" si="3"/>
        <v>1022868.2835</v>
      </c>
      <c r="Q43" s="111" t="s">
        <v>322</v>
      </c>
    </row>
    <row r="44" spans="1:17" s="2" customFormat="1" ht="36">
      <c r="A44" s="22" t="s">
        <v>259</v>
      </c>
      <c r="B44" s="26" t="s">
        <v>66</v>
      </c>
      <c r="C44" s="27" t="s">
        <v>244</v>
      </c>
      <c r="D44" s="45">
        <f>5258*1.0449</f>
        <v>5494.084199999999</v>
      </c>
      <c r="E44" s="45">
        <f>3659*1.0449</f>
        <v>3823.2891</v>
      </c>
      <c r="F44" s="45">
        <f>1819*1.0449</f>
        <v>1900.6731</v>
      </c>
      <c r="G44" s="45">
        <f>1679*1.0449</f>
        <v>1754.3871</v>
      </c>
      <c r="H44" s="45">
        <f>1948*1.0449</f>
        <v>2035.4651999999999</v>
      </c>
      <c r="I44" s="45">
        <f>2315*1.0449</f>
        <v>2418.9435</v>
      </c>
      <c r="J44" s="45">
        <f>3102*1.0449</f>
        <v>3241.2798</v>
      </c>
      <c r="K44" s="45">
        <f>4243*1.0449</f>
        <v>4433.5107</v>
      </c>
      <c r="L44" s="45">
        <f>2687*1.0449</f>
        <v>2807.6463</v>
      </c>
      <c r="M44" s="45">
        <f>3382*1.0449</f>
        <v>3533.8518</v>
      </c>
      <c r="N44" s="45">
        <f>2228*1.0449</f>
        <v>2328.0371999999998</v>
      </c>
      <c r="O44" s="45">
        <f>2837*1.0449</f>
        <v>2964.3813</v>
      </c>
      <c r="P44" s="45">
        <f t="shared" si="3"/>
        <v>36735.5493</v>
      </c>
      <c r="Q44" s="27" t="s">
        <v>243</v>
      </c>
    </row>
    <row r="45" spans="1:17" s="59" customFormat="1" ht="39.75" customHeight="1">
      <c r="A45" s="105" t="s">
        <v>261</v>
      </c>
      <c r="B45" s="27" t="s">
        <v>32</v>
      </c>
      <c r="C45" s="27" t="s">
        <v>67</v>
      </c>
      <c r="D45" s="45">
        <f aca="true" t="shared" si="5" ref="D45:O45">SUM(D36:D42)</f>
        <v>36884.97</v>
      </c>
      <c r="E45" s="45">
        <f t="shared" si="5"/>
        <v>44696.642400000004</v>
      </c>
      <c r="F45" s="45">
        <f t="shared" si="5"/>
        <v>31076.370899999998</v>
      </c>
      <c r="G45" s="45">
        <f t="shared" si="5"/>
        <v>35953.9641</v>
      </c>
      <c r="H45" s="45">
        <f t="shared" si="5"/>
        <v>34663.512599999995</v>
      </c>
      <c r="I45" s="45">
        <f t="shared" si="5"/>
        <v>80220.1077</v>
      </c>
      <c r="J45" s="45">
        <f t="shared" si="5"/>
        <v>160724.4282</v>
      </c>
      <c r="K45" s="45">
        <f t="shared" si="5"/>
        <v>227349.342</v>
      </c>
      <c r="L45" s="45">
        <f t="shared" si="5"/>
        <v>148321.4652</v>
      </c>
      <c r="M45" s="45">
        <f t="shared" si="5"/>
        <v>117110.30219999999</v>
      </c>
      <c r="N45" s="45">
        <f t="shared" si="5"/>
        <v>45407.1744</v>
      </c>
      <c r="O45" s="45">
        <f t="shared" si="5"/>
        <v>56756.8782</v>
      </c>
      <c r="P45" s="45">
        <f t="shared" si="3"/>
        <v>1019165.1579</v>
      </c>
      <c r="Q45" s="27" t="s">
        <v>91</v>
      </c>
    </row>
    <row r="46" spans="1:18" s="2" customFormat="1" ht="36.75" customHeight="1">
      <c r="A46" s="105" t="s">
        <v>261</v>
      </c>
      <c r="B46" s="7" t="s">
        <v>32</v>
      </c>
      <c r="C46" s="7" t="s">
        <v>68</v>
      </c>
      <c r="D46" s="45">
        <f>D35</f>
        <v>316.6047</v>
      </c>
      <c r="E46" s="45">
        <f aca="true" t="shared" si="6" ref="E46:O46">E35</f>
        <v>155.6901</v>
      </c>
      <c r="F46" s="45">
        <f t="shared" si="6"/>
        <v>1107.5939999999998</v>
      </c>
      <c r="G46" s="45">
        <f t="shared" si="6"/>
        <v>179.72279999999998</v>
      </c>
      <c r="H46" s="45">
        <f t="shared" si="6"/>
        <v>251.8209</v>
      </c>
      <c r="I46" s="45">
        <f t="shared" si="6"/>
        <v>320.7843</v>
      </c>
      <c r="J46" s="45">
        <f t="shared" si="6"/>
        <v>189.12689999999998</v>
      </c>
      <c r="K46" s="45">
        <f t="shared" si="6"/>
        <v>410.6457</v>
      </c>
      <c r="L46" s="45">
        <f t="shared" si="6"/>
        <v>179.72279999999998</v>
      </c>
      <c r="M46" s="45">
        <f t="shared" si="6"/>
        <v>180.7677</v>
      </c>
      <c r="N46" s="45">
        <f t="shared" si="6"/>
        <v>207.93509999999998</v>
      </c>
      <c r="O46" s="45">
        <f t="shared" si="6"/>
        <v>202.7106</v>
      </c>
      <c r="P46" s="45">
        <f t="shared" si="3"/>
        <v>3703.1255999999994</v>
      </c>
      <c r="Q46" s="27" t="s">
        <v>94</v>
      </c>
      <c r="R46" s="11"/>
    </row>
    <row r="47" spans="1:17" s="2" customFormat="1" ht="36">
      <c r="A47" s="109" t="s">
        <v>262</v>
      </c>
      <c r="B47" s="110"/>
      <c r="C47" s="111"/>
      <c r="D47" s="113">
        <f>SUM(D45:D46)</f>
        <v>37201.574700000005</v>
      </c>
      <c r="E47" s="113">
        <f aca="true" t="shared" si="7" ref="E47:O47">SUM(E45:E46)</f>
        <v>44852.332500000004</v>
      </c>
      <c r="F47" s="113">
        <f t="shared" si="7"/>
        <v>32183.9649</v>
      </c>
      <c r="G47" s="113">
        <f t="shared" si="7"/>
        <v>36133.6869</v>
      </c>
      <c r="H47" s="113">
        <f t="shared" si="7"/>
        <v>34915.33349999999</v>
      </c>
      <c r="I47" s="113">
        <f t="shared" si="7"/>
        <v>80540.89199999999</v>
      </c>
      <c r="J47" s="113">
        <f t="shared" si="7"/>
        <v>160913.5551</v>
      </c>
      <c r="K47" s="113">
        <f t="shared" si="7"/>
        <v>227759.9877</v>
      </c>
      <c r="L47" s="113">
        <f t="shared" si="7"/>
        <v>148501.188</v>
      </c>
      <c r="M47" s="113">
        <f t="shared" si="7"/>
        <v>117291.06989999999</v>
      </c>
      <c r="N47" s="113">
        <f t="shared" si="7"/>
        <v>45615.109500000006</v>
      </c>
      <c r="O47" s="113">
        <f t="shared" si="7"/>
        <v>56959.5888</v>
      </c>
      <c r="P47" s="114">
        <f t="shared" si="3"/>
        <v>1022868.2835</v>
      </c>
      <c r="Q47" s="111" t="s">
        <v>280</v>
      </c>
    </row>
    <row r="48" spans="1:17" s="2" customFormat="1" ht="36">
      <c r="A48" s="6" t="s">
        <v>263</v>
      </c>
      <c r="B48" s="7" t="s">
        <v>126</v>
      </c>
      <c r="C48" s="27" t="s">
        <v>206</v>
      </c>
      <c r="D48" s="45">
        <f>(57960-0)*1.0449</f>
        <v>60562.403999999995</v>
      </c>
      <c r="E48" s="45">
        <f>(44529-0)*1.0449</f>
        <v>46528.3521</v>
      </c>
      <c r="F48" s="45">
        <f>(40032-0)*1.0449</f>
        <v>41829.436799999996</v>
      </c>
      <c r="G48" s="45">
        <f>(27129-0)*1.0449</f>
        <v>28347.092099999998</v>
      </c>
      <c r="H48" s="45">
        <f>(25348-0)*1.0449</f>
        <v>26486.1252</v>
      </c>
      <c r="I48" s="45">
        <f>(38326-11751)*1.0449</f>
        <v>27768.2175</v>
      </c>
      <c r="J48" s="45">
        <f>(110188-12934)*1.0449</f>
        <v>101620.7046</v>
      </c>
      <c r="K48" s="45">
        <f>(153690-30473)*1.0449</f>
        <v>128749.4433</v>
      </c>
      <c r="L48" s="45">
        <f>(192147-21211)*1.0449</f>
        <v>178611.0264</v>
      </c>
      <c r="M48" s="45">
        <f>(176483-13098)*1.0449</f>
        <v>170720.9865</v>
      </c>
      <c r="N48" s="45">
        <f>(71426-5955)*1.0449</f>
        <v>68410.6479</v>
      </c>
      <c r="O48" s="45">
        <f>(27810-12891)*1.0449</f>
        <v>15588.863099999999</v>
      </c>
      <c r="P48" s="57">
        <f t="shared" si="3"/>
        <v>895223.2995</v>
      </c>
      <c r="Q48" s="35" t="s">
        <v>209</v>
      </c>
    </row>
    <row r="49" spans="1:17" s="2" customFormat="1" ht="36">
      <c r="A49" s="6" t="s">
        <v>263</v>
      </c>
      <c r="B49" s="7" t="s">
        <v>126</v>
      </c>
      <c r="C49" s="27" t="s">
        <v>207</v>
      </c>
      <c r="D49" s="121" t="s">
        <v>59</v>
      </c>
      <c r="E49" s="121" t="s">
        <v>59</v>
      </c>
      <c r="F49" s="121" t="s">
        <v>59</v>
      </c>
      <c r="G49" s="121" t="s">
        <v>59</v>
      </c>
      <c r="H49" s="121" t="s">
        <v>59</v>
      </c>
      <c r="I49" s="121" t="s">
        <v>59</v>
      </c>
      <c r="J49" s="121" t="s">
        <v>59</v>
      </c>
      <c r="K49" s="121" t="s">
        <v>59</v>
      </c>
      <c r="L49" s="121" t="s">
        <v>59</v>
      </c>
      <c r="M49" s="121" t="s">
        <v>59</v>
      </c>
      <c r="N49" s="121" t="s">
        <v>59</v>
      </c>
      <c r="O49" s="121" t="s">
        <v>59</v>
      </c>
      <c r="P49" s="121" t="s">
        <v>59</v>
      </c>
      <c r="Q49" s="7" t="s">
        <v>58</v>
      </c>
    </row>
    <row r="50" spans="1:17" s="2" customFormat="1" ht="36">
      <c r="A50" s="6" t="s">
        <v>263</v>
      </c>
      <c r="B50" s="7" t="s">
        <v>126</v>
      </c>
      <c r="C50" s="27" t="s">
        <v>208</v>
      </c>
      <c r="D50" s="10" t="s">
        <v>59</v>
      </c>
      <c r="E50" s="10" t="s">
        <v>59</v>
      </c>
      <c r="F50" s="10" t="s">
        <v>59</v>
      </c>
      <c r="G50" s="10" t="s">
        <v>59</v>
      </c>
      <c r="H50" s="10" t="s">
        <v>59</v>
      </c>
      <c r="I50" s="10" t="s">
        <v>59</v>
      </c>
      <c r="J50" s="10" t="s">
        <v>59</v>
      </c>
      <c r="K50" s="10" t="s">
        <v>59</v>
      </c>
      <c r="L50" s="10" t="s">
        <v>59</v>
      </c>
      <c r="M50" s="10" t="s">
        <v>59</v>
      </c>
      <c r="N50" s="10" t="s">
        <v>59</v>
      </c>
      <c r="O50" s="10" t="s">
        <v>59</v>
      </c>
      <c r="P50" s="44" t="s">
        <v>59</v>
      </c>
      <c r="Q50" s="7" t="s">
        <v>175</v>
      </c>
    </row>
    <row r="51" spans="1:20" s="11" customFormat="1" ht="52.5" customHeight="1">
      <c r="A51" s="6" t="s">
        <v>263</v>
      </c>
      <c r="B51" s="7" t="s">
        <v>126</v>
      </c>
      <c r="C51" s="27" t="s">
        <v>205</v>
      </c>
      <c r="D51" s="32">
        <f>(4684+0)*1.0449</f>
        <v>4894.3116</v>
      </c>
      <c r="E51" s="32">
        <f>(7323+0)*1.0449</f>
        <v>7651.802699999999</v>
      </c>
      <c r="F51" s="32">
        <f>(1058+0)*1.0449</f>
        <v>1105.5041999999999</v>
      </c>
      <c r="G51" s="32">
        <f>(572+0)*1.0449</f>
        <v>597.6827999999999</v>
      </c>
      <c r="H51" s="32">
        <f>(2439+0)*1.0449</f>
        <v>2548.5110999999997</v>
      </c>
      <c r="I51" s="32">
        <f>(4977+11751)*1.0449</f>
        <v>17479.087199999998</v>
      </c>
      <c r="J51" s="32">
        <f>(2953+12934)*1.0449</f>
        <v>16600.3263</v>
      </c>
      <c r="K51" s="32">
        <f>(5683+30473)*1.0449</f>
        <v>37779.4044</v>
      </c>
      <c r="L51" s="32">
        <f>(1459+21211)*1.0449</f>
        <v>23687.882999999998</v>
      </c>
      <c r="M51" s="32">
        <f>(592+13098)*1.0449</f>
        <v>14304.680999999999</v>
      </c>
      <c r="N51" s="32">
        <f>(218+5955)*1.0449</f>
        <v>6450.1677</v>
      </c>
      <c r="O51" s="32">
        <f>(117+12891)*1.0449</f>
        <v>13592.0592</v>
      </c>
      <c r="P51" s="57">
        <f aca="true" t="shared" si="8" ref="P51:P58">SUM(D51:O51)</f>
        <v>146691.42119999998</v>
      </c>
      <c r="Q51" s="7" t="s">
        <v>204</v>
      </c>
      <c r="T51" s="59"/>
    </row>
    <row r="52" spans="1:20" s="11" customFormat="1" ht="52.5" customHeight="1">
      <c r="A52" s="6" t="s">
        <v>263</v>
      </c>
      <c r="B52" s="7" t="s">
        <v>126</v>
      </c>
      <c r="C52" s="27" t="s">
        <v>226</v>
      </c>
      <c r="D52" s="32">
        <f>D68</f>
        <v>459090.39869999996</v>
      </c>
      <c r="E52" s="32">
        <f aca="true" t="shared" si="9" ref="E52:O52">E68</f>
        <v>383072.8788</v>
      </c>
      <c r="F52" s="32">
        <f t="shared" si="9"/>
        <v>354261.85109999997</v>
      </c>
      <c r="G52" s="32">
        <f t="shared" si="9"/>
        <v>334940.6052</v>
      </c>
      <c r="H52" s="32">
        <f t="shared" si="9"/>
        <v>309235.0203</v>
      </c>
      <c r="I52" s="32">
        <f t="shared" si="9"/>
        <v>452824.1334</v>
      </c>
      <c r="J52" s="32">
        <f t="shared" si="9"/>
        <v>611519.3657999999</v>
      </c>
      <c r="K52" s="32">
        <f t="shared" si="9"/>
        <v>898509.5099999999</v>
      </c>
      <c r="L52" s="32">
        <f t="shared" si="9"/>
        <v>577348.0011</v>
      </c>
      <c r="M52" s="32">
        <f t="shared" si="9"/>
        <v>532384.9092</v>
      </c>
      <c r="N52" s="32">
        <f t="shared" si="9"/>
        <v>409852.6209</v>
      </c>
      <c r="O52" s="32">
        <f t="shared" si="9"/>
        <v>418783.3812</v>
      </c>
      <c r="P52" s="57">
        <f t="shared" si="8"/>
        <v>5741822.675699999</v>
      </c>
      <c r="Q52" s="7" t="s">
        <v>281</v>
      </c>
      <c r="T52" s="59"/>
    </row>
    <row r="53" spans="1:17" s="2" customFormat="1" ht="24">
      <c r="A53" s="109" t="s">
        <v>264</v>
      </c>
      <c r="B53" s="110"/>
      <c r="C53" s="111"/>
      <c r="D53" s="113">
        <f>SUM(D48:D52)</f>
        <v>524547.1143</v>
      </c>
      <c r="E53" s="113">
        <f aca="true" t="shared" si="10" ref="E53:O53">SUM(E48:E52)</f>
        <v>437253.0336</v>
      </c>
      <c r="F53" s="113">
        <f t="shared" si="10"/>
        <v>397196.79209999996</v>
      </c>
      <c r="G53" s="113">
        <f t="shared" si="10"/>
        <v>363885.3801</v>
      </c>
      <c r="H53" s="113">
        <f t="shared" si="10"/>
        <v>338269.6566</v>
      </c>
      <c r="I53" s="113">
        <f t="shared" si="10"/>
        <v>498071.43809999997</v>
      </c>
      <c r="J53" s="113">
        <f t="shared" si="10"/>
        <v>729740.3966999999</v>
      </c>
      <c r="K53" s="113">
        <f t="shared" si="10"/>
        <v>1065038.3576999998</v>
      </c>
      <c r="L53" s="113">
        <f t="shared" si="10"/>
        <v>779646.9105</v>
      </c>
      <c r="M53" s="113">
        <f t="shared" si="10"/>
        <v>717410.5767</v>
      </c>
      <c r="N53" s="113">
        <f t="shared" si="10"/>
        <v>484713.43649999995</v>
      </c>
      <c r="O53" s="113">
        <f t="shared" si="10"/>
        <v>447964.3035</v>
      </c>
      <c r="P53" s="114">
        <f t="shared" si="8"/>
        <v>6783737.3964</v>
      </c>
      <c r="Q53" s="111" t="s">
        <v>282</v>
      </c>
    </row>
    <row r="54" spans="1:17" s="2" customFormat="1" ht="84">
      <c r="A54" s="6" t="s">
        <v>263</v>
      </c>
      <c r="B54" s="7" t="s">
        <v>126</v>
      </c>
      <c r="C54" s="7" t="s">
        <v>152</v>
      </c>
      <c r="D54" s="124">
        <f>0.01*D53</f>
        <v>5245.471143000001</v>
      </c>
      <c r="E54" s="124">
        <f aca="true" t="shared" si="11" ref="E54:O54">0.01*E53</f>
        <v>4372.530336000001</v>
      </c>
      <c r="F54" s="124">
        <f t="shared" si="11"/>
        <v>3971.967921</v>
      </c>
      <c r="G54" s="124">
        <f t="shared" si="11"/>
        <v>3638.853801</v>
      </c>
      <c r="H54" s="124">
        <f t="shared" si="11"/>
        <v>3382.696566</v>
      </c>
      <c r="I54" s="124">
        <f t="shared" si="11"/>
        <v>4980.714381</v>
      </c>
      <c r="J54" s="124">
        <f t="shared" si="11"/>
        <v>7297.403966999999</v>
      </c>
      <c r="K54" s="124">
        <f t="shared" si="11"/>
        <v>10650.383576999999</v>
      </c>
      <c r="L54" s="124">
        <f t="shared" si="11"/>
        <v>7796.469105</v>
      </c>
      <c r="M54" s="124">
        <f t="shared" si="11"/>
        <v>7174.105767</v>
      </c>
      <c r="N54" s="124">
        <f t="shared" si="11"/>
        <v>4847.134365</v>
      </c>
      <c r="O54" s="124">
        <f t="shared" si="11"/>
        <v>4479.643035</v>
      </c>
      <c r="P54" s="45">
        <f t="shared" si="8"/>
        <v>67837.373964</v>
      </c>
      <c r="Q54" s="7" t="s">
        <v>220</v>
      </c>
    </row>
    <row r="55" spans="1:17" s="2" customFormat="1" ht="60">
      <c r="A55" s="4" t="s">
        <v>265</v>
      </c>
      <c r="B55" s="5" t="s">
        <v>27</v>
      </c>
      <c r="C55" s="5" t="s">
        <v>70</v>
      </c>
      <c r="D55" s="32">
        <f>18856*1.0449</f>
        <v>19702.6344</v>
      </c>
      <c r="E55" s="32">
        <f>9476*1.0449</f>
        <v>9901.472399999999</v>
      </c>
      <c r="F55" s="32">
        <f>12677*1.0449</f>
        <v>13246.1973</v>
      </c>
      <c r="G55" s="32">
        <f>15328*1.0449</f>
        <v>16016.2272</v>
      </c>
      <c r="H55" s="32">
        <f>17842*1.0449</f>
        <v>18643.105799999998</v>
      </c>
      <c r="I55" s="32">
        <f>14578*1.0449</f>
        <v>15232.552199999998</v>
      </c>
      <c r="J55" s="32">
        <f>14052*1.0449</f>
        <v>14682.934799999999</v>
      </c>
      <c r="K55" s="32">
        <f>9524*1.0449</f>
        <v>9951.6276</v>
      </c>
      <c r="L55" s="32">
        <f>11787*1.0449</f>
        <v>12316.236299999999</v>
      </c>
      <c r="M55" s="32">
        <f>20045*1.0449</f>
        <v>20945.0205</v>
      </c>
      <c r="N55" s="32">
        <f>19211*1.0449</f>
        <v>20073.5739</v>
      </c>
      <c r="O55" s="32">
        <f>14872*1.0449</f>
        <v>15539.752799999998</v>
      </c>
      <c r="P55" s="51">
        <f t="shared" si="8"/>
        <v>186251.33519999997</v>
      </c>
      <c r="Q55" s="27" t="s">
        <v>291</v>
      </c>
    </row>
    <row r="56" spans="1:17" s="2" customFormat="1" ht="36">
      <c r="A56" s="4" t="s">
        <v>265</v>
      </c>
      <c r="B56" s="5" t="s">
        <v>27</v>
      </c>
      <c r="C56" s="5" t="s">
        <v>71</v>
      </c>
      <c r="D56" s="32">
        <f>1516*1.0449</f>
        <v>1584.0683999999999</v>
      </c>
      <c r="E56" s="32">
        <f>1574*1.0449</f>
        <v>1644.6725999999999</v>
      </c>
      <c r="F56" s="32">
        <f>837*1.0449</f>
        <v>874.5812999999999</v>
      </c>
      <c r="G56" s="32">
        <f>1165*1.0449</f>
        <v>1217.3084999999999</v>
      </c>
      <c r="H56" s="32">
        <f>2031*1.0449</f>
        <v>2122.1919</v>
      </c>
      <c r="I56" s="32">
        <f>1995*1.0449</f>
        <v>2084.5755</v>
      </c>
      <c r="J56" s="32">
        <f>967*1.0449</f>
        <v>1010.4182999999999</v>
      </c>
      <c r="K56" s="32">
        <f>1627*1.0449</f>
        <v>1700.0522999999998</v>
      </c>
      <c r="L56" s="32">
        <f>1114*1.0449</f>
        <v>1164.0185999999999</v>
      </c>
      <c r="M56" s="32">
        <f>998*1.0449</f>
        <v>1042.8102</v>
      </c>
      <c r="N56" s="32">
        <f>917*1.0449</f>
        <v>958.1732999999999</v>
      </c>
      <c r="O56" s="32">
        <f>960*1.0449</f>
        <v>1003.1039999999999</v>
      </c>
      <c r="P56" s="51">
        <f t="shared" si="8"/>
        <v>16405.974899999997</v>
      </c>
      <c r="Q56" s="27" t="s">
        <v>72</v>
      </c>
    </row>
    <row r="57" spans="1:17" s="2" customFormat="1" ht="24">
      <c r="A57" s="109" t="s">
        <v>266</v>
      </c>
      <c r="B57" s="110"/>
      <c r="C57" s="111"/>
      <c r="D57" s="113">
        <f>SUM(D55:D56)</f>
        <v>21286.7028</v>
      </c>
      <c r="E57" s="113">
        <f>SUM(E55:E56)</f>
        <v>11546.144999999999</v>
      </c>
      <c r="F57" s="113">
        <f aca="true" t="shared" si="12" ref="F57:O57">SUM(F55:F56)</f>
        <v>14120.7786</v>
      </c>
      <c r="G57" s="113">
        <f t="shared" si="12"/>
        <v>17233.5357</v>
      </c>
      <c r="H57" s="113">
        <f t="shared" si="12"/>
        <v>20765.297699999996</v>
      </c>
      <c r="I57" s="113">
        <f t="shared" si="12"/>
        <v>17317.127699999997</v>
      </c>
      <c r="J57" s="113">
        <f t="shared" si="12"/>
        <v>15693.353099999998</v>
      </c>
      <c r="K57" s="113">
        <f t="shared" si="12"/>
        <v>11651.6799</v>
      </c>
      <c r="L57" s="113">
        <f t="shared" si="12"/>
        <v>13480.254899999998</v>
      </c>
      <c r="M57" s="113">
        <f t="shared" si="12"/>
        <v>21987.8307</v>
      </c>
      <c r="N57" s="113">
        <f t="shared" si="12"/>
        <v>21031.747199999998</v>
      </c>
      <c r="O57" s="113">
        <f t="shared" si="12"/>
        <v>16542.856799999998</v>
      </c>
      <c r="P57" s="114">
        <f t="shared" si="8"/>
        <v>202657.31009999994</v>
      </c>
      <c r="Q57" s="111" t="s">
        <v>284</v>
      </c>
    </row>
    <row r="58" spans="1:17" s="2" customFormat="1" ht="36">
      <c r="A58" s="4" t="s">
        <v>265</v>
      </c>
      <c r="B58" s="5" t="s">
        <v>27</v>
      </c>
      <c r="C58" s="26" t="s">
        <v>56</v>
      </c>
      <c r="D58" s="32">
        <f>56494*1.0449</f>
        <v>59030.580599999994</v>
      </c>
      <c r="E58" s="32">
        <f>15763*1.0449</f>
        <v>16470.7587</v>
      </c>
      <c r="F58" s="32">
        <f>33476*1.0449</f>
        <v>34979.0724</v>
      </c>
      <c r="G58" s="32">
        <f>24039*1.0449</f>
        <v>25118.3511</v>
      </c>
      <c r="H58" s="32">
        <f>32726*1.0449</f>
        <v>34195.3974</v>
      </c>
      <c r="I58" s="32">
        <f>21055*1.0449</f>
        <v>22000.369499999997</v>
      </c>
      <c r="J58" s="32">
        <f>20550*1.0449</f>
        <v>21472.695</v>
      </c>
      <c r="K58" s="32">
        <f>21775*1.0449</f>
        <v>22752.6975</v>
      </c>
      <c r="L58" s="32">
        <f>44521*1.0449</f>
        <v>46519.9929</v>
      </c>
      <c r="M58" s="32">
        <f>61249*1.0449</f>
        <v>63999.0801</v>
      </c>
      <c r="N58" s="32">
        <f>42809*1.0449</f>
        <v>44731.1241</v>
      </c>
      <c r="O58" s="32">
        <f>28451*1.0449</f>
        <v>29728.4499</v>
      </c>
      <c r="P58" s="51">
        <f t="shared" si="8"/>
        <v>420998.5692</v>
      </c>
      <c r="Q58" s="27" t="s">
        <v>69</v>
      </c>
    </row>
    <row r="59" spans="1:17" s="3" customFormat="1" ht="12">
      <c r="A59" s="208" t="s">
        <v>267</v>
      </c>
      <c r="B59" s="209"/>
      <c r="C59" s="209"/>
      <c r="D59" s="209"/>
      <c r="E59" s="209"/>
      <c r="F59" s="209"/>
      <c r="G59" s="209"/>
      <c r="H59" s="209"/>
      <c r="I59" s="209"/>
      <c r="J59" s="209"/>
      <c r="K59" s="209"/>
      <c r="L59" s="209"/>
      <c r="M59" s="209"/>
      <c r="N59" s="209"/>
      <c r="O59" s="209"/>
      <c r="P59" s="209"/>
      <c r="Q59" s="210"/>
    </row>
    <row r="60" spans="1:17" s="2" customFormat="1" ht="72">
      <c r="A60" s="4" t="s">
        <v>25</v>
      </c>
      <c r="B60" s="9" t="s">
        <v>22</v>
      </c>
      <c r="C60" s="27" t="s">
        <v>154</v>
      </c>
      <c r="D60" s="45">
        <f>0*1.0449</f>
        <v>0</v>
      </c>
      <c r="E60" s="45">
        <f>0*1.0449</f>
        <v>0</v>
      </c>
      <c r="F60" s="45">
        <f>16663*1.0449</f>
        <v>17411.1687</v>
      </c>
      <c r="G60" s="45">
        <f>0*1.0449</f>
        <v>0</v>
      </c>
      <c r="H60" s="45">
        <f>809*1.0449</f>
        <v>845.3240999999999</v>
      </c>
      <c r="I60" s="45">
        <f>2331*1.0449</f>
        <v>2435.6619</v>
      </c>
      <c r="J60" s="45">
        <f>1266*1.0449</f>
        <v>1322.8434</v>
      </c>
      <c r="K60" s="45">
        <f>565*1.0449</f>
        <v>590.3684999999999</v>
      </c>
      <c r="L60" s="45">
        <f>10253*1.0449</f>
        <v>10713.359699999999</v>
      </c>
      <c r="M60" s="45">
        <f>7558*1.0449</f>
        <v>7897.3542</v>
      </c>
      <c r="N60" s="45">
        <f>586*1.0449</f>
        <v>612.3113999999999</v>
      </c>
      <c r="O60" s="45">
        <f>4749*1.0449</f>
        <v>4962.2301</v>
      </c>
      <c r="P60" s="45">
        <f>SUM(D60:O60)</f>
        <v>46790.622</v>
      </c>
      <c r="Q60" s="7" t="s">
        <v>303</v>
      </c>
    </row>
    <row r="61" spans="1:17" s="11" customFormat="1" ht="36">
      <c r="A61" s="6" t="s">
        <v>26</v>
      </c>
      <c r="B61" s="7" t="s">
        <v>151</v>
      </c>
      <c r="C61" s="7" t="s">
        <v>173</v>
      </c>
      <c r="D61" s="128">
        <f>(250+350)/2/12</f>
        <v>25</v>
      </c>
      <c r="E61" s="128">
        <f aca="true" t="shared" si="13" ref="E61:O61">(250+350)/2/12</f>
        <v>25</v>
      </c>
      <c r="F61" s="128">
        <f t="shared" si="13"/>
        <v>25</v>
      </c>
      <c r="G61" s="128">
        <f t="shared" si="13"/>
        <v>25</v>
      </c>
      <c r="H61" s="128">
        <f t="shared" si="13"/>
        <v>25</v>
      </c>
      <c r="I61" s="128">
        <f t="shared" si="13"/>
        <v>25</v>
      </c>
      <c r="J61" s="128">
        <f t="shared" si="13"/>
        <v>25</v>
      </c>
      <c r="K61" s="128">
        <f t="shared" si="13"/>
        <v>25</v>
      </c>
      <c r="L61" s="128">
        <f t="shared" si="13"/>
        <v>25</v>
      </c>
      <c r="M61" s="128">
        <f t="shared" si="13"/>
        <v>25</v>
      </c>
      <c r="N61" s="128">
        <f t="shared" si="13"/>
        <v>25</v>
      </c>
      <c r="O61" s="128">
        <f t="shared" si="13"/>
        <v>25</v>
      </c>
      <c r="P61" s="45">
        <f>SUM(D61:O61)</f>
        <v>300</v>
      </c>
      <c r="Q61" s="7" t="s">
        <v>227</v>
      </c>
    </row>
    <row r="62" spans="1:17" s="2" customFormat="1" ht="48">
      <c r="A62" s="4" t="s">
        <v>29</v>
      </c>
      <c r="B62" s="5" t="s">
        <v>116</v>
      </c>
      <c r="C62" s="5" t="s">
        <v>128</v>
      </c>
      <c r="D62" s="30">
        <f>553*1.0449</f>
        <v>577.8297</v>
      </c>
      <c r="E62" s="30">
        <f>482*1.0449</f>
        <v>503.6418</v>
      </c>
      <c r="F62" s="30">
        <f>394*1.0449</f>
        <v>411.69059999999996</v>
      </c>
      <c r="G62" s="30">
        <f>327*1.0449</f>
        <v>341.6823</v>
      </c>
      <c r="H62" s="30">
        <f>705*1.0449</f>
        <v>736.6545</v>
      </c>
      <c r="I62" s="30">
        <f>378*1.0449</f>
        <v>394.9722</v>
      </c>
      <c r="J62" s="30">
        <f>239*1.0449</f>
        <v>249.7311</v>
      </c>
      <c r="K62" s="30">
        <f>386*1.0449</f>
        <v>403.3314</v>
      </c>
      <c r="L62" s="30">
        <f>201*1.0449</f>
        <v>210.02489999999997</v>
      </c>
      <c r="M62" s="30">
        <f>427*1.0449</f>
        <v>446.17229999999995</v>
      </c>
      <c r="N62" s="30">
        <f>352*1.0449</f>
        <v>367.8048</v>
      </c>
      <c r="O62" s="32">
        <f>445*1.0449</f>
        <v>464.98049999999995</v>
      </c>
      <c r="P62" s="51">
        <f>SUM(D62:O62)</f>
        <v>5108.5161</v>
      </c>
      <c r="Q62" s="13" t="s">
        <v>54</v>
      </c>
    </row>
    <row r="63" spans="1:17" s="3" customFormat="1" ht="12">
      <c r="A63" s="208" t="s">
        <v>268</v>
      </c>
      <c r="B63" s="209"/>
      <c r="C63" s="209"/>
      <c r="D63" s="209"/>
      <c r="E63" s="209"/>
      <c r="F63" s="209"/>
      <c r="G63" s="209"/>
      <c r="H63" s="209"/>
      <c r="I63" s="209"/>
      <c r="J63" s="209"/>
      <c r="K63" s="209"/>
      <c r="L63" s="209"/>
      <c r="M63" s="209"/>
      <c r="N63" s="209"/>
      <c r="O63" s="209"/>
      <c r="P63" s="209"/>
      <c r="Q63" s="210"/>
    </row>
    <row r="64" spans="1:17" s="11" customFormat="1" ht="36">
      <c r="A64" s="6" t="s">
        <v>118</v>
      </c>
      <c r="B64" s="7" t="s">
        <v>166</v>
      </c>
      <c r="C64" s="95" t="s">
        <v>167</v>
      </c>
      <c r="D64" s="78" t="s">
        <v>174</v>
      </c>
      <c r="E64" s="78" t="s">
        <v>174</v>
      </c>
      <c r="F64" s="78" t="s">
        <v>174</v>
      </c>
      <c r="G64" s="78" t="s">
        <v>174</v>
      </c>
      <c r="H64" s="78" t="s">
        <v>174</v>
      </c>
      <c r="I64" s="78" t="s">
        <v>174</v>
      </c>
      <c r="J64" s="78" t="s">
        <v>174</v>
      </c>
      <c r="K64" s="78" t="s">
        <v>174</v>
      </c>
      <c r="L64" s="78" t="s">
        <v>174</v>
      </c>
      <c r="M64" s="78" t="s">
        <v>174</v>
      </c>
      <c r="N64" s="78" t="s">
        <v>174</v>
      </c>
      <c r="O64" s="78" t="s">
        <v>174</v>
      </c>
      <c r="P64" s="78" t="s">
        <v>174</v>
      </c>
      <c r="Q64" s="20" t="s">
        <v>165</v>
      </c>
    </row>
    <row r="65" spans="1:17" s="2" customFormat="1" ht="24">
      <c r="A65" s="6" t="s">
        <v>119</v>
      </c>
      <c r="B65" s="5" t="s">
        <v>28</v>
      </c>
      <c r="C65" s="5" t="s">
        <v>57</v>
      </c>
      <c r="D65" s="33">
        <f>537*1.0449</f>
        <v>561.1112999999999</v>
      </c>
      <c r="E65" s="32">
        <f>524*1.0449</f>
        <v>547.5276</v>
      </c>
      <c r="F65" s="32">
        <f>791*1.0449</f>
        <v>826.5159</v>
      </c>
      <c r="G65" s="32">
        <f>1198*1.0449</f>
        <v>1251.7902</v>
      </c>
      <c r="H65" s="32">
        <f>248*1.0449</f>
        <v>259.1352</v>
      </c>
      <c r="I65" s="32">
        <f>701*1.0449</f>
        <v>732.4748999999999</v>
      </c>
      <c r="J65" s="32">
        <f>815*1.0449</f>
        <v>851.5935</v>
      </c>
      <c r="K65" s="32">
        <f>1653*1.0449</f>
        <v>1727.2196999999999</v>
      </c>
      <c r="L65" s="32">
        <f>2193*1.0449</f>
        <v>2291.4656999999997</v>
      </c>
      <c r="M65" s="32">
        <f>1448*1.0449</f>
        <v>1513.0151999999998</v>
      </c>
      <c r="N65" s="32">
        <f>231*1.0449</f>
        <v>241.37189999999998</v>
      </c>
      <c r="O65" s="32">
        <f>258*1.0449</f>
        <v>269.5842</v>
      </c>
      <c r="P65" s="51">
        <f>SUM(D65:O65)</f>
        <v>11072.805299999998</v>
      </c>
      <c r="Q65" s="6" t="s">
        <v>55</v>
      </c>
    </row>
    <row r="66" spans="1:17" s="2" customFormat="1" ht="72">
      <c r="A66" s="6" t="s">
        <v>120</v>
      </c>
      <c r="B66" s="7" t="s">
        <v>117</v>
      </c>
      <c r="C66" s="5" t="s">
        <v>223</v>
      </c>
      <c r="D66" s="33">
        <f>D68-D67</f>
        <v>439592.5647</v>
      </c>
      <c r="E66" s="33">
        <f aca="true" t="shared" si="14" ref="E66:O66">E68-E67</f>
        <v>373545.4806</v>
      </c>
      <c r="F66" s="33">
        <f t="shared" si="14"/>
        <v>345262.1274</v>
      </c>
      <c r="G66" s="33">
        <f t="shared" si="14"/>
        <v>325568.8971</v>
      </c>
      <c r="H66" s="33">
        <f t="shared" si="14"/>
        <v>299257.27019999997</v>
      </c>
      <c r="I66" s="33">
        <f t="shared" si="14"/>
        <v>438880.9878</v>
      </c>
      <c r="J66" s="33">
        <f t="shared" si="14"/>
        <v>600933.4838999999</v>
      </c>
      <c r="K66" s="33">
        <f t="shared" si="14"/>
        <v>879080.6393999999</v>
      </c>
      <c r="L66" s="33">
        <f t="shared" si="14"/>
        <v>561422.6802</v>
      </c>
      <c r="M66" s="33">
        <f t="shared" si="14"/>
        <v>517543.1496</v>
      </c>
      <c r="N66" s="33">
        <f t="shared" si="14"/>
        <v>386418.64859999996</v>
      </c>
      <c r="O66" s="33">
        <f t="shared" si="14"/>
        <v>397039.0122</v>
      </c>
      <c r="P66" s="51">
        <f>SUM(D66:O66)</f>
        <v>5564544.941699999</v>
      </c>
      <c r="Q66" s="7" t="s">
        <v>361</v>
      </c>
    </row>
    <row r="67" spans="1:17" s="11" customFormat="1" ht="72">
      <c r="A67" s="6" t="s">
        <v>120</v>
      </c>
      <c r="B67" s="7" t="s">
        <v>117</v>
      </c>
      <c r="C67" s="5" t="s">
        <v>224</v>
      </c>
      <c r="D67" s="33">
        <f>18660*1.0449</f>
        <v>19497.834</v>
      </c>
      <c r="E67" s="32">
        <f>9118*1.0449</f>
        <v>9527.3982</v>
      </c>
      <c r="F67" s="32">
        <f>8613*1.0449</f>
        <v>8999.723699999999</v>
      </c>
      <c r="G67" s="32">
        <f>8969*1.0449</f>
        <v>9371.7081</v>
      </c>
      <c r="H67" s="32">
        <f>9549*1.0449</f>
        <v>9977.7501</v>
      </c>
      <c r="I67" s="32">
        <f>13344*1.0449</f>
        <v>13943.1456</v>
      </c>
      <c r="J67" s="32">
        <f>10131*1.0449</f>
        <v>10585.881899999998</v>
      </c>
      <c r="K67" s="32">
        <f>18594*1.0449</f>
        <v>19428.8706</v>
      </c>
      <c r="L67" s="32">
        <f>15241*1.0449</f>
        <v>15925.320899999999</v>
      </c>
      <c r="M67" s="32">
        <f>14204*1.0449</f>
        <v>14841.7596</v>
      </c>
      <c r="N67" s="32">
        <f>22427*1.0449</f>
        <v>23433.972299999998</v>
      </c>
      <c r="O67" s="32">
        <f>20810*1.0449</f>
        <v>21744.369</v>
      </c>
      <c r="P67" s="57">
        <f>SUM(D67:O67)</f>
        <v>177277.73399999997</v>
      </c>
      <c r="Q67" s="7" t="s">
        <v>306</v>
      </c>
    </row>
    <row r="68" spans="1:17" s="11" customFormat="1" ht="12">
      <c r="A68" s="133" t="s">
        <v>269</v>
      </c>
      <c r="B68" s="110"/>
      <c r="C68" s="111"/>
      <c r="D68" s="113">
        <f>439363*1.0449</f>
        <v>459090.39869999996</v>
      </c>
      <c r="E68" s="113">
        <f>366612*1.0449</f>
        <v>383072.8788</v>
      </c>
      <c r="F68" s="113">
        <f>339039*1.0449</f>
        <v>354261.85109999997</v>
      </c>
      <c r="G68" s="113">
        <f>320548*1.0449</f>
        <v>334940.6052</v>
      </c>
      <c r="H68" s="113">
        <f>295947*1.0449</f>
        <v>309235.0203</v>
      </c>
      <c r="I68" s="113">
        <f>433366*1.0449</f>
        <v>452824.1334</v>
      </c>
      <c r="J68" s="113">
        <f>585242*1.0449</f>
        <v>611519.3657999999</v>
      </c>
      <c r="K68" s="113">
        <f>859900*1.0449</f>
        <v>898509.5099999999</v>
      </c>
      <c r="L68" s="113">
        <f>552539*1.0449</f>
        <v>577348.0011</v>
      </c>
      <c r="M68" s="113">
        <f>509508*1.0449</f>
        <v>532384.9092</v>
      </c>
      <c r="N68" s="113">
        <f>392241*1.0449</f>
        <v>409852.6209</v>
      </c>
      <c r="O68" s="113">
        <f>400788*1.0449</f>
        <v>418783.3812</v>
      </c>
      <c r="P68" s="113">
        <f>SUM(D68:O68)</f>
        <v>5741822.675699999</v>
      </c>
      <c r="Q68" s="110" t="s">
        <v>287</v>
      </c>
    </row>
    <row r="69" spans="1:17" ht="96">
      <c r="A69" s="161" t="s">
        <v>121</v>
      </c>
      <c r="B69" s="7" t="s">
        <v>127</v>
      </c>
      <c r="C69" s="7" t="s">
        <v>313</v>
      </c>
      <c r="D69" s="33">
        <f>269*1.0449</f>
        <v>281.0781</v>
      </c>
      <c r="E69" s="33">
        <f>148*1.0449</f>
        <v>154.6452</v>
      </c>
      <c r="F69" s="33">
        <f>437*1.0449</f>
        <v>456.62129999999996</v>
      </c>
      <c r="G69" s="33">
        <f>479*1.0449</f>
        <v>500.5071</v>
      </c>
      <c r="H69" s="33">
        <f>209*1.0449</f>
        <v>218.3841</v>
      </c>
      <c r="I69" s="33">
        <f>1352*1.0449</f>
        <v>1412.7048</v>
      </c>
      <c r="J69" s="33">
        <f>2818*1.0449</f>
        <v>2944.5281999999997</v>
      </c>
      <c r="K69" s="33">
        <f>1106*1.0449</f>
        <v>1155.6594</v>
      </c>
      <c r="L69" s="33">
        <f>601*1.0449</f>
        <v>627.9848999999999</v>
      </c>
      <c r="M69" s="33">
        <f>648*1.0449</f>
        <v>677.0952</v>
      </c>
      <c r="N69" s="33">
        <f>906*1.0449</f>
        <v>946.6794</v>
      </c>
      <c r="O69" s="33">
        <f>2300*1.0449</f>
        <v>2403.27</v>
      </c>
      <c r="P69" s="45">
        <f>SUM(D69:O69)</f>
        <v>11779.1577</v>
      </c>
      <c r="Q69" s="7" t="s">
        <v>321</v>
      </c>
    </row>
    <row r="70" spans="1:17" s="3" customFormat="1" ht="12">
      <c r="A70" s="208" t="s">
        <v>270</v>
      </c>
      <c r="B70" s="209"/>
      <c r="C70" s="209"/>
      <c r="D70" s="209"/>
      <c r="E70" s="209"/>
      <c r="F70" s="209"/>
      <c r="G70" s="209"/>
      <c r="H70" s="209"/>
      <c r="I70" s="209"/>
      <c r="J70" s="209"/>
      <c r="K70" s="209"/>
      <c r="L70" s="209"/>
      <c r="M70" s="209"/>
      <c r="N70" s="209"/>
      <c r="O70" s="209"/>
      <c r="P70" s="209"/>
      <c r="Q70" s="210"/>
    </row>
    <row r="71" spans="1:17" s="11" customFormat="1" ht="24">
      <c r="A71" s="6" t="s">
        <v>271</v>
      </c>
      <c r="B71" s="38" t="s">
        <v>33</v>
      </c>
      <c r="C71" s="7" t="s">
        <v>76</v>
      </c>
      <c r="D71" s="45">
        <v>0</v>
      </c>
      <c r="E71" s="45">
        <v>0</v>
      </c>
      <c r="F71" s="45">
        <v>0</v>
      </c>
      <c r="G71" s="69">
        <v>1</v>
      </c>
      <c r="H71" s="69">
        <v>0</v>
      </c>
      <c r="I71" s="69">
        <v>0</v>
      </c>
      <c r="J71" s="69">
        <v>0</v>
      </c>
      <c r="K71" s="69">
        <v>0</v>
      </c>
      <c r="L71" s="69">
        <v>0</v>
      </c>
      <c r="M71" s="69">
        <v>0</v>
      </c>
      <c r="N71" s="69">
        <v>0</v>
      </c>
      <c r="O71" s="69">
        <v>0</v>
      </c>
      <c r="P71" s="43">
        <f>SUM(D71:O71)</f>
        <v>1</v>
      </c>
      <c r="Q71" s="20" t="s">
        <v>159</v>
      </c>
    </row>
    <row r="72" spans="1:17" s="11" customFormat="1" ht="27.75" customHeight="1">
      <c r="A72" s="6" t="s">
        <v>272</v>
      </c>
      <c r="B72" s="38" t="s">
        <v>122</v>
      </c>
      <c r="C72" s="7" t="s">
        <v>124</v>
      </c>
      <c r="D72" s="33">
        <f>1*1.0449</f>
        <v>1.0449</v>
      </c>
      <c r="E72" s="33">
        <f>1*1.0449</f>
        <v>1.0449</v>
      </c>
      <c r="F72" s="33">
        <f>0*1.0449</f>
        <v>0</v>
      </c>
      <c r="G72" s="33">
        <f>1*1.0449</f>
        <v>1.0449</v>
      </c>
      <c r="H72" s="33">
        <f>2*1.0449</f>
        <v>2.0898</v>
      </c>
      <c r="I72" s="33">
        <f>5*1.0449</f>
        <v>5.2245</v>
      </c>
      <c r="J72" s="33">
        <f>0*1.0449</f>
        <v>0</v>
      </c>
      <c r="K72" s="33">
        <f>0*1.0449</f>
        <v>0</v>
      </c>
      <c r="L72" s="33">
        <f>1*1.0449</f>
        <v>1.0449</v>
      </c>
      <c r="M72" s="33">
        <f>0*1.0449</f>
        <v>0</v>
      </c>
      <c r="N72" s="33">
        <f>1*1.0449</f>
        <v>1.0449</v>
      </c>
      <c r="O72" s="33">
        <f>1*1.0449</f>
        <v>1.0449</v>
      </c>
      <c r="P72" s="45">
        <f>SUM(D72:O72)</f>
        <v>13.583699999999999</v>
      </c>
      <c r="Q72" s="20" t="s">
        <v>190</v>
      </c>
    </row>
    <row r="73" spans="1:17" s="11" customFormat="1" ht="24">
      <c r="A73" s="6" t="s">
        <v>273</v>
      </c>
      <c r="B73" s="38" t="s">
        <v>363</v>
      </c>
      <c r="C73" s="7" t="s">
        <v>100</v>
      </c>
      <c r="D73" s="32">
        <f>D72</f>
        <v>1.0449</v>
      </c>
      <c r="E73" s="32">
        <f aca="true" t="shared" si="15" ref="E73:O73">E72</f>
        <v>1.0449</v>
      </c>
      <c r="F73" s="32">
        <f t="shared" si="15"/>
        <v>0</v>
      </c>
      <c r="G73" s="32">
        <f t="shared" si="15"/>
        <v>1.0449</v>
      </c>
      <c r="H73" s="32">
        <f t="shared" si="15"/>
        <v>2.0898</v>
      </c>
      <c r="I73" s="32">
        <f t="shared" si="15"/>
        <v>5.2245</v>
      </c>
      <c r="J73" s="32">
        <f t="shared" si="15"/>
        <v>0</v>
      </c>
      <c r="K73" s="32">
        <f t="shared" si="15"/>
        <v>0</v>
      </c>
      <c r="L73" s="32">
        <f t="shared" si="15"/>
        <v>1.0449</v>
      </c>
      <c r="M73" s="32">
        <f t="shared" si="15"/>
        <v>0</v>
      </c>
      <c r="N73" s="32">
        <f t="shared" si="15"/>
        <v>1.0449</v>
      </c>
      <c r="O73" s="32">
        <f t="shared" si="15"/>
        <v>1.0449</v>
      </c>
      <c r="P73" s="45">
        <f>SUM(D73:O73)</f>
        <v>13.583699999999999</v>
      </c>
      <c r="Q73" s="20" t="s">
        <v>190</v>
      </c>
    </row>
    <row r="74" spans="1:17" s="11" customFormat="1" ht="63" customHeight="1">
      <c r="A74" s="6" t="s">
        <v>274</v>
      </c>
      <c r="B74" s="38" t="s">
        <v>123</v>
      </c>
      <c r="C74" s="7" t="s">
        <v>77</v>
      </c>
      <c r="D74" s="116">
        <f>25493*1.0449</f>
        <v>26637.6357</v>
      </c>
      <c r="E74" s="116">
        <f>6166*1.0449</f>
        <v>6442.8534</v>
      </c>
      <c r="F74" s="33">
        <f>0*1.0449</f>
        <v>0</v>
      </c>
      <c r="G74" s="33">
        <f>1746*1.0449</f>
        <v>1824.3953999999999</v>
      </c>
      <c r="H74" s="33">
        <f>6873*1.0449</f>
        <v>7181.597699999999</v>
      </c>
      <c r="I74" s="33">
        <f>451*1.0449</f>
        <v>471.24989999999997</v>
      </c>
      <c r="J74" s="33">
        <f>0*1.0449</f>
        <v>0</v>
      </c>
      <c r="K74" s="33">
        <f>0*1.0449</f>
        <v>0</v>
      </c>
      <c r="L74" s="33">
        <f>23993*1.0449</f>
        <v>25070.2857</v>
      </c>
      <c r="M74" s="33">
        <f>0*1.0449</f>
        <v>0</v>
      </c>
      <c r="N74" s="33">
        <f>13389*1.0449</f>
        <v>13990.166099999999</v>
      </c>
      <c r="O74" s="33">
        <f>623*1.0449</f>
        <v>650.9726999999999</v>
      </c>
      <c r="P74" s="45">
        <f>SUM(D74:O74)</f>
        <v>82269.1566</v>
      </c>
      <c r="Q74" s="20" t="s">
        <v>190</v>
      </c>
    </row>
    <row r="75" spans="1:17" s="3" customFormat="1" ht="12">
      <c r="A75" s="208" t="s">
        <v>275</v>
      </c>
      <c r="B75" s="209"/>
      <c r="C75" s="209"/>
      <c r="D75" s="209"/>
      <c r="E75" s="209"/>
      <c r="F75" s="209"/>
      <c r="G75" s="209"/>
      <c r="H75" s="209"/>
      <c r="I75" s="209"/>
      <c r="J75" s="209"/>
      <c r="K75" s="209"/>
      <c r="L75" s="209"/>
      <c r="M75" s="209"/>
      <c r="N75" s="209"/>
      <c r="O75" s="209"/>
      <c r="P75" s="209"/>
      <c r="Q75" s="210"/>
    </row>
    <row r="76" spans="1:17" s="11" customFormat="1" ht="120">
      <c r="A76" s="170">
        <v>5.1</v>
      </c>
      <c r="B76" s="7" t="s">
        <v>179</v>
      </c>
      <c r="C76" s="34" t="s">
        <v>362</v>
      </c>
      <c r="D76" s="98">
        <f>1500*1.0449</f>
        <v>1567.35</v>
      </c>
      <c r="E76" s="45">
        <f>0*1.0449</f>
        <v>0</v>
      </c>
      <c r="F76" s="45">
        <f>29500*1.0449</f>
        <v>30824.55</v>
      </c>
      <c r="G76" s="45">
        <f>282000*1.0449</f>
        <v>294661.8</v>
      </c>
      <c r="H76" s="45">
        <f>134500*1.0449</f>
        <v>140539.05</v>
      </c>
      <c r="I76" s="45">
        <f>7500*1.0449</f>
        <v>7836.75</v>
      </c>
      <c r="J76" s="45">
        <f>2000*1.0449</f>
        <v>2089.7999999999997</v>
      </c>
      <c r="K76" s="45">
        <f>125000*1.0449</f>
        <v>130612.49999999999</v>
      </c>
      <c r="L76" s="45">
        <f>5500*1.0449</f>
        <v>5746.95</v>
      </c>
      <c r="M76" s="45">
        <f>614000*1.0449</f>
        <v>641568.6</v>
      </c>
      <c r="N76" s="45">
        <f>0*1.0449</f>
        <v>0</v>
      </c>
      <c r="O76" s="45">
        <f>38500*1.0449</f>
        <v>40228.649999999994</v>
      </c>
      <c r="P76" s="45">
        <f>SUM(D76:O76)</f>
        <v>1295675.9999999998</v>
      </c>
      <c r="Q76" s="27" t="s">
        <v>188</v>
      </c>
    </row>
    <row r="77" spans="1:17" ht="12.75">
      <c r="A77" s="208" t="s">
        <v>276</v>
      </c>
      <c r="B77" s="209"/>
      <c r="C77" s="209"/>
      <c r="D77" s="209"/>
      <c r="E77" s="209"/>
      <c r="F77" s="209"/>
      <c r="G77" s="209"/>
      <c r="H77" s="209"/>
      <c r="I77" s="209"/>
      <c r="J77" s="209"/>
      <c r="K77" s="209"/>
      <c r="L77" s="209"/>
      <c r="M77" s="209"/>
      <c r="N77" s="209"/>
      <c r="O77" s="209"/>
      <c r="P77" s="209"/>
      <c r="Q77" s="210"/>
    </row>
    <row r="78" spans="1:17" s="87" customFormat="1" ht="46.5" customHeight="1">
      <c r="A78" s="14">
        <v>5.11</v>
      </c>
      <c r="B78" s="7" t="s">
        <v>125</v>
      </c>
      <c r="C78" s="27" t="s">
        <v>241</v>
      </c>
      <c r="D78" s="45">
        <v>123082.88600063403</v>
      </c>
      <c r="E78" s="45">
        <v>61854.76388109927</v>
      </c>
      <c r="F78" s="45">
        <v>82749.35011826674</v>
      </c>
      <c r="G78" s="45">
        <f aca="true" t="shared" si="16" ref="G78:O78">0*1.0449</f>
        <v>0</v>
      </c>
      <c r="H78" s="45">
        <f t="shared" si="16"/>
        <v>0</v>
      </c>
      <c r="I78" s="45">
        <f t="shared" si="16"/>
        <v>0</v>
      </c>
      <c r="J78" s="45">
        <f t="shared" si="16"/>
        <v>0</v>
      </c>
      <c r="K78" s="45">
        <f t="shared" si="16"/>
        <v>0</v>
      </c>
      <c r="L78" s="45">
        <f t="shared" si="16"/>
        <v>0</v>
      </c>
      <c r="M78" s="45">
        <f t="shared" si="16"/>
        <v>0</v>
      </c>
      <c r="N78" s="45">
        <f t="shared" si="16"/>
        <v>0</v>
      </c>
      <c r="O78" s="45">
        <f t="shared" si="16"/>
        <v>0</v>
      </c>
      <c r="P78" s="45">
        <f>SUM(D78:O78)</f>
        <v>267687</v>
      </c>
      <c r="Q78" s="35" t="s">
        <v>228</v>
      </c>
    </row>
    <row r="79" spans="1:17" s="11" customFormat="1" ht="12">
      <c r="A79" s="137"/>
      <c r="B79" s="129"/>
      <c r="C79" s="130"/>
      <c r="D79" s="138"/>
      <c r="E79" s="138"/>
      <c r="F79" s="138"/>
      <c r="G79" s="138"/>
      <c r="H79" s="138"/>
      <c r="I79" s="138"/>
      <c r="J79" s="138"/>
      <c r="K79" s="138"/>
      <c r="L79" s="138"/>
      <c r="M79" s="138"/>
      <c r="N79" s="138"/>
      <c r="O79" s="138"/>
      <c r="P79" s="139"/>
      <c r="Q79" s="130"/>
    </row>
    <row r="80" spans="1:17" s="87" customFormat="1" ht="27" customHeight="1">
      <c r="A80" s="216" t="s">
        <v>242</v>
      </c>
      <c r="B80" s="216"/>
      <c r="C80" s="216"/>
      <c r="D80" s="216"/>
      <c r="E80" s="216"/>
      <c r="F80" s="216"/>
      <c r="G80" s="216"/>
      <c r="H80" s="216"/>
      <c r="I80" s="216"/>
      <c r="J80" s="216"/>
      <c r="K80" s="216"/>
      <c r="L80" s="216"/>
      <c r="M80" s="216"/>
      <c r="N80" s="216"/>
      <c r="O80" s="216"/>
      <c r="P80" s="216"/>
      <c r="Q80" s="216"/>
    </row>
    <row r="82" ht="12.75">
      <c r="A82" s="63" t="s">
        <v>103</v>
      </c>
    </row>
    <row r="83" ht="12.75">
      <c r="A83" s="63"/>
    </row>
    <row r="85" spans="1:3" ht="12.75">
      <c r="A85">
        <v>2005</v>
      </c>
      <c r="B85" s="80">
        <v>0.0449</v>
      </c>
      <c r="C85" t="s">
        <v>325</v>
      </c>
    </row>
    <row r="86" spans="1:2" ht="12.75">
      <c r="A86">
        <v>2006</v>
      </c>
      <c r="B86" s="80">
        <v>0.023</v>
      </c>
    </row>
    <row r="87" spans="1:2" ht="12.75">
      <c r="A87">
        <v>2007</v>
      </c>
      <c r="B87" s="80">
        <v>0.0165</v>
      </c>
    </row>
    <row r="88" spans="1:2" ht="12.75">
      <c r="A88">
        <v>2008</v>
      </c>
      <c r="B88" s="80">
        <v>0.2378</v>
      </c>
    </row>
    <row r="89" spans="1:2" ht="12.75">
      <c r="A89">
        <v>2009</v>
      </c>
      <c r="B89" s="80">
        <v>-0.041</v>
      </c>
    </row>
    <row r="91" spans="1:17" ht="48" customHeight="1">
      <c r="A91" s="221" t="s">
        <v>374</v>
      </c>
      <c r="B91" s="221"/>
      <c r="C91" s="221"/>
      <c r="D91" s="221"/>
      <c r="E91" s="221"/>
      <c r="F91" s="221"/>
      <c r="G91" s="221"/>
      <c r="H91" s="221"/>
      <c r="I91" s="221"/>
      <c r="J91" s="221"/>
      <c r="K91" s="221"/>
      <c r="L91" s="221"/>
      <c r="M91" s="221"/>
      <c r="N91" s="221"/>
      <c r="O91" s="221"/>
      <c r="P91" s="221"/>
      <c r="Q91" s="221"/>
    </row>
    <row r="92" spans="1:17" ht="12.75">
      <c r="A92" s="187"/>
      <c r="B92" s="187"/>
      <c r="C92" s="187"/>
      <c r="D92" s="187"/>
      <c r="E92" s="187"/>
      <c r="F92" s="187"/>
      <c r="G92" s="187"/>
      <c r="H92" s="187"/>
      <c r="I92" s="187"/>
      <c r="J92" s="187"/>
      <c r="K92" s="187"/>
      <c r="L92" s="187"/>
      <c r="M92" s="187"/>
      <c r="N92" s="187"/>
      <c r="O92" s="187"/>
      <c r="P92" s="188"/>
      <c r="Q92" s="187"/>
    </row>
    <row r="93" spans="1:17" ht="12.75">
      <c r="A93" s="187" t="s">
        <v>364</v>
      </c>
      <c r="B93" s="187"/>
      <c r="C93" s="187"/>
      <c r="D93" s="187"/>
      <c r="E93" s="187"/>
      <c r="F93" s="187"/>
      <c r="G93" s="187"/>
      <c r="H93" s="187"/>
      <c r="I93" s="187"/>
      <c r="J93" s="187"/>
      <c r="K93" s="187"/>
      <c r="L93" s="187"/>
      <c r="M93" s="187"/>
      <c r="N93" s="187"/>
      <c r="O93" s="187"/>
      <c r="P93" s="188"/>
      <c r="Q93" s="187"/>
    </row>
    <row r="94" spans="1:17" ht="12.75">
      <c r="A94" s="187"/>
      <c r="B94" s="187"/>
      <c r="C94" s="187"/>
      <c r="D94" s="187"/>
      <c r="E94" s="187"/>
      <c r="F94" s="187"/>
      <c r="G94" s="187"/>
      <c r="H94" s="187"/>
      <c r="I94" s="187"/>
      <c r="J94" s="187"/>
      <c r="K94" s="187"/>
      <c r="L94" s="187"/>
      <c r="M94" s="187"/>
      <c r="N94" s="187"/>
      <c r="O94" s="187"/>
      <c r="P94" s="188"/>
      <c r="Q94" s="187"/>
    </row>
    <row r="95" spans="1:17" ht="12.75">
      <c r="A95" s="187"/>
      <c r="B95" s="187"/>
      <c r="C95" s="187"/>
      <c r="D95" s="187"/>
      <c r="E95" s="187"/>
      <c r="F95" s="187"/>
      <c r="G95" s="187"/>
      <c r="H95" s="187"/>
      <c r="I95" s="187"/>
      <c r="J95" s="187"/>
      <c r="K95" s="187"/>
      <c r="L95" s="187"/>
      <c r="M95" s="187"/>
      <c r="N95" s="187"/>
      <c r="O95" s="187"/>
      <c r="P95" s="188"/>
      <c r="Q95" s="187"/>
    </row>
    <row r="96" spans="1:17" ht="12.75">
      <c r="A96" s="187"/>
      <c r="B96" s="222" t="s">
        <v>367</v>
      </c>
      <c r="C96" s="222"/>
      <c r="D96" s="187"/>
      <c r="E96" s="187"/>
      <c r="F96" s="187"/>
      <c r="G96" s="187"/>
      <c r="H96" s="187"/>
      <c r="I96" s="187"/>
      <c r="J96" s="187"/>
      <c r="K96" s="187"/>
      <c r="L96" s="187"/>
      <c r="M96" s="187"/>
      <c r="N96" s="187"/>
      <c r="O96" s="187"/>
      <c r="P96" s="188"/>
      <c r="Q96" s="187"/>
    </row>
    <row r="97" spans="1:17" ht="25.5">
      <c r="A97" s="189" t="s">
        <v>366</v>
      </c>
      <c r="B97" s="189" t="s">
        <v>365</v>
      </c>
      <c r="C97" s="190" t="s">
        <v>368</v>
      </c>
      <c r="D97" s="191"/>
      <c r="E97" s="187"/>
      <c r="F97" s="187"/>
      <c r="G97" s="187"/>
      <c r="H97" s="187"/>
      <c r="I97" s="187"/>
      <c r="J97" s="187"/>
      <c r="K97" s="187"/>
      <c r="L97" s="187"/>
      <c r="M97" s="187"/>
      <c r="N97" s="187"/>
      <c r="O97" s="187"/>
      <c r="P97" s="188"/>
      <c r="Q97" s="187"/>
    </row>
    <row r="98" spans="1:17" ht="12.75">
      <c r="A98" s="187">
        <v>2005</v>
      </c>
      <c r="B98" s="192">
        <v>295000</v>
      </c>
      <c r="C98" s="192">
        <v>66100</v>
      </c>
      <c r="D98" s="187"/>
      <c r="E98" s="187"/>
      <c r="F98" s="187"/>
      <c r="G98" s="187"/>
      <c r="H98" s="187"/>
      <c r="I98" s="187"/>
      <c r="J98" s="187"/>
      <c r="K98" s="187"/>
      <c r="L98" s="187"/>
      <c r="M98" s="187"/>
      <c r="N98" s="187"/>
      <c r="O98" s="187"/>
      <c r="P98" s="188"/>
      <c r="Q98" s="187"/>
    </row>
    <row r="99" spans="1:17" ht="12.75">
      <c r="A99" s="187">
        <v>2006</v>
      </c>
      <c r="B99" s="192">
        <v>306100</v>
      </c>
      <c r="C99" s="192">
        <v>69700</v>
      </c>
      <c r="D99" s="187"/>
      <c r="E99" s="187"/>
      <c r="F99" s="187"/>
      <c r="G99" s="187"/>
      <c r="H99" s="187"/>
      <c r="I99" s="187"/>
      <c r="J99" s="187"/>
      <c r="K99" s="187"/>
      <c r="L99" s="187"/>
      <c r="M99" s="187"/>
      <c r="N99" s="187"/>
      <c r="O99" s="187"/>
      <c r="P99" s="188"/>
      <c r="Q99" s="187"/>
    </row>
    <row r="100" spans="1:17" ht="12.75">
      <c r="A100" s="187">
        <v>2007</v>
      </c>
      <c r="B100" s="192">
        <v>314500</v>
      </c>
      <c r="C100" s="192">
        <v>48800</v>
      </c>
      <c r="D100" s="187"/>
      <c r="E100" s="187"/>
      <c r="F100" s="187"/>
      <c r="G100" s="187"/>
      <c r="H100" s="187"/>
      <c r="I100" s="187"/>
      <c r="J100" s="187"/>
      <c r="K100" s="187"/>
      <c r="L100" s="187"/>
      <c r="M100" s="187"/>
      <c r="N100" s="187"/>
      <c r="O100" s="187"/>
      <c r="P100" s="188"/>
      <c r="Q100" s="187"/>
    </row>
    <row r="101" spans="1:17" ht="12.75">
      <c r="A101" s="187">
        <v>2008</v>
      </c>
      <c r="B101" s="192">
        <v>322900</v>
      </c>
      <c r="C101" s="192">
        <v>51100</v>
      </c>
      <c r="D101" s="187"/>
      <c r="E101" s="187"/>
      <c r="F101" s="187"/>
      <c r="G101" s="187"/>
      <c r="H101" s="187"/>
      <c r="I101" s="187"/>
      <c r="J101" s="187"/>
      <c r="K101" s="187"/>
      <c r="L101" s="187"/>
      <c r="M101" s="187"/>
      <c r="N101" s="187"/>
      <c r="O101" s="187"/>
      <c r="P101" s="188"/>
      <c r="Q101" s="187"/>
    </row>
    <row r="102" spans="1:17" ht="12.75">
      <c r="A102" s="187">
        <v>2009</v>
      </c>
      <c r="B102" s="192">
        <v>331300</v>
      </c>
      <c r="C102" s="192">
        <v>53500</v>
      </c>
      <c r="D102" s="187"/>
      <c r="E102" s="187"/>
      <c r="F102" s="187"/>
      <c r="G102" s="187"/>
      <c r="H102" s="187"/>
      <c r="I102" s="187"/>
      <c r="J102" s="187"/>
      <c r="K102" s="187"/>
      <c r="L102" s="187"/>
      <c r="M102" s="187"/>
      <c r="N102" s="187"/>
      <c r="O102" s="187"/>
      <c r="P102" s="188"/>
      <c r="Q102" s="187"/>
    </row>
    <row r="103" spans="1:17" ht="12.75">
      <c r="A103" s="187">
        <v>2010</v>
      </c>
      <c r="B103" s="195" t="s">
        <v>377</v>
      </c>
      <c r="C103" s="195" t="s">
        <v>377</v>
      </c>
      <c r="D103" s="187"/>
      <c r="E103" s="187"/>
      <c r="F103" s="187"/>
      <c r="G103" s="187"/>
      <c r="H103" s="187"/>
      <c r="I103" s="187"/>
      <c r="J103" s="187"/>
      <c r="K103" s="187"/>
      <c r="L103" s="187"/>
      <c r="M103" s="187"/>
      <c r="N103" s="187"/>
      <c r="O103" s="187"/>
      <c r="P103" s="188"/>
      <c r="Q103" s="187"/>
    </row>
    <row r="104" spans="1:17" ht="12.75">
      <c r="A104" s="187"/>
      <c r="B104" s="195"/>
      <c r="C104" s="195"/>
      <c r="D104" s="187"/>
      <c r="E104" s="187"/>
      <c r="F104" s="187"/>
      <c r="G104" s="187"/>
      <c r="H104" s="187"/>
      <c r="I104" s="187"/>
      <c r="J104" s="187"/>
      <c r="K104" s="187"/>
      <c r="L104" s="187"/>
      <c r="M104" s="187"/>
      <c r="N104" s="187"/>
      <c r="O104" s="187"/>
      <c r="P104" s="188"/>
      <c r="Q104" s="187"/>
    </row>
    <row r="105" spans="1:17" ht="12.75">
      <c r="A105" s="168" t="s">
        <v>369</v>
      </c>
      <c r="B105" s="168"/>
      <c r="C105" s="187"/>
      <c r="D105" s="187"/>
      <c r="E105" s="187"/>
      <c r="F105" s="187"/>
      <c r="G105" s="187"/>
      <c r="H105" s="187"/>
      <c r="I105" s="187"/>
      <c r="J105" s="187"/>
      <c r="K105" s="187"/>
      <c r="L105" s="187"/>
      <c r="M105" s="187"/>
      <c r="N105" s="187"/>
      <c r="O105" s="187"/>
      <c r="P105" s="188"/>
      <c r="Q105" s="187"/>
    </row>
    <row r="106" spans="1:17" ht="12.75">
      <c r="A106" s="185" t="s">
        <v>373</v>
      </c>
      <c r="B106" s="169">
        <v>368065</v>
      </c>
      <c r="C106" s="187"/>
      <c r="D106" s="187"/>
      <c r="E106" s="187"/>
      <c r="F106" s="187"/>
      <c r="G106" s="187"/>
      <c r="H106" s="187"/>
      <c r="I106" s="187"/>
      <c r="J106" s="187"/>
      <c r="K106" s="187"/>
      <c r="L106" s="187"/>
      <c r="M106" s="187"/>
      <c r="N106" s="187"/>
      <c r="O106" s="187"/>
      <c r="P106" s="188"/>
      <c r="Q106" s="187"/>
    </row>
    <row r="107" spans="1:17" ht="12.75">
      <c r="A107" s="185" t="s">
        <v>371</v>
      </c>
      <c r="B107" s="169">
        <v>772576</v>
      </c>
      <c r="C107" s="187"/>
      <c r="D107" s="187"/>
      <c r="E107" s="187"/>
      <c r="F107" s="187"/>
      <c r="G107" s="187"/>
      <c r="H107" s="187"/>
      <c r="I107" s="187"/>
      <c r="J107" s="187"/>
      <c r="K107" s="187"/>
      <c r="L107" s="187"/>
      <c r="M107" s="187"/>
      <c r="N107" s="187"/>
      <c r="O107" s="187"/>
      <c r="P107" s="188"/>
      <c r="Q107" s="187"/>
    </row>
    <row r="108" spans="1:17" ht="12.75">
      <c r="A108" s="185" t="s">
        <v>370</v>
      </c>
      <c r="B108" s="186">
        <v>376726</v>
      </c>
      <c r="C108" s="187"/>
      <c r="D108" s="187"/>
      <c r="E108" s="187"/>
      <c r="F108" s="187"/>
      <c r="G108" s="187"/>
      <c r="H108" s="187"/>
      <c r="I108" s="187"/>
      <c r="J108" s="187"/>
      <c r="K108" s="187"/>
      <c r="L108" s="187"/>
      <c r="M108" s="187"/>
      <c r="N108" s="187"/>
      <c r="O108" s="187"/>
      <c r="P108" s="188"/>
      <c r="Q108" s="187"/>
    </row>
    <row r="109" spans="1:17" ht="25.5">
      <c r="A109" s="193" t="s">
        <v>372</v>
      </c>
      <c r="B109" s="188">
        <f>SUM(B106:B108)</f>
        <v>1517367</v>
      </c>
      <c r="C109" s="187"/>
      <c r="D109" s="187"/>
      <c r="E109" s="187"/>
      <c r="F109" s="187"/>
      <c r="G109" s="187"/>
      <c r="H109" s="187"/>
      <c r="I109" s="187"/>
      <c r="J109" s="187"/>
      <c r="K109" s="187"/>
      <c r="L109" s="187"/>
      <c r="M109" s="187"/>
      <c r="N109" s="187"/>
      <c r="O109" s="187"/>
      <c r="P109" s="188"/>
      <c r="Q109" s="187"/>
    </row>
  </sheetData>
  <mergeCells count="13">
    <mergeCell ref="A31:Q31"/>
    <mergeCell ref="A59:Q59"/>
    <mergeCell ref="A1:Q1"/>
    <mergeCell ref="A3:Q3"/>
    <mergeCell ref="C5:P5"/>
    <mergeCell ref="A17:Q17"/>
    <mergeCell ref="A63:Q63"/>
    <mergeCell ref="A70:Q70"/>
    <mergeCell ref="A91:Q91"/>
    <mergeCell ref="B96:C96"/>
    <mergeCell ref="A80:Q80"/>
    <mergeCell ref="A75:Q75"/>
    <mergeCell ref="A77:Q77"/>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2" manualBreakCount="2">
    <brk id="62" max="255" man="1"/>
    <brk id="76" max="255" man="1"/>
  </rowBreaks>
</worksheet>
</file>

<file path=xl/worksheets/sheet9.xml><?xml version="1.0" encoding="utf-8"?>
<worksheet xmlns="http://schemas.openxmlformats.org/spreadsheetml/2006/main" xmlns:r="http://schemas.openxmlformats.org/officeDocument/2006/relationships">
  <dimension ref="A1:R108"/>
  <sheetViews>
    <sheetView zoomScale="75" zoomScaleNormal="75" workbookViewId="0" topLeftCell="A1">
      <selection activeCell="D71" sqref="D71:P71"/>
    </sheetView>
  </sheetViews>
  <sheetFormatPr defaultColWidth="9.140625" defaultRowHeight="12.75"/>
  <cols>
    <col min="1" max="1" width="13.28125" style="0" customWidth="1"/>
    <col min="2" max="2" width="20.00390625" style="0" customWidth="1"/>
    <col min="3" max="3" width="16.140625" style="0" customWidth="1"/>
    <col min="5" max="5" width="11.57421875" style="0" customWidth="1"/>
    <col min="6" max="6" width="9.7109375" style="0" customWidth="1"/>
    <col min="7" max="7" width="9.57421875" style="0" customWidth="1"/>
    <col min="9" max="9" width="9.8515625" style="0" customWidth="1"/>
    <col min="10" max="10" width="9.28125" style="0" customWidth="1"/>
    <col min="11" max="11" width="9.8515625" style="0" customWidth="1"/>
    <col min="15" max="15" width="9.8515625" style="0" customWidth="1"/>
    <col min="16" max="16" width="11.00390625" style="48" customWidth="1"/>
    <col min="17" max="17" width="19.421875" style="0" customWidth="1"/>
    <col min="18" max="18" width="8.28125" style="0" customWidth="1"/>
    <col min="20" max="20" width="11.57421875" style="0" customWidth="1"/>
  </cols>
  <sheetData>
    <row r="1" spans="1:17" ht="18">
      <c r="A1" s="211" t="s">
        <v>17</v>
      </c>
      <c r="B1" s="211"/>
      <c r="C1" s="211"/>
      <c r="D1" s="211"/>
      <c r="E1" s="211"/>
      <c r="F1" s="211"/>
      <c r="G1" s="211"/>
      <c r="H1" s="211"/>
      <c r="I1" s="211"/>
      <c r="J1" s="211"/>
      <c r="K1" s="211"/>
      <c r="L1" s="211"/>
      <c r="M1" s="211"/>
      <c r="N1" s="211"/>
      <c r="O1" s="211"/>
      <c r="P1" s="211"/>
      <c r="Q1" s="211"/>
    </row>
    <row r="2" spans="1:16" ht="13.5" customHeight="1">
      <c r="A2" s="1"/>
      <c r="B2" s="1"/>
      <c r="C2" s="1"/>
      <c r="D2" s="1"/>
      <c r="E2" s="1"/>
      <c r="F2" s="1"/>
      <c r="G2" s="1"/>
      <c r="H2" s="1"/>
      <c r="I2" s="1"/>
      <c r="J2" s="1"/>
      <c r="K2" s="1"/>
      <c r="L2" s="1"/>
      <c r="M2" s="1"/>
      <c r="N2" s="1"/>
      <c r="O2" s="1"/>
      <c r="P2" s="47"/>
    </row>
    <row r="3" spans="1:17" ht="18">
      <c r="A3" s="211" t="s">
        <v>354</v>
      </c>
      <c r="B3" s="211"/>
      <c r="C3" s="211"/>
      <c r="D3" s="211"/>
      <c r="E3" s="211"/>
      <c r="F3" s="211"/>
      <c r="G3" s="211"/>
      <c r="H3" s="211"/>
      <c r="I3" s="211"/>
      <c r="J3" s="211"/>
      <c r="K3" s="211"/>
      <c r="L3" s="211"/>
      <c r="M3" s="211"/>
      <c r="N3" s="211"/>
      <c r="O3" s="211"/>
      <c r="P3" s="211"/>
      <c r="Q3" s="211"/>
    </row>
    <row r="4" spans="1:17" ht="18">
      <c r="A4" s="47"/>
      <c r="B4" s="47"/>
      <c r="C4" s="47"/>
      <c r="D4" s="47"/>
      <c r="E4" s="47"/>
      <c r="F4" s="47"/>
      <c r="G4" s="47"/>
      <c r="H4" s="47"/>
      <c r="I4" s="47"/>
      <c r="J4" s="47"/>
      <c r="K4" s="47"/>
      <c r="L4" s="47"/>
      <c r="M4" s="47"/>
      <c r="N4" s="47"/>
      <c r="O4" s="47"/>
      <c r="P4" s="47"/>
      <c r="Q4" s="47"/>
    </row>
    <row r="5" spans="1:17" ht="50.25" customHeight="1">
      <c r="A5" s="223" t="s">
        <v>383</v>
      </c>
      <c r="B5" s="223"/>
      <c r="C5" s="223"/>
      <c r="D5" s="223"/>
      <c r="E5" s="223"/>
      <c r="F5" s="223"/>
      <c r="G5" s="223"/>
      <c r="H5" s="223"/>
      <c r="I5" s="223"/>
      <c r="J5" s="223"/>
      <c r="K5" s="223"/>
      <c r="L5" s="223"/>
      <c r="M5" s="223"/>
      <c r="N5" s="223"/>
      <c r="O5" s="223"/>
      <c r="P5" s="223"/>
      <c r="Q5" s="223"/>
    </row>
    <row r="7" spans="3:17" s="2" customFormat="1" ht="12.75" customHeight="1">
      <c r="C7" s="212" t="s">
        <v>355</v>
      </c>
      <c r="D7" s="213"/>
      <c r="E7" s="213"/>
      <c r="F7" s="213"/>
      <c r="G7" s="213"/>
      <c r="H7" s="213"/>
      <c r="I7" s="213"/>
      <c r="J7" s="213"/>
      <c r="K7" s="213"/>
      <c r="L7" s="213"/>
      <c r="M7" s="213"/>
      <c r="N7" s="213"/>
      <c r="O7" s="213"/>
      <c r="P7" s="214"/>
      <c r="Q7" s="3"/>
    </row>
    <row r="8" spans="1:17" s="3" customFormat="1" ht="60.75" customHeight="1">
      <c r="A8" s="180" t="s">
        <v>0</v>
      </c>
      <c r="B8" s="174" t="s">
        <v>1</v>
      </c>
      <c r="C8" s="180" t="s">
        <v>2</v>
      </c>
      <c r="D8" s="178" t="s">
        <v>3</v>
      </c>
      <c r="E8" s="178" t="s">
        <v>4</v>
      </c>
      <c r="F8" s="178" t="s">
        <v>5</v>
      </c>
      <c r="G8" s="178" t="s">
        <v>6</v>
      </c>
      <c r="H8" s="178" t="s">
        <v>8</v>
      </c>
      <c r="I8" s="178" t="s">
        <v>7</v>
      </c>
      <c r="J8" s="178" t="s">
        <v>9</v>
      </c>
      <c r="K8" s="178" t="s">
        <v>10</v>
      </c>
      <c r="L8" s="178" t="s">
        <v>11</v>
      </c>
      <c r="M8" s="178" t="s">
        <v>12</v>
      </c>
      <c r="N8" s="178" t="s">
        <v>13</v>
      </c>
      <c r="O8" s="178" t="s">
        <v>14</v>
      </c>
      <c r="P8" s="181" t="s">
        <v>16</v>
      </c>
      <c r="Q8" s="174" t="s">
        <v>15</v>
      </c>
    </row>
    <row r="9" spans="1:17" s="3" customFormat="1" ht="12">
      <c r="A9" s="19" t="s">
        <v>40</v>
      </c>
      <c r="B9" s="15"/>
      <c r="C9" s="16"/>
      <c r="D9" s="17"/>
      <c r="E9" s="17"/>
      <c r="F9" s="17"/>
      <c r="G9" s="17"/>
      <c r="H9" s="17"/>
      <c r="I9" s="17"/>
      <c r="J9" s="17"/>
      <c r="K9" s="17"/>
      <c r="L9" s="17"/>
      <c r="M9" s="17"/>
      <c r="N9" s="17"/>
      <c r="O9" s="17"/>
      <c r="P9" s="49"/>
      <c r="Q9" s="18"/>
    </row>
    <row r="10" spans="1:17" s="3" customFormat="1" ht="46.5" customHeight="1">
      <c r="A10" s="38" t="s">
        <v>41</v>
      </c>
      <c r="B10" s="27" t="s">
        <v>42</v>
      </c>
      <c r="C10" s="27" t="s">
        <v>43</v>
      </c>
      <c r="D10" s="10" t="s">
        <v>59</v>
      </c>
      <c r="E10" s="10" t="s">
        <v>59</v>
      </c>
      <c r="F10" s="10" t="s">
        <v>59</v>
      </c>
      <c r="G10" s="10" t="s">
        <v>59</v>
      </c>
      <c r="H10" s="10" t="s">
        <v>59</v>
      </c>
      <c r="I10" s="10" t="s">
        <v>59</v>
      </c>
      <c r="J10" s="10" t="s">
        <v>59</v>
      </c>
      <c r="K10" s="10" t="s">
        <v>59</v>
      </c>
      <c r="L10" s="10" t="s">
        <v>59</v>
      </c>
      <c r="M10" s="10" t="s">
        <v>59</v>
      </c>
      <c r="N10" s="10" t="s">
        <v>59</v>
      </c>
      <c r="O10" s="10" t="s">
        <v>59</v>
      </c>
      <c r="P10" s="44" t="s">
        <v>59</v>
      </c>
      <c r="Q10" s="38" t="s">
        <v>162</v>
      </c>
    </row>
    <row r="11" spans="1:17" s="3" customFormat="1" ht="12">
      <c r="A11" s="19" t="s">
        <v>245</v>
      </c>
      <c r="B11" s="15"/>
      <c r="C11" s="16"/>
      <c r="D11" s="17"/>
      <c r="E11" s="17"/>
      <c r="F11" s="17"/>
      <c r="G11" s="17"/>
      <c r="H11" s="17"/>
      <c r="I11" s="17"/>
      <c r="J11" s="17"/>
      <c r="K11" s="17"/>
      <c r="L11" s="17"/>
      <c r="M11" s="17"/>
      <c r="N11" s="17"/>
      <c r="O11" s="17"/>
      <c r="P11" s="49"/>
      <c r="Q11" s="18"/>
    </row>
    <row r="12" spans="1:17" s="3" customFormat="1" ht="46.5" customHeight="1">
      <c r="A12" s="38">
        <v>5.2</v>
      </c>
      <c r="B12" s="27" t="s">
        <v>246</v>
      </c>
      <c r="C12" s="27" t="s">
        <v>240</v>
      </c>
      <c r="D12" s="10" t="s">
        <v>59</v>
      </c>
      <c r="E12" s="10" t="s">
        <v>59</v>
      </c>
      <c r="F12" s="10" t="s">
        <v>59</v>
      </c>
      <c r="G12" s="10" t="s">
        <v>59</v>
      </c>
      <c r="H12" s="10" t="s">
        <v>59</v>
      </c>
      <c r="I12" s="10" t="s">
        <v>59</v>
      </c>
      <c r="J12" s="10" t="s">
        <v>59</v>
      </c>
      <c r="K12" s="10" t="s">
        <v>59</v>
      </c>
      <c r="L12" s="10" t="s">
        <v>59</v>
      </c>
      <c r="M12" s="10" t="s">
        <v>59</v>
      </c>
      <c r="N12" s="10" t="s">
        <v>59</v>
      </c>
      <c r="O12" s="10" t="s">
        <v>59</v>
      </c>
      <c r="P12" s="44" t="s">
        <v>59</v>
      </c>
      <c r="Q12" s="38"/>
    </row>
    <row r="13" spans="1:17" s="3" customFormat="1" ht="12">
      <c r="A13" s="19" t="s">
        <v>247</v>
      </c>
      <c r="B13" s="15"/>
      <c r="C13" s="16"/>
      <c r="D13" s="17"/>
      <c r="E13" s="17"/>
      <c r="F13" s="17"/>
      <c r="G13" s="17"/>
      <c r="H13" s="17"/>
      <c r="I13" s="17"/>
      <c r="J13" s="17"/>
      <c r="K13" s="17"/>
      <c r="L13" s="17"/>
      <c r="M13" s="17"/>
      <c r="N13" s="17"/>
      <c r="O13" s="17"/>
      <c r="P13" s="49"/>
      <c r="Q13" s="18"/>
    </row>
    <row r="14" spans="1:17" s="3" customFormat="1" ht="24">
      <c r="A14" s="24" t="s">
        <v>248</v>
      </c>
      <c r="B14" s="24" t="s">
        <v>148</v>
      </c>
      <c r="C14" s="24" t="s">
        <v>44</v>
      </c>
      <c r="D14" s="10" t="s">
        <v>59</v>
      </c>
      <c r="E14" s="10" t="s">
        <v>59</v>
      </c>
      <c r="F14" s="10" t="s">
        <v>59</v>
      </c>
      <c r="G14" s="10" t="s">
        <v>59</v>
      </c>
      <c r="H14" s="10" t="s">
        <v>59</v>
      </c>
      <c r="I14" s="10" t="s">
        <v>59</v>
      </c>
      <c r="J14" s="10" t="s">
        <v>59</v>
      </c>
      <c r="K14" s="10" t="s">
        <v>59</v>
      </c>
      <c r="L14" s="10" t="s">
        <v>59</v>
      </c>
      <c r="M14" s="10" t="s">
        <v>59</v>
      </c>
      <c r="N14" s="10" t="s">
        <v>59</v>
      </c>
      <c r="O14" s="10" t="s">
        <v>59</v>
      </c>
      <c r="P14" s="44" t="s">
        <v>59</v>
      </c>
      <c r="Q14" s="28"/>
    </row>
    <row r="15" spans="1:17" s="3" customFormat="1" ht="12">
      <c r="A15" s="24" t="s">
        <v>249</v>
      </c>
      <c r="B15" s="38" t="s">
        <v>62</v>
      </c>
      <c r="C15" s="24" t="s">
        <v>44</v>
      </c>
      <c r="D15" s="10" t="s">
        <v>59</v>
      </c>
      <c r="E15" s="10" t="s">
        <v>59</v>
      </c>
      <c r="F15" s="10" t="s">
        <v>59</v>
      </c>
      <c r="G15" s="10" t="s">
        <v>59</v>
      </c>
      <c r="H15" s="10" t="s">
        <v>59</v>
      </c>
      <c r="I15" s="10" t="s">
        <v>59</v>
      </c>
      <c r="J15" s="10" t="s">
        <v>59</v>
      </c>
      <c r="K15" s="10" t="s">
        <v>59</v>
      </c>
      <c r="L15" s="10" t="s">
        <v>59</v>
      </c>
      <c r="M15" s="10" t="s">
        <v>59</v>
      </c>
      <c r="N15" s="10" t="s">
        <v>59</v>
      </c>
      <c r="O15" s="10" t="s">
        <v>59</v>
      </c>
      <c r="P15" s="44" t="s">
        <v>59</v>
      </c>
      <c r="Q15" s="28"/>
    </row>
    <row r="16" spans="1:17" s="3" customFormat="1" ht="12">
      <c r="A16" s="24" t="s">
        <v>250</v>
      </c>
      <c r="B16" s="38" t="s">
        <v>63</v>
      </c>
      <c r="C16" s="24" t="s">
        <v>44</v>
      </c>
      <c r="D16" s="10" t="s">
        <v>59</v>
      </c>
      <c r="E16" s="10" t="s">
        <v>59</v>
      </c>
      <c r="F16" s="10" t="s">
        <v>59</v>
      </c>
      <c r="G16" s="10" t="s">
        <v>59</v>
      </c>
      <c r="H16" s="10" t="s">
        <v>59</v>
      </c>
      <c r="I16" s="10" t="s">
        <v>59</v>
      </c>
      <c r="J16" s="10" t="s">
        <v>59</v>
      </c>
      <c r="K16" s="10" t="s">
        <v>59</v>
      </c>
      <c r="L16" s="10" t="s">
        <v>59</v>
      </c>
      <c r="M16" s="10" t="s">
        <v>59</v>
      </c>
      <c r="N16" s="10" t="s">
        <v>59</v>
      </c>
      <c r="O16" s="10" t="s">
        <v>59</v>
      </c>
      <c r="P16" s="44" t="s">
        <v>59</v>
      </c>
      <c r="Q16" s="28"/>
    </row>
    <row r="17" spans="1:17" s="3" customFormat="1" ht="12">
      <c r="A17" s="19" t="s">
        <v>251</v>
      </c>
      <c r="B17" s="15"/>
      <c r="C17" s="16"/>
      <c r="D17" s="17"/>
      <c r="E17" s="17"/>
      <c r="F17" s="17"/>
      <c r="G17" s="17"/>
      <c r="H17" s="17"/>
      <c r="I17" s="17"/>
      <c r="J17" s="17"/>
      <c r="K17" s="17"/>
      <c r="L17" s="17"/>
      <c r="M17" s="17"/>
      <c r="N17" s="17"/>
      <c r="O17" s="17"/>
      <c r="P17" s="49"/>
      <c r="Q17" s="66"/>
    </row>
    <row r="18" spans="1:18" s="58" customFormat="1" ht="24">
      <c r="A18" s="28">
        <v>5.4</v>
      </c>
      <c r="B18" s="38" t="s">
        <v>45</v>
      </c>
      <c r="C18" s="27" t="s">
        <v>46</v>
      </c>
      <c r="D18" s="32">
        <v>428528.2046601169</v>
      </c>
      <c r="E18" s="32">
        <v>472005.8577812299</v>
      </c>
      <c r="F18" s="32">
        <v>332605.20130743395</v>
      </c>
      <c r="G18" s="32">
        <v>315227.9651833924</v>
      </c>
      <c r="H18" s="32">
        <v>253345.18870195243</v>
      </c>
      <c r="I18" s="32">
        <v>404626.36134915927</v>
      </c>
      <c r="J18" s="32">
        <v>385493.1103771286</v>
      </c>
      <c r="K18" s="32">
        <v>445376.6495447247</v>
      </c>
      <c r="L18" s="32">
        <v>439182.69654463005</v>
      </c>
      <c r="M18" s="32">
        <v>449273.4723130284</v>
      </c>
      <c r="N18" s="32">
        <v>337637.0293013845</v>
      </c>
      <c r="O18" s="32">
        <v>468580.2629358191</v>
      </c>
      <c r="P18" s="45">
        <f>SUM(D18:O18)</f>
        <v>4731882</v>
      </c>
      <c r="Q18" s="7" t="s">
        <v>232</v>
      </c>
      <c r="R18" s="145"/>
    </row>
    <row r="19" spans="1:17" s="3" customFormat="1" ht="12">
      <c r="A19" s="208" t="s">
        <v>252</v>
      </c>
      <c r="B19" s="209"/>
      <c r="C19" s="209"/>
      <c r="D19" s="209"/>
      <c r="E19" s="209"/>
      <c r="F19" s="209"/>
      <c r="G19" s="209"/>
      <c r="H19" s="209"/>
      <c r="I19" s="209"/>
      <c r="J19" s="209"/>
      <c r="K19" s="209"/>
      <c r="L19" s="209"/>
      <c r="M19" s="209"/>
      <c r="N19" s="209"/>
      <c r="O19" s="209"/>
      <c r="P19" s="209"/>
      <c r="Q19" s="210"/>
    </row>
    <row r="20" spans="1:17" s="2" customFormat="1" ht="12">
      <c r="A20" s="4" t="s">
        <v>21</v>
      </c>
      <c r="B20" s="5" t="s">
        <v>18</v>
      </c>
      <c r="C20" s="40"/>
      <c r="D20" s="41"/>
      <c r="E20" s="41"/>
      <c r="F20" s="41"/>
      <c r="G20" s="41"/>
      <c r="H20" s="41"/>
      <c r="I20" s="41"/>
      <c r="J20" s="41"/>
      <c r="K20" s="41"/>
      <c r="L20" s="41"/>
      <c r="M20" s="41"/>
      <c r="N20" s="41"/>
      <c r="O20" s="41"/>
      <c r="P20" s="50"/>
      <c r="Q20" s="40"/>
    </row>
    <row r="21" spans="1:17" s="2" customFormat="1" ht="12">
      <c r="A21" s="23" t="s">
        <v>253</v>
      </c>
      <c r="B21" s="5" t="s">
        <v>149</v>
      </c>
      <c r="C21" s="40"/>
      <c r="D21" s="41"/>
      <c r="E21" s="41"/>
      <c r="F21" s="41"/>
      <c r="G21" s="41"/>
      <c r="H21" s="41"/>
      <c r="I21" s="41"/>
      <c r="J21" s="41"/>
      <c r="K21" s="41"/>
      <c r="L21" s="41"/>
      <c r="M21" s="41"/>
      <c r="N21" s="41"/>
      <c r="O21" s="41"/>
      <c r="P21" s="50"/>
      <c r="Q21" s="40"/>
    </row>
    <row r="22" spans="1:17" s="11" customFormat="1" ht="90.75" customHeight="1">
      <c r="A22" s="23" t="s">
        <v>254</v>
      </c>
      <c r="B22" s="7" t="s">
        <v>110</v>
      </c>
      <c r="C22" s="27" t="s">
        <v>47</v>
      </c>
      <c r="D22" s="10" t="s">
        <v>59</v>
      </c>
      <c r="E22" s="10" t="s">
        <v>59</v>
      </c>
      <c r="F22" s="10" t="s">
        <v>59</v>
      </c>
      <c r="G22" s="10" t="s">
        <v>59</v>
      </c>
      <c r="H22" s="10" t="s">
        <v>59</v>
      </c>
      <c r="I22" s="10" t="s">
        <v>59</v>
      </c>
      <c r="J22" s="10" t="s">
        <v>59</v>
      </c>
      <c r="K22" s="10" t="s">
        <v>59</v>
      </c>
      <c r="L22" s="10" t="s">
        <v>59</v>
      </c>
      <c r="M22" s="10" t="s">
        <v>59</v>
      </c>
      <c r="N22" s="10" t="s">
        <v>59</v>
      </c>
      <c r="O22" s="10" t="s">
        <v>59</v>
      </c>
      <c r="P22" s="44" t="s">
        <v>59</v>
      </c>
      <c r="Q22" s="7"/>
    </row>
    <row r="23" spans="1:17" s="11" customFormat="1" ht="84">
      <c r="A23" s="23" t="s">
        <v>254</v>
      </c>
      <c r="B23" s="7" t="s">
        <v>110</v>
      </c>
      <c r="C23" s="27" t="s">
        <v>48</v>
      </c>
      <c r="D23" s="10" t="s">
        <v>59</v>
      </c>
      <c r="E23" s="10" t="s">
        <v>59</v>
      </c>
      <c r="F23" s="10" t="s">
        <v>59</v>
      </c>
      <c r="G23" s="10" t="s">
        <v>59</v>
      </c>
      <c r="H23" s="10" t="s">
        <v>59</v>
      </c>
      <c r="I23" s="10" t="s">
        <v>59</v>
      </c>
      <c r="J23" s="10" t="s">
        <v>59</v>
      </c>
      <c r="K23" s="10" t="s">
        <v>59</v>
      </c>
      <c r="L23" s="10" t="s">
        <v>59</v>
      </c>
      <c r="M23" s="10" t="s">
        <v>59</v>
      </c>
      <c r="N23" s="10" t="s">
        <v>59</v>
      </c>
      <c r="O23" s="10" t="s">
        <v>59</v>
      </c>
      <c r="P23" s="44" t="s">
        <v>59</v>
      </c>
      <c r="Q23" s="7"/>
    </row>
    <row r="24" spans="1:17" s="11" customFormat="1" ht="60">
      <c r="A24" s="23" t="s">
        <v>254</v>
      </c>
      <c r="B24" s="7" t="s">
        <v>110</v>
      </c>
      <c r="C24" s="27" t="s">
        <v>144</v>
      </c>
      <c r="D24" s="10" t="s">
        <v>59</v>
      </c>
      <c r="E24" s="10" t="s">
        <v>59</v>
      </c>
      <c r="F24" s="10" t="s">
        <v>59</v>
      </c>
      <c r="G24" s="10" t="s">
        <v>59</v>
      </c>
      <c r="H24" s="10" t="s">
        <v>59</v>
      </c>
      <c r="I24" s="10" t="s">
        <v>59</v>
      </c>
      <c r="J24" s="10" t="s">
        <v>59</v>
      </c>
      <c r="K24" s="10" t="s">
        <v>59</v>
      </c>
      <c r="L24" s="10" t="s">
        <v>59</v>
      </c>
      <c r="M24" s="10" t="s">
        <v>59</v>
      </c>
      <c r="N24" s="10" t="s">
        <v>59</v>
      </c>
      <c r="O24" s="10" t="s">
        <v>59</v>
      </c>
      <c r="P24" s="44" t="s">
        <v>59</v>
      </c>
      <c r="Q24" s="7"/>
    </row>
    <row r="25" spans="1:17" s="2" customFormat="1" ht="84">
      <c r="A25" s="23" t="s">
        <v>254</v>
      </c>
      <c r="B25" s="7" t="s">
        <v>110</v>
      </c>
      <c r="C25" s="26" t="s">
        <v>49</v>
      </c>
      <c r="D25" s="8" t="s">
        <v>59</v>
      </c>
      <c r="E25" s="8" t="s">
        <v>59</v>
      </c>
      <c r="F25" s="8" t="s">
        <v>59</v>
      </c>
      <c r="G25" s="8" t="s">
        <v>59</v>
      </c>
      <c r="H25" s="8" t="s">
        <v>59</v>
      </c>
      <c r="I25" s="8" t="s">
        <v>59</v>
      </c>
      <c r="J25" s="8" t="s">
        <v>59</v>
      </c>
      <c r="K25" s="8" t="s">
        <v>59</v>
      </c>
      <c r="L25" s="8" t="s">
        <v>59</v>
      </c>
      <c r="M25" s="8" t="s">
        <v>59</v>
      </c>
      <c r="N25" s="8" t="s">
        <v>59</v>
      </c>
      <c r="O25" s="8" t="s">
        <v>59</v>
      </c>
      <c r="P25" s="46" t="s">
        <v>59</v>
      </c>
      <c r="Q25" s="7"/>
    </row>
    <row r="26" spans="1:17" s="2" customFormat="1" ht="96">
      <c r="A26" s="23" t="s">
        <v>254</v>
      </c>
      <c r="B26" s="7" t="s">
        <v>110</v>
      </c>
      <c r="C26" s="26" t="s">
        <v>50</v>
      </c>
      <c r="D26" s="8" t="s">
        <v>59</v>
      </c>
      <c r="E26" s="8" t="s">
        <v>59</v>
      </c>
      <c r="F26" s="8" t="s">
        <v>59</v>
      </c>
      <c r="G26" s="8" t="s">
        <v>59</v>
      </c>
      <c r="H26" s="8" t="s">
        <v>59</v>
      </c>
      <c r="I26" s="8" t="s">
        <v>59</v>
      </c>
      <c r="J26" s="8" t="s">
        <v>59</v>
      </c>
      <c r="K26" s="8" t="s">
        <v>59</v>
      </c>
      <c r="L26" s="8" t="s">
        <v>59</v>
      </c>
      <c r="M26" s="8" t="s">
        <v>59</v>
      </c>
      <c r="N26" s="8" t="s">
        <v>59</v>
      </c>
      <c r="O26" s="8" t="s">
        <v>59</v>
      </c>
      <c r="P26" s="46" t="s">
        <v>59</v>
      </c>
      <c r="Q26" s="5"/>
    </row>
    <row r="27" spans="1:17" s="2" customFormat="1" ht="120">
      <c r="A27" s="23" t="s">
        <v>254</v>
      </c>
      <c r="B27" s="7" t="s">
        <v>110</v>
      </c>
      <c r="C27" s="26" t="s">
        <v>51</v>
      </c>
      <c r="D27" s="8" t="s">
        <v>59</v>
      </c>
      <c r="E27" s="8" t="s">
        <v>59</v>
      </c>
      <c r="F27" s="8" t="s">
        <v>59</v>
      </c>
      <c r="G27" s="8" t="s">
        <v>59</v>
      </c>
      <c r="H27" s="8" t="s">
        <v>59</v>
      </c>
      <c r="I27" s="8" t="s">
        <v>59</v>
      </c>
      <c r="J27" s="8" t="s">
        <v>59</v>
      </c>
      <c r="K27" s="8" t="s">
        <v>59</v>
      </c>
      <c r="L27" s="8" t="s">
        <v>59</v>
      </c>
      <c r="M27" s="8" t="s">
        <v>59</v>
      </c>
      <c r="N27" s="8" t="s">
        <v>59</v>
      </c>
      <c r="O27" s="8" t="s">
        <v>59</v>
      </c>
      <c r="P27" s="46" t="s">
        <v>59</v>
      </c>
      <c r="Q27" s="5"/>
    </row>
    <row r="28" spans="1:17" s="2" customFormat="1" ht="84">
      <c r="A28" s="23" t="s">
        <v>254</v>
      </c>
      <c r="B28" s="7" t="s">
        <v>110</v>
      </c>
      <c r="C28" s="27" t="s">
        <v>75</v>
      </c>
      <c r="D28" s="8" t="s">
        <v>59</v>
      </c>
      <c r="E28" s="8" t="s">
        <v>59</v>
      </c>
      <c r="F28" s="8" t="s">
        <v>59</v>
      </c>
      <c r="G28" s="8" t="s">
        <v>59</v>
      </c>
      <c r="H28" s="8" t="s">
        <v>59</v>
      </c>
      <c r="I28" s="8" t="s">
        <v>59</v>
      </c>
      <c r="J28" s="8" t="s">
        <v>59</v>
      </c>
      <c r="K28" s="8" t="s">
        <v>59</v>
      </c>
      <c r="L28" s="8" t="s">
        <v>59</v>
      </c>
      <c r="M28" s="8" t="s">
        <v>59</v>
      </c>
      <c r="N28" s="8" t="s">
        <v>59</v>
      </c>
      <c r="O28" s="8" t="s">
        <v>59</v>
      </c>
      <c r="P28" s="46" t="s">
        <v>59</v>
      </c>
      <c r="Q28" s="26"/>
    </row>
    <row r="29" spans="1:17" s="2" customFormat="1" ht="36">
      <c r="A29" s="109" t="s">
        <v>255</v>
      </c>
      <c r="B29" s="110"/>
      <c r="C29" s="111"/>
      <c r="D29" s="166" t="s">
        <v>59</v>
      </c>
      <c r="E29" s="166" t="s">
        <v>59</v>
      </c>
      <c r="F29" s="166" t="s">
        <v>59</v>
      </c>
      <c r="G29" s="166" t="s">
        <v>59</v>
      </c>
      <c r="H29" s="166" t="s">
        <v>59</v>
      </c>
      <c r="I29" s="166" t="s">
        <v>59</v>
      </c>
      <c r="J29" s="166" t="s">
        <v>59</v>
      </c>
      <c r="K29" s="166" t="s">
        <v>59</v>
      </c>
      <c r="L29" s="166" t="s">
        <v>59</v>
      </c>
      <c r="M29" s="166" t="s">
        <v>59</v>
      </c>
      <c r="N29" s="166" t="s">
        <v>59</v>
      </c>
      <c r="O29" s="166" t="s">
        <v>59</v>
      </c>
      <c r="P29" s="167" t="s">
        <v>59</v>
      </c>
      <c r="Q29" s="111" t="s">
        <v>277</v>
      </c>
    </row>
    <row r="30" spans="1:17" s="2" customFormat="1" ht="36">
      <c r="A30" s="21" t="s">
        <v>256</v>
      </c>
      <c r="B30" s="5" t="s">
        <v>30</v>
      </c>
      <c r="C30" s="5" t="s">
        <v>99</v>
      </c>
      <c r="D30" s="8" t="s">
        <v>59</v>
      </c>
      <c r="E30" s="8" t="s">
        <v>59</v>
      </c>
      <c r="F30" s="8" t="s">
        <v>59</v>
      </c>
      <c r="G30" s="8" t="s">
        <v>59</v>
      </c>
      <c r="H30" s="8" t="s">
        <v>59</v>
      </c>
      <c r="I30" s="8" t="s">
        <v>59</v>
      </c>
      <c r="J30" s="8" t="s">
        <v>59</v>
      </c>
      <c r="K30" s="8" t="s">
        <v>59</v>
      </c>
      <c r="L30" s="8" t="s">
        <v>59</v>
      </c>
      <c r="M30" s="8" t="s">
        <v>59</v>
      </c>
      <c r="N30" s="8" t="s">
        <v>59</v>
      </c>
      <c r="O30" s="8" t="s">
        <v>59</v>
      </c>
      <c r="P30" s="46" t="s">
        <v>59</v>
      </c>
      <c r="Q30" s="7"/>
    </row>
    <row r="31" spans="1:17" s="11" customFormat="1" ht="36" customHeight="1">
      <c r="A31" s="23" t="s">
        <v>257</v>
      </c>
      <c r="B31" s="7" t="s">
        <v>111</v>
      </c>
      <c r="C31" s="34" t="s">
        <v>61</v>
      </c>
      <c r="D31" s="10" t="s">
        <v>59</v>
      </c>
      <c r="E31" s="10" t="s">
        <v>59</v>
      </c>
      <c r="F31" s="10" t="s">
        <v>59</v>
      </c>
      <c r="G31" s="10" t="s">
        <v>59</v>
      </c>
      <c r="H31" s="10" t="s">
        <v>59</v>
      </c>
      <c r="I31" s="10" t="s">
        <v>59</v>
      </c>
      <c r="J31" s="10" t="s">
        <v>59</v>
      </c>
      <c r="K31" s="10" t="s">
        <v>59</v>
      </c>
      <c r="L31" s="10" t="s">
        <v>59</v>
      </c>
      <c r="M31" s="10" t="s">
        <v>59</v>
      </c>
      <c r="N31" s="10" t="s">
        <v>59</v>
      </c>
      <c r="O31" s="10" t="s">
        <v>59</v>
      </c>
      <c r="P31" s="44" t="s">
        <v>59</v>
      </c>
      <c r="Q31" s="7"/>
    </row>
    <row r="32" spans="1:17" s="2" customFormat="1" ht="60" customHeight="1">
      <c r="A32" s="4" t="s">
        <v>23</v>
      </c>
      <c r="B32" s="5" t="s">
        <v>19</v>
      </c>
      <c r="C32" s="26" t="s">
        <v>52</v>
      </c>
      <c r="D32" s="8" t="s">
        <v>59</v>
      </c>
      <c r="E32" s="8" t="s">
        <v>59</v>
      </c>
      <c r="F32" s="8" t="s">
        <v>59</v>
      </c>
      <c r="G32" s="8" t="s">
        <v>59</v>
      </c>
      <c r="H32" s="8" t="s">
        <v>59</v>
      </c>
      <c r="I32" s="8" t="s">
        <v>59</v>
      </c>
      <c r="J32" s="8" t="s">
        <v>59</v>
      </c>
      <c r="K32" s="8" t="s">
        <v>59</v>
      </c>
      <c r="L32" s="8" t="s">
        <v>59</v>
      </c>
      <c r="M32" s="8" t="s">
        <v>59</v>
      </c>
      <c r="N32" s="8" t="s">
        <v>59</v>
      </c>
      <c r="O32" s="8" t="s">
        <v>59</v>
      </c>
      <c r="P32" s="46" t="s">
        <v>59</v>
      </c>
      <c r="Q32" s="7"/>
    </row>
    <row r="33" spans="1:17" s="3" customFormat="1" ht="12">
      <c r="A33" s="208" t="s">
        <v>258</v>
      </c>
      <c r="B33" s="209"/>
      <c r="C33" s="209"/>
      <c r="D33" s="209"/>
      <c r="E33" s="209"/>
      <c r="F33" s="209"/>
      <c r="G33" s="209"/>
      <c r="H33" s="209"/>
      <c r="I33" s="209"/>
      <c r="J33" s="209"/>
      <c r="K33" s="209"/>
      <c r="L33" s="209"/>
      <c r="M33" s="209"/>
      <c r="N33" s="209"/>
      <c r="O33" s="209"/>
      <c r="P33" s="209"/>
      <c r="Q33" s="210"/>
    </row>
    <row r="34" spans="1:17" s="59" customFormat="1" ht="77.25" customHeight="1">
      <c r="A34" s="32" t="s">
        <v>24</v>
      </c>
      <c r="B34" s="27" t="s">
        <v>112</v>
      </c>
      <c r="C34" s="27" t="s">
        <v>53</v>
      </c>
      <c r="D34" s="10" t="s">
        <v>59</v>
      </c>
      <c r="E34" s="10" t="s">
        <v>59</v>
      </c>
      <c r="F34" s="10" t="s">
        <v>59</v>
      </c>
      <c r="G34" s="10" t="s">
        <v>59</v>
      </c>
      <c r="H34" s="10" t="s">
        <v>59</v>
      </c>
      <c r="I34" s="10" t="s">
        <v>59</v>
      </c>
      <c r="J34" s="10" t="s">
        <v>59</v>
      </c>
      <c r="K34" s="10" t="s">
        <v>59</v>
      </c>
      <c r="L34" s="10" t="s">
        <v>59</v>
      </c>
      <c r="M34" s="10" t="s">
        <v>59</v>
      </c>
      <c r="N34" s="10" t="s">
        <v>59</v>
      </c>
      <c r="O34" s="10" t="s">
        <v>59</v>
      </c>
      <c r="P34" s="44" t="s">
        <v>59</v>
      </c>
      <c r="Q34" s="27"/>
    </row>
    <row r="35" spans="1:17" s="59" customFormat="1" ht="37.5" customHeight="1">
      <c r="A35" s="32" t="s">
        <v>114</v>
      </c>
      <c r="B35" s="27" t="s">
        <v>113</v>
      </c>
      <c r="C35" s="27" t="s">
        <v>171</v>
      </c>
      <c r="D35" s="8" t="s">
        <v>59</v>
      </c>
      <c r="E35" s="8" t="s">
        <v>59</v>
      </c>
      <c r="F35" s="8" t="s">
        <v>59</v>
      </c>
      <c r="G35" s="8" t="s">
        <v>59</v>
      </c>
      <c r="H35" s="8" t="s">
        <v>59</v>
      </c>
      <c r="I35" s="8" t="s">
        <v>59</v>
      </c>
      <c r="J35" s="8" t="s">
        <v>59</v>
      </c>
      <c r="K35" s="8" t="s">
        <v>59</v>
      </c>
      <c r="L35" s="8" t="s">
        <v>59</v>
      </c>
      <c r="M35" s="8" t="s">
        <v>59</v>
      </c>
      <c r="N35" s="8" t="s">
        <v>59</v>
      </c>
      <c r="O35" s="8" t="s">
        <v>59</v>
      </c>
      <c r="P35" s="46" t="s">
        <v>59</v>
      </c>
      <c r="Q35" s="27"/>
    </row>
    <row r="36" spans="1:17" s="2" customFormat="1" ht="13.5" customHeight="1">
      <c r="A36" s="4" t="s">
        <v>115</v>
      </c>
      <c r="B36" s="5" t="s">
        <v>20</v>
      </c>
      <c r="C36" s="40"/>
      <c r="D36" s="41"/>
      <c r="E36" s="41"/>
      <c r="F36" s="41"/>
      <c r="G36" s="41"/>
      <c r="H36" s="41"/>
      <c r="I36" s="41"/>
      <c r="J36" s="41"/>
      <c r="K36" s="41"/>
      <c r="L36" s="41"/>
      <c r="M36" s="41"/>
      <c r="N36" s="41"/>
      <c r="O36" s="41"/>
      <c r="P36" s="50"/>
      <c r="Q36" s="40"/>
    </row>
    <row r="37" spans="1:17" s="11" customFormat="1" ht="36">
      <c r="A37" s="165" t="s">
        <v>259</v>
      </c>
      <c r="B37" s="7" t="s">
        <v>66</v>
      </c>
      <c r="C37" s="27" t="s">
        <v>150</v>
      </c>
      <c r="D37" s="10" t="s">
        <v>59</v>
      </c>
      <c r="E37" s="10" t="s">
        <v>59</v>
      </c>
      <c r="F37" s="10" t="s">
        <v>59</v>
      </c>
      <c r="G37" s="10" t="s">
        <v>59</v>
      </c>
      <c r="H37" s="10" t="s">
        <v>59</v>
      </c>
      <c r="I37" s="10" t="s">
        <v>59</v>
      </c>
      <c r="J37" s="10" t="s">
        <v>59</v>
      </c>
      <c r="K37" s="10" t="s">
        <v>59</v>
      </c>
      <c r="L37" s="10" t="s">
        <v>59</v>
      </c>
      <c r="M37" s="10" t="s">
        <v>59</v>
      </c>
      <c r="N37" s="10" t="s">
        <v>59</v>
      </c>
      <c r="O37" s="10" t="s">
        <v>59</v>
      </c>
      <c r="P37" s="44" t="s">
        <v>59</v>
      </c>
      <c r="Q37" s="67"/>
    </row>
    <row r="38" spans="1:17" s="11" customFormat="1" ht="78" customHeight="1">
      <c r="A38" s="165" t="s">
        <v>259</v>
      </c>
      <c r="B38" s="7" t="s">
        <v>66</v>
      </c>
      <c r="C38" s="27" t="s">
        <v>181</v>
      </c>
      <c r="D38" s="32">
        <v>6758.01657252877</v>
      </c>
      <c r="E38" s="32">
        <v>5640.365238884091</v>
      </c>
      <c r="F38" s="32">
        <v>2969.115353435666</v>
      </c>
      <c r="G38" s="32">
        <v>2358.3599783233176</v>
      </c>
      <c r="H38" s="32">
        <v>4885.327551416034</v>
      </c>
      <c r="I38" s="32">
        <v>11617.230217824226</v>
      </c>
      <c r="J38" s="32">
        <v>14267.612826692279</v>
      </c>
      <c r="K38" s="32">
        <v>18370.715610295545</v>
      </c>
      <c r="L38" s="32">
        <v>16314.513796856001</v>
      </c>
      <c r="M38" s="32">
        <v>12208.668456902175</v>
      </c>
      <c r="N38" s="32">
        <v>6786.276827097615</v>
      </c>
      <c r="O38" s="32">
        <v>6081.797569744285</v>
      </c>
      <c r="P38" s="45">
        <f>SUM(D38:O38)</f>
        <v>108258</v>
      </c>
      <c r="Q38" s="35" t="s">
        <v>211</v>
      </c>
    </row>
    <row r="39" spans="1:17" s="11" customFormat="1" ht="36">
      <c r="A39" s="165" t="s">
        <v>259</v>
      </c>
      <c r="B39" s="7" t="s">
        <v>66</v>
      </c>
      <c r="C39" s="7" t="s">
        <v>182</v>
      </c>
      <c r="D39" s="10" t="s">
        <v>59</v>
      </c>
      <c r="E39" s="10" t="s">
        <v>59</v>
      </c>
      <c r="F39" s="10" t="s">
        <v>59</v>
      </c>
      <c r="G39" s="10" t="s">
        <v>59</v>
      </c>
      <c r="H39" s="10" t="s">
        <v>59</v>
      </c>
      <c r="I39" s="10" t="s">
        <v>59</v>
      </c>
      <c r="J39" s="10" t="s">
        <v>59</v>
      </c>
      <c r="K39" s="10" t="s">
        <v>59</v>
      </c>
      <c r="L39" s="10" t="s">
        <v>59</v>
      </c>
      <c r="M39" s="10" t="s">
        <v>59</v>
      </c>
      <c r="N39" s="10" t="s">
        <v>59</v>
      </c>
      <c r="O39" s="10" t="s">
        <v>59</v>
      </c>
      <c r="P39" s="44" t="s">
        <v>59</v>
      </c>
      <c r="Q39" s="7"/>
    </row>
    <row r="40" spans="1:17" s="11" customFormat="1" ht="36">
      <c r="A40" s="165" t="s">
        <v>259</v>
      </c>
      <c r="B40" s="7" t="s">
        <v>66</v>
      </c>
      <c r="C40" s="7" t="s">
        <v>183</v>
      </c>
      <c r="D40" s="10" t="s">
        <v>59</v>
      </c>
      <c r="E40" s="10" t="s">
        <v>59</v>
      </c>
      <c r="F40" s="10" t="s">
        <v>59</v>
      </c>
      <c r="G40" s="10" t="s">
        <v>59</v>
      </c>
      <c r="H40" s="10" t="s">
        <v>59</v>
      </c>
      <c r="I40" s="10" t="s">
        <v>59</v>
      </c>
      <c r="J40" s="10" t="s">
        <v>59</v>
      </c>
      <c r="K40" s="10" t="s">
        <v>59</v>
      </c>
      <c r="L40" s="10" t="s">
        <v>59</v>
      </c>
      <c r="M40" s="10" t="s">
        <v>59</v>
      </c>
      <c r="N40" s="10" t="s">
        <v>59</v>
      </c>
      <c r="O40" s="10" t="s">
        <v>59</v>
      </c>
      <c r="P40" s="44" t="s">
        <v>59</v>
      </c>
      <c r="Q40" s="7"/>
    </row>
    <row r="41" spans="1:17" s="2" customFormat="1" ht="36">
      <c r="A41" s="22" t="s">
        <v>259</v>
      </c>
      <c r="B41" s="5" t="s">
        <v>66</v>
      </c>
      <c r="C41" s="26" t="s">
        <v>184</v>
      </c>
      <c r="D41" s="37" t="s">
        <v>59</v>
      </c>
      <c r="E41" s="37" t="s">
        <v>59</v>
      </c>
      <c r="F41" s="37" t="s">
        <v>59</v>
      </c>
      <c r="G41" s="37" t="s">
        <v>59</v>
      </c>
      <c r="H41" s="37" t="s">
        <v>59</v>
      </c>
      <c r="I41" s="37" t="s">
        <v>59</v>
      </c>
      <c r="J41" s="37" t="s">
        <v>59</v>
      </c>
      <c r="K41" s="37" t="s">
        <v>59</v>
      </c>
      <c r="L41" s="37" t="s">
        <v>59</v>
      </c>
      <c r="M41" s="37" t="s">
        <v>59</v>
      </c>
      <c r="N41" s="37" t="s">
        <v>59</v>
      </c>
      <c r="O41" s="37" t="s">
        <v>59</v>
      </c>
      <c r="P41" s="46" t="s">
        <v>59</v>
      </c>
      <c r="Q41" s="5"/>
    </row>
    <row r="42" spans="1:17" s="2" customFormat="1" ht="36">
      <c r="A42" s="22" t="s">
        <v>259</v>
      </c>
      <c r="B42" s="5" t="s">
        <v>66</v>
      </c>
      <c r="C42" s="26" t="s">
        <v>185</v>
      </c>
      <c r="D42" s="37" t="s">
        <v>59</v>
      </c>
      <c r="E42" s="37" t="s">
        <v>59</v>
      </c>
      <c r="F42" s="37" t="s">
        <v>59</v>
      </c>
      <c r="G42" s="37" t="s">
        <v>59</v>
      </c>
      <c r="H42" s="37" t="s">
        <v>59</v>
      </c>
      <c r="I42" s="37" t="s">
        <v>59</v>
      </c>
      <c r="J42" s="37" t="s">
        <v>59</v>
      </c>
      <c r="K42" s="37" t="s">
        <v>59</v>
      </c>
      <c r="L42" s="37" t="s">
        <v>59</v>
      </c>
      <c r="M42" s="37" t="s">
        <v>59</v>
      </c>
      <c r="N42" s="37" t="s">
        <v>59</v>
      </c>
      <c r="O42" s="37" t="s">
        <v>59</v>
      </c>
      <c r="P42" s="46" t="s">
        <v>59</v>
      </c>
      <c r="Q42" s="5"/>
    </row>
    <row r="43" spans="1:17" s="2" customFormat="1" ht="36">
      <c r="A43" s="22" t="s">
        <v>259</v>
      </c>
      <c r="B43" s="5" t="s">
        <v>66</v>
      </c>
      <c r="C43" s="26" t="s">
        <v>186</v>
      </c>
      <c r="D43" s="37" t="s">
        <v>59</v>
      </c>
      <c r="E43" s="37" t="s">
        <v>59</v>
      </c>
      <c r="F43" s="37" t="s">
        <v>59</v>
      </c>
      <c r="G43" s="37" t="s">
        <v>59</v>
      </c>
      <c r="H43" s="37" t="s">
        <v>59</v>
      </c>
      <c r="I43" s="37" t="s">
        <v>59</v>
      </c>
      <c r="J43" s="37" t="s">
        <v>59</v>
      </c>
      <c r="K43" s="37" t="s">
        <v>59</v>
      </c>
      <c r="L43" s="37" t="s">
        <v>59</v>
      </c>
      <c r="M43" s="37" t="s">
        <v>59</v>
      </c>
      <c r="N43" s="37" t="s">
        <v>59</v>
      </c>
      <c r="O43" s="37" t="s">
        <v>59</v>
      </c>
      <c r="P43" s="46" t="s">
        <v>59</v>
      </c>
      <c r="Q43" s="5"/>
    </row>
    <row r="44" spans="1:17" s="59" customFormat="1" ht="36">
      <c r="A44" s="165" t="s">
        <v>259</v>
      </c>
      <c r="B44" s="27" t="s">
        <v>66</v>
      </c>
      <c r="C44" s="27" t="s">
        <v>187</v>
      </c>
      <c r="D44" s="91" t="s">
        <v>59</v>
      </c>
      <c r="E44" s="91" t="s">
        <v>59</v>
      </c>
      <c r="F44" s="91" t="s">
        <v>59</v>
      </c>
      <c r="G44" s="91" t="s">
        <v>59</v>
      </c>
      <c r="H44" s="91" t="s">
        <v>59</v>
      </c>
      <c r="I44" s="91" t="s">
        <v>59</v>
      </c>
      <c r="J44" s="91" t="s">
        <v>59</v>
      </c>
      <c r="K44" s="91" t="s">
        <v>59</v>
      </c>
      <c r="L44" s="91" t="s">
        <v>59</v>
      </c>
      <c r="M44" s="91" t="s">
        <v>59</v>
      </c>
      <c r="N44" s="91" t="s">
        <v>59</v>
      </c>
      <c r="O44" s="91" t="s">
        <v>59</v>
      </c>
      <c r="P44" s="44" t="s">
        <v>59</v>
      </c>
      <c r="Q44" s="7"/>
    </row>
    <row r="45" spans="1:17" s="2" customFormat="1" ht="84">
      <c r="A45" s="109" t="s">
        <v>260</v>
      </c>
      <c r="B45" s="110"/>
      <c r="C45" s="111"/>
      <c r="D45" s="113">
        <f aca="true" t="shared" si="0" ref="D45:O45">SUM(D37:D44)</f>
        <v>6758.01657252877</v>
      </c>
      <c r="E45" s="113">
        <f t="shared" si="0"/>
        <v>5640.365238884091</v>
      </c>
      <c r="F45" s="113">
        <f t="shared" si="0"/>
        <v>2969.115353435666</v>
      </c>
      <c r="G45" s="113">
        <f t="shared" si="0"/>
        <v>2358.3599783233176</v>
      </c>
      <c r="H45" s="113">
        <f t="shared" si="0"/>
        <v>4885.327551416034</v>
      </c>
      <c r="I45" s="113">
        <f t="shared" si="0"/>
        <v>11617.230217824226</v>
      </c>
      <c r="J45" s="113">
        <f t="shared" si="0"/>
        <v>14267.612826692279</v>
      </c>
      <c r="K45" s="113">
        <f t="shared" si="0"/>
        <v>18370.715610295545</v>
      </c>
      <c r="L45" s="113">
        <f t="shared" si="0"/>
        <v>16314.513796856001</v>
      </c>
      <c r="M45" s="113">
        <f t="shared" si="0"/>
        <v>12208.668456902175</v>
      </c>
      <c r="N45" s="113">
        <f t="shared" si="0"/>
        <v>6786.276827097615</v>
      </c>
      <c r="O45" s="113">
        <f t="shared" si="0"/>
        <v>6081.797569744285</v>
      </c>
      <c r="P45" s="114">
        <f>SUM(D45:O45)</f>
        <v>108258</v>
      </c>
      <c r="Q45" s="111" t="s">
        <v>322</v>
      </c>
    </row>
    <row r="46" spans="1:17" s="11" customFormat="1" ht="36">
      <c r="A46" s="165" t="s">
        <v>259</v>
      </c>
      <c r="B46" s="27" t="s">
        <v>66</v>
      </c>
      <c r="C46" s="27" t="s">
        <v>244</v>
      </c>
      <c r="D46" s="39">
        <v>492.65230230777644</v>
      </c>
      <c r="E46" s="39">
        <v>392.41386853330414</v>
      </c>
      <c r="F46" s="39">
        <v>359.51438258777205</v>
      </c>
      <c r="G46" s="39">
        <v>315.4850705457727</v>
      </c>
      <c r="H46" s="39">
        <v>301.2052936672864</v>
      </c>
      <c r="I46" s="39">
        <v>304.2152466367713</v>
      </c>
      <c r="J46" s="39">
        <v>759.4181340916548</v>
      </c>
      <c r="K46" s="39">
        <v>934.2054030405773</v>
      </c>
      <c r="L46" s="39">
        <v>899.4859455321011</v>
      </c>
      <c r="M46" s="39">
        <v>525.6917860658427</v>
      </c>
      <c r="N46" s="39">
        <v>464.0927485508039</v>
      </c>
      <c r="O46" s="39">
        <v>651.6198184403369</v>
      </c>
      <c r="P46" s="45">
        <f>SUM(D46:O46)</f>
        <v>6399.999999999998</v>
      </c>
      <c r="Q46" s="27" t="s">
        <v>243</v>
      </c>
    </row>
    <row r="47" spans="1:17" s="59" customFormat="1" ht="39.75" customHeight="1">
      <c r="A47" s="105" t="s">
        <v>261</v>
      </c>
      <c r="B47" s="27" t="s">
        <v>32</v>
      </c>
      <c r="C47" s="27" t="s">
        <v>67</v>
      </c>
      <c r="D47" s="39">
        <v>35834.7430414408</v>
      </c>
      <c r="E47" s="39">
        <v>31903.690416558533</v>
      </c>
      <c r="F47" s="39">
        <v>15626.01519873787</v>
      </c>
      <c r="G47" s="39">
        <v>12259.125812518336</v>
      </c>
      <c r="H47" s="39">
        <v>25340.501510367085</v>
      </c>
      <c r="I47" s="39">
        <v>59983.471741325106</v>
      </c>
      <c r="J47" s="39">
        <v>73916.23114760622</v>
      </c>
      <c r="K47" s="39">
        <v>95798.560015763</v>
      </c>
      <c r="L47" s="39">
        <v>89467.0610677772</v>
      </c>
      <c r="M47" s="39">
        <v>65317.208395104935</v>
      </c>
      <c r="N47" s="39">
        <v>35013.77979857371</v>
      </c>
      <c r="O47" s="39">
        <v>32828.61185422714</v>
      </c>
      <c r="P47" s="45">
        <f>SUM(D47:O47)</f>
        <v>573288.9999999999</v>
      </c>
      <c r="Q47" s="27" t="s">
        <v>90</v>
      </c>
    </row>
    <row r="48" spans="1:17" s="11" customFormat="1" ht="36.75" customHeight="1">
      <c r="A48" s="105" t="s">
        <v>261</v>
      </c>
      <c r="B48" s="7" t="s">
        <v>32</v>
      </c>
      <c r="C48" s="7" t="s">
        <v>68</v>
      </c>
      <c r="D48" s="91" t="s">
        <v>59</v>
      </c>
      <c r="E48" s="91" t="s">
        <v>59</v>
      </c>
      <c r="F48" s="91" t="s">
        <v>59</v>
      </c>
      <c r="G48" s="91" t="s">
        <v>59</v>
      </c>
      <c r="H48" s="91" t="s">
        <v>59</v>
      </c>
      <c r="I48" s="91" t="s">
        <v>59</v>
      </c>
      <c r="J48" s="91" t="s">
        <v>59</v>
      </c>
      <c r="K48" s="91" t="s">
        <v>59</v>
      </c>
      <c r="L48" s="91" t="s">
        <v>59</v>
      </c>
      <c r="M48" s="91" t="s">
        <v>59</v>
      </c>
      <c r="N48" s="91" t="s">
        <v>59</v>
      </c>
      <c r="O48" s="91" t="s">
        <v>59</v>
      </c>
      <c r="P48" s="44" t="s">
        <v>59</v>
      </c>
      <c r="Q48" s="27"/>
    </row>
    <row r="49" spans="1:17" s="2" customFormat="1" ht="36">
      <c r="A49" s="109" t="s">
        <v>262</v>
      </c>
      <c r="B49" s="110"/>
      <c r="C49" s="111"/>
      <c r="D49" s="113">
        <f aca="true" t="shared" si="1" ref="D49:O49">SUM(D47:D48)</f>
        <v>35834.7430414408</v>
      </c>
      <c r="E49" s="113">
        <f t="shared" si="1"/>
        <v>31903.690416558533</v>
      </c>
      <c r="F49" s="113">
        <f t="shared" si="1"/>
        <v>15626.01519873787</v>
      </c>
      <c r="G49" s="113">
        <f t="shared" si="1"/>
        <v>12259.125812518336</v>
      </c>
      <c r="H49" s="113">
        <f t="shared" si="1"/>
        <v>25340.501510367085</v>
      </c>
      <c r="I49" s="113">
        <f t="shared" si="1"/>
        <v>59983.471741325106</v>
      </c>
      <c r="J49" s="113">
        <f t="shared" si="1"/>
        <v>73916.23114760622</v>
      </c>
      <c r="K49" s="113">
        <f t="shared" si="1"/>
        <v>95798.560015763</v>
      </c>
      <c r="L49" s="113">
        <f t="shared" si="1"/>
        <v>89467.0610677772</v>
      </c>
      <c r="M49" s="113">
        <f t="shared" si="1"/>
        <v>65317.208395104935</v>
      </c>
      <c r="N49" s="113">
        <f t="shared" si="1"/>
        <v>35013.77979857371</v>
      </c>
      <c r="O49" s="113">
        <f t="shared" si="1"/>
        <v>32828.61185422714</v>
      </c>
      <c r="P49" s="114">
        <f>SUM(D49:O49)</f>
        <v>573288.9999999999</v>
      </c>
      <c r="Q49" s="111" t="s">
        <v>280</v>
      </c>
    </row>
    <row r="50" spans="1:17" s="11" customFormat="1" ht="36">
      <c r="A50" s="6" t="s">
        <v>263</v>
      </c>
      <c r="B50" s="7" t="s">
        <v>126</v>
      </c>
      <c r="C50" s="27" t="s">
        <v>206</v>
      </c>
      <c r="D50" s="91" t="s">
        <v>59</v>
      </c>
      <c r="E50" s="91" t="s">
        <v>59</v>
      </c>
      <c r="F50" s="91" t="s">
        <v>59</v>
      </c>
      <c r="G50" s="91" t="s">
        <v>59</v>
      </c>
      <c r="H50" s="91" t="s">
        <v>59</v>
      </c>
      <c r="I50" s="91" t="s">
        <v>59</v>
      </c>
      <c r="J50" s="91" t="s">
        <v>59</v>
      </c>
      <c r="K50" s="91" t="s">
        <v>59</v>
      </c>
      <c r="L50" s="91" t="s">
        <v>59</v>
      </c>
      <c r="M50" s="91" t="s">
        <v>59</v>
      </c>
      <c r="N50" s="91" t="s">
        <v>59</v>
      </c>
      <c r="O50" s="91" t="s">
        <v>59</v>
      </c>
      <c r="P50" s="44" t="s">
        <v>59</v>
      </c>
      <c r="Q50" s="35"/>
    </row>
    <row r="51" spans="1:17" s="11" customFormat="1" ht="36">
      <c r="A51" s="6" t="s">
        <v>263</v>
      </c>
      <c r="B51" s="7" t="s">
        <v>126</v>
      </c>
      <c r="C51" s="27" t="s">
        <v>207</v>
      </c>
      <c r="D51" s="91" t="s">
        <v>59</v>
      </c>
      <c r="E51" s="91" t="s">
        <v>59</v>
      </c>
      <c r="F51" s="91" t="s">
        <v>59</v>
      </c>
      <c r="G51" s="91" t="s">
        <v>59</v>
      </c>
      <c r="H51" s="91" t="s">
        <v>59</v>
      </c>
      <c r="I51" s="91" t="s">
        <v>59</v>
      </c>
      <c r="J51" s="91" t="s">
        <v>59</v>
      </c>
      <c r="K51" s="91" t="s">
        <v>59</v>
      </c>
      <c r="L51" s="91" t="s">
        <v>59</v>
      </c>
      <c r="M51" s="91" t="s">
        <v>59</v>
      </c>
      <c r="N51" s="91" t="s">
        <v>59</v>
      </c>
      <c r="O51" s="91" t="s">
        <v>59</v>
      </c>
      <c r="P51" s="44" t="s">
        <v>59</v>
      </c>
      <c r="Q51" s="7"/>
    </row>
    <row r="52" spans="1:17" s="11" customFormat="1" ht="36">
      <c r="A52" s="6" t="s">
        <v>263</v>
      </c>
      <c r="B52" s="7" t="s">
        <v>126</v>
      </c>
      <c r="C52" s="27" t="s">
        <v>208</v>
      </c>
      <c r="D52" s="10" t="s">
        <v>59</v>
      </c>
      <c r="E52" s="10" t="s">
        <v>59</v>
      </c>
      <c r="F52" s="10" t="s">
        <v>59</v>
      </c>
      <c r="G52" s="10" t="s">
        <v>59</v>
      </c>
      <c r="H52" s="10" t="s">
        <v>59</v>
      </c>
      <c r="I52" s="10" t="s">
        <v>59</v>
      </c>
      <c r="J52" s="10" t="s">
        <v>59</v>
      </c>
      <c r="K52" s="10" t="s">
        <v>59</v>
      </c>
      <c r="L52" s="10" t="s">
        <v>59</v>
      </c>
      <c r="M52" s="10" t="s">
        <v>59</v>
      </c>
      <c r="N52" s="10" t="s">
        <v>59</v>
      </c>
      <c r="O52" s="10" t="s">
        <v>59</v>
      </c>
      <c r="P52" s="44" t="s">
        <v>59</v>
      </c>
      <c r="Q52" s="7"/>
    </row>
    <row r="53" spans="1:17" s="11" customFormat="1" ht="48.75" customHeight="1">
      <c r="A53" s="6" t="s">
        <v>263</v>
      </c>
      <c r="B53" s="7" t="s">
        <v>126</v>
      </c>
      <c r="C53" s="27" t="s">
        <v>205</v>
      </c>
      <c r="D53" s="10" t="s">
        <v>59</v>
      </c>
      <c r="E53" s="10" t="s">
        <v>59</v>
      </c>
      <c r="F53" s="10" t="s">
        <v>59</v>
      </c>
      <c r="G53" s="10" t="s">
        <v>59</v>
      </c>
      <c r="H53" s="10" t="s">
        <v>59</v>
      </c>
      <c r="I53" s="10" t="s">
        <v>59</v>
      </c>
      <c r="J53" s="10" t="s">
        <v>59</v>
      </c>
      <c r="K53" s="10" t="s">
        <v>59</v>
      </c>
      <c r="L53" s="10" t="s">
        <v>59</v>
      </c>
      <c r="M53" s="10" t="s">
        <v>59</v>
      </c>
      <c r="N53" s="10" t="s">
        <v>59</v>
      </c>
      <c r="O53" s="10" t="s">
        <v>59</v>
      </c>
      <c r="P53" s="44" t="s">
        <v>59</v>
      </c>
      <c r="Q53" s="7"/>
    </row>
    <row r="54" spans="1:17" s="11" customFormat="1" ht="48.75" customHeight="1">
      <c r="A54" s="6" t="s">
        <v>263</v>
      </c>
      <c r="B54" s="7" t="s">
        <v>126</v>
      </c>
      <c r="C54" s="27" t="s">
        <v>226</v>
      </c>
      <c r="D54" s="32">
        <f aca="true" t="shared" si="2" ref="D54:O54">D70</f>
        <v>335978.15135257895</v>
      </c>
      <c r="E54" s="32">
        <f t="shared" si="2"/>
        <v>345681.45757536223</v>
      </c>
      <c r="F54" s="32">
        <f t="shared" si="2"/>
        <v>241158.87881230906</v>
      </c>
      <c r="G54" s="32">
        <f t="shared" si="2"/>
        <v>294487.7060432277</v>
      </c>
      <c r="H54" s="32">
        <f t="shared" si="2"/>
        <v>232759.71079661604</v>
      </c>
      <c r="I54" s="32">
        <f t="shared" si="2"/>
        <v>394701.8721658522</v>
      </c>
      <c r="J54" s="32">
        <f t="shared" si="2"/>
        <v>371086.0085993258</v>
      </c>
      <c r="K54" s="32">
        <f t="shared" si="2"/>
        <v>407046.0256292096</v>
      </c>
      <c r="L54" s="32">
        <f t="shared" si="2"/>
        <v>417224.0831195327</v>
      </c>
      <c r="M54" s="32">
        <f t="shared" si="2"/>
        <v>418890.7925984607</v>
      </c>
      <c r="N54" s="32">
        <f t="shared" si="2"/>
        <v>309524.74661204783</v>
      </c>
      <c r="O54" s="32">
        <f t="shared" si="2"/>
        <v>389653.56669547735</v>
      </c>
      <c r="P54" s="45">
        <f>SUM(D54:O54)</f>
        <v>4158193</v>
      </c>
      <c r="Q54" s="7" t="s">
        <v>281</v>
      </c>
    </row>
    <row r="55" spans="1:17" s="2" customFormat="1" ht="24">
      <c r="A55" s="109" t="s">
        <v>264</v>
      </c>
      <c r="B55" s="110"/>
      <c r="C55" s="111"/>
      <c r="D55" s="113">
        <f aca="true" t="shared" si="3" ref="D55:O55">SUM(D50:D54)</f>
        <v>335978.15135257895</v>
      </c>
      <c r="E55" s="113">
        <f t="shared" si="3"/>
        <v>345681.45757536223</v>
      </c>
      <c r="F55" s="113">
        <f t="shared" si="3"/>
        <v>241158.87881230906</v>
      </c>
      <c r="G55" s="113">
        <f t="shared" si="3"/>
        <v>294487.7060432277</v>
      </c>
      <c r="H55" s="113">
        <f t="shared" si="3"/>
        <v>232759.71079661604</v>
      </c>
      <c r="I55" s="113">
        <f t="shared" si="3"/>
        <v>394701.8721658522</v>
      </c>
      <c r="J55" s="113">
        <f t="shared" si="3"/>
        <v>371086.0085993258</v>
      </c>
      <c r="K55" s="113">
        <f t="shared" si="3"/>
        <v>407046.0256292096</v>
      </c>
      <c r="L55" s="113">
        <f t="shared" si="3"/>
        <v>417224.0831195327</v>
      </c>
      <c r="M55" s="113">
        <f t="shared" si="3"/>
        <v>418890.7925984607</v>
      </c>
      <c r="N55" s="113">
        <f t="shared" si="3"/>
        <v>309524.74661204783</v>
      </c>
      <c r="O55" s="113">
        <f t="shared" si="3"/>
        <v>389653.56669547735</v>
      </c>
      <c r="P55" s="114">
        <f>SUM(D55:O55)</f>
        <v>4158193</v>
      </c>
      <c r="Q55" s="111" t="s">
        <v>282</v>
      </c>
    </row>
    <row r="56" spans="1:17" s="11" customFormat="1" ht="84">
      <c r="A56" s="6" t="s">
        <v>263</v>
      </c>
      <c r="B56" s="7" t="s">
        <v>126</v>
      </c>
      <c r="C56" s="7" t="s">
        <v>152</v>
      </c>
      <c r="D56" s="10" t="s">
        <v>59</v>
      </c>
      <c r="E56" s="10" t="s">
        <v>59</v>
      </c>
      <c r="F56" s="10" t="s">
        <v>59</v>
      </c>
      <c r="G56" s="10" t="s">
        <v>59</v>
      </c>
      <c r="H56" s="10" t="s">
        <v>59</v>
      </c>
      <c r="I56" s="10" t="s">
        <v>59</v>
      </c>
      <c r="J56" s="10" t="s">
        <v>59</v>
      </c>
      <c r="K56" s="10" t="s">
        <v>59</v>
      </c>
      <c r="L56" s="10" t="s">
        <v>59</v>
      </c>
      <c r="M56" s="10" t="s">
        <v>59</v>
      </c>
      <c r="N56" s="10" t="s">
        <v>59</v>
      </c>
      <c r="O56" s="10" t="s">
        <v>59</v>
      </c>
      <c r="P56" s="44" t="s">
        <v>59</v>
      </c>
      <c r="Q56" s="7"/>
    </row>
    <row r="57" spans="1:17" s="11" customFormat="1" ht="36">
      <c r="A57" s="6" t="s">
        <v>265</v>
      </c>
      <c r="B57" s="7" t="s">
        <v>27</v>
      </c>
      <c r="C57" s="7" t="s">
        <v>70</v>
      </c>
      <c r="D57" s="10" t="s">
        <v>59</v>
      </c>
      <c r="E57" s="10" t="s">
        <v>59</v>
      </c>
      <c r="F57" s="10" t="s">
        <v>59</v>
      </c>
      <c r="G57" s="10" t="s">
        <v>59</v>
      </c>
      <c r="H57" s="10" t="s">
        <v>59</v>
      </c>
      <c r="I57" s="10" t="s">
        <v>59</v>
      </c>
      <c r="J57" s="10" t="s">
        <v>59</v>
      </c>
      <c r="K57" s="10" t="s">
        <v>59</v>
      </c>
      <c r="L57" s="10" t="s">
        <v>59</v>
      </c>
      <c r="M57" s="10" t="s">
        <v>59</v>
      </c>
      <c r="N57" s="10" t="s">
        <v>59</v>
      </c>
      <c r="O57" s="10" t="s">
        <v>59</v>
      </c>
      <c r="P57" s="44" t="s">
        <v>59</v>
      </c>
      <c r="Q57" s="27"/>
    </row>
    <row r="58" spans="1:17" s="11" customFormat="1" ht="36">
      <c r="A58" s="6" t="s">
        <v>265</v>
      </c>
      <c r="B58" s="7" t="s">
        <v>27</v>
      </c>
      <c r="C58" s="7" t="s">
        <v>71</v>
      </c>
      <c r="D58" s="10" t="s">
        <v>59</v>
      </c>
      <c r="E58" s="10" t="s">
        <v>59</v>
      </c>
      <c r="F58" s="10" t="s">
        <v>59</v>
      </c>
      <c r="G58" s="10" t="s">
        <v>59</v>
      </c>
      <c r="H58" s="10" t="s">
        <v>59</v>
      </c>
      <c r="I58" s="10" t="s">
        <v>59</v>
      </c>
      <c r="J58" s="10" t="s">
        <v>59</v>
      </c>
      <c r="K58" s="10" t="s">
        <v>59</v>
      </c>
      <c r="L58" s="10" t="s">
        <v>59</v>
      </c>
      <c r="M58" s="10" t="s">
        <v>59</v>
      </c>
      <c r="N58" s="10" t="s">
        <v>59</v>
      </c>
      <c r="O58" s="10" t="s">
        <v>59</v>
      </c>
      <c r="P58" s="44" t="s">
        <v>59</v>
      </c>
      <c r="Q58" s="27"/>
    </row>
    <row r="59" spans="1:17" s="2" customFormat="1" ht="24">
      <c r="A59" s="109" t="s">
        <v>266</v>
      </c>
      <c r="B59" s="110"/>
      <c r="C59" s="111"/>
      <c r="D59" s="166" t="s">
        <v>59</v>
      </c>
      <c r="E59" s="166" t="s">
        <v>59</v>
      </c>
      <c r="F59" s="166" t="s">
        <v>59</v>
      </c>
      <c r="G59" s="166" t="s">
        <v>59</v>
      </c>
      <c r="H59" s="166" t="s">
        <v>59</v>
      </c>
      <c r="I59" s="166" t="s">
        <v>59</v>
      </c>
      <c r="J59" s="166" t="s">
        <v>59</v>
      </c>
      <c r="K59" s="166" t="s">
        <v>59</v>
      </c>
      <c r="L59" s="166" t="s">
        <v>59</v>
      </c>
      <c r="M59" s="166" t="s">
        <v>59</v>
      </c>
      <c r="N59" s="166" t="s">
        <v>59</v>
      </c>
      <c r="O59" s="166" t="s">
        <v>59</v>
      </c>
      <c r="P59" s="167" t="s">
        <v>59</v>
      </c>
      <c r="Q59" s="111" t="s">
        <v>284</v>
      </c>
    </row>
    <row r="60" spans="1:17" s="11" customFormat="1" ht="36">
      <c r="A60" s="6" t="s">
        <v>265</v>
      </c>
      <c r="B60" s="7" t="s">
        <v>27</v>
      </c>
      <c r="C60" s="27" t="s">
        <v>56</v>
      </c>
      <c r="D60" s="10" t="s">
        <v>59</v>
      </c>
      <c r="E60" s="10" t="s">
        <v>59</v>
      </c>
      <c r="F60" s="10" t="s">
        <v>59</v>
      </c>
      <c r="G60" s="10" t="s">
        <v>59</v>
      </c>
      <c r="H60" s="10" t="s">
        <v>59</v>
      </c>
      <c r="I60" s="10" t="s">
        <v>59</v>
      </c>
      <c r="J60" s="10" t="s">
        <v>59</v>
      </c>
      <c r="K60" s="10" t="s">
        <v>59</v>
      </c>
      <c r="L60" s="10" t="s">
        <v>59</v>
      </c>
      <c r="M60" s="10" t="s">
        <v>59</v>
      </c>
      <c r="N60" s="10" t="s">
        <v>59</v>
      </c>
      <c r="O60" s="10" t="s">
        <v>59</v>
      </c>
      <c r="P60" s="44" t="s">
        <v>59</v>
      </c>
      <c r="Q60" s="27"/>
    </row>
    <row r="61" spans="1:17" s="3" customFormat="1" ht="12">
      <c r="A61" s="208" t="s">
        <v>267</v>
      </c>
      <c r="B61" s="209"/>
      <c r="C61" s="209"/>
      <c r="D61" s="209"/>
      <c r="E61" s="209"/>
      <c r="F61" s="209"/>
      <c r="G61" s="209"/>
      <c r="H61" s="209"/>
      <c r="I61" s="209"/>
      <c r="J61" s="209"/>
      <c r="K61" s="209"/>
      <c r="L61" s="209"/>
      <c r="M61" s="209"/>
      <c r="N61" s="209"/>
      <c r="O61" s="209"/>
      <c r="P61" s="209"/>
      <c r="Q61" s="210"/>
    </row>
    <row r="62" spans="1:17" s="11" customFormat="1" ht="75" customHeight="1">
      <c r="A62" s="6" t="s">
        <v>25</v>
      </c>
      <c r="B62" s="125" t="s">
        <v>22</v>
      </c>
      <c r="C62" s="27" t="s">
        <v>154</v>
      </c>
      <c r="D62" s="10" t="s">
        <v>59</v>
      </c>
      <c r="E62" s="10" t="s">
        <v>59</v>
      </c>
      <c r="F62" s="10" t="s">
        <v>59</v>
      </c>
      <c r="G62" s="10" t="s">
        <v>59</v>
      </c>
      <c r="H62" s="10" t="s">
        <v>59</v>
      </c>
      <c r="I62" s="10" t="s">
        <v>59</v>
      </c>
      <c r="J62" s="10" t="s">
        <v>59</v>
      </c>
      <c r="K62" s="10" t="s">
        <v>59</v>
      </c>
      <c r="L62" s="10" t="s">
        <v>59</v>
      </c>
      <c r="M62" s="10" t="s">
        <v>59</v>
      </c>
      <c r="N62" s="10" t="s">
        <v>59</v>
      </c>
      <c r="O62" s="10" t="s">
        <v>59</v>
      </c>
      <c r="P62" s="44" t="s">
        <v>59</v>
      </c>
      <c r="Q62" s="7"/>
    </row>
    <row r="63" spans="1:17" s="11" customFormat="1" ht="24">
      <c r="A63" s="6" t="s">
        <v>26</v>
      </c>
      <c r="B63" s="7" t="s">
        <v>151</v>
      </c>
      <c r="C63" s="7" t="s">
        <v>173</v>
      </c>
      <c r="D63" s="10" t="s">
        <v>59</v>
      </c>
      <c r="E63" s="10" t="s">
        <v>59</v>
      </c>
      <c r="F63" s="10" t="s">
        <v>59</v>
      </c>
      <c r="G63" s="10" t="s">
        <v>59</v>
      </c>
      <c r="H63" s="10" t="s">
        <v>59</v>
      </c>
      <c r="I63" s="10" t="s">
        <v>59</v>
      </c>
      <c r="J63" s="10" t="s">
        <v>59</v>
      </c>
      <c r="K63" s="10" t="s">
        <v>59</v>
      </c>
      <c r="L63" s="10" t="s">
        <v>59</v>
      </c>
      <c r="M63" s="10" t="s">
        <v>59</v>
      </c>
      <c r="N63" s="10" t="s">
        <v>59</v>
      </c>
      <c r="O63" s="10" t="s">
        <v>59</v>
      </c>
      <c r="P63" s="44" t="s">
        <v>59</v>
      </c>
      <c r="Q63" s="7"/>
    </row>
    <row r="64" spans="1:17" s="11" customFormat="1" ht="48">
      <c r="A64" s="6" t="s">
        <v>29</v>
      </c>
      <c r="B64" s="7" t="s">
        <v>116</v>
      </c>
      <c r="C64" s="7" t="s">
        <v>128</v>
      </c>
      <c r="D64" s="39">
        <v>602.0506866407567</v>
      </c>
      <c r="E64" s="39">
        <v>8.571040836559522</v>
      </c>
      <c r="F64" s="39">
        <v>244.40452809704576</v>
      </c>
      <c r="G64" s="39">
        <v>91.16470707976946</v>
      </c>
      <c r="H64" s="39">
        <v>31.25789269329795</v>
      </c>
      <c r="I64" s="39">
        <v>100.77466195712408</v>
      </c>
      <c r="J64" s="39">
        <v>155.3176490988665</v>
      </c>
      <c r="K64" s="39">
        <v>118.43620065064066</v>
      </c>
      <c r="L64" s="39">
        <v>147.5257937929033</v>
      </c>
      <c r="M64" s="39">
        <v>297.64887268779427</v>
      </c>
      <c r="N64" s="39">
        <v>136.6171963645548</v>
      </c>
      <c r="O64" s="39">
        <v>66.23077010068722</v>
      </c>
      <c r="P64" s="45">
        <f>SUM(D64:O64)</f>
        <v>2000.0000000000002</v>
      </c>
      <c r="Q64" s="20" t="s">
        <v>54</v>
      </c>
    </row>
    <row r="65" spans="1:17" s="3" customFormat="1" ht="12">
      <c r="A65" s="208" t="s">
        <v>268</v>
      </c>
      <c r="B65" s="209"/>
      <c r="C65" s="209"/>
      <c r="D65" s="209"/>
      <c r="E65" s="209"/>
      <c r="F65" s="209"/>
      <c r="G65" s="209"/>
      <c r="H65" s="209"/>
      <c r="I65" s="209"/>
      <c r="J65" s="209"/>
      <c r="K65" s="209"/>
      <c r="L65" s="209"/>
      <c r="M65" s="209"/>
      <c r="N65" s="209"/>
      <c r="O65" s="209"/>
      <c r="P65" s="209"/>
      <c r="Q65" s="210"/>
    </row>
    <row r="66" spans="1:17" s="11" customFormat="1" ht="36">
      <c r="A66" s="6" t="s">
        <v>118</v>
      </c>
      <c r="B66" s="7" t="s">
        <v>166</v>
      </c>
      <c r="C66" s="95" t="s">
        <v>167</v>
      </c>
      <c r="D66" s="78" t="s">
        <v>174</v>
      </c>
      <c r="E66" s="78" t="s">
        <v>174</v>
      </c>
      <c r="F66" s="78" t="s">
        <v>174</v>
      </c>
      <c r="G66" s="78" t="s">
        <v>174</v>
      </c>
      <c r="H66" s="78" t="s">
        <v>174</v>
      </c>
      <c r="I66" s="78" t="s">
        <v>174</v>
      </c>
      <c r="J66" s="78" t="s">
        <v>174</v>
      </c>
      <c r="K66" s="78" t="s">
        <v>174</v>
      </c>
      <c r="L66" s="78" t="s">
        <v>174</v>
      </c>
      <c r="M66" s="78" t="s">
        <v>174</v>
      </c>
      <c r="N66" s="78" t="s">
        <v>174</v>
      </c>
      <c r="O66" s="78" t="s">
        <v>174</v>
      </c>
      <c r="P66" s="78" t="s">
        <v>174</v>
      </c>
      <c r="Q66" s="20" t="s">
        <v>165</v>
      </c>
    </row>
    <row r="67" spans="1:17" s="11" customFormat="1" ht="24">
      <c r="A67" s="6" t="s">
        <v>119</v>
      </c>
      <c r="B67" s="7" t="s">
        <v>28</v>
      </c>
      <c r="C67" s="7" t="s">
        <v>57</v>
      </c>
      <c r="D67" s="10" t="s">
        <v>59</v>
      </c>
      <c r="E67" s="10" t="s">
        <v>59</v>
      </c>
      <c r="F67" s="10" t="s">
        <v>59</v>
      </c>
      <c r="G67" s="10" t="s">
        <v>59</v>
      </c>
      <c r="H67" s="10" t="s">
        <v>59</v>
      </c>
      <c r="I67" s="10" t="s">
        <v>59</v>
      </c>
      <c r="J67" s="10" t="s">
        <v>59</v>
      </c>
      <c r="K67" s="10" t="s">
        <v>59</v>
      </c>
      <c r="L67" s="10" t="s">
        <v>59</v>
      </c>
      <c r="M67" s="10" t="s">
        <v>59</v>
      </c>
      <c r="N67" s="10" t="s">
        <v>59</v>
      </c>
      <c r="O67" s="10" t="s">
        <v>59</v>
      </c>
      <c r="P67" s="44" t="s">
        <v>59</v>
      </c>
      <c r="Q67" s="6" t="s">
        <v>55</v>
      </c>
    </row>
    <row r="68" spans="1:17" s="11" customFormat="1" ht="132">
      <c r="A68" s="6" t="s">
        <v>120</v>
      </c>
      <c r="B68" s="7" t="s">
        <v>117</v>
      </c>
      <c r="C68" s="7" t="s">
        <v>223</v>
      </c>
      <c r="D68" s="39">
        <v>234898.97078688085</v>
      </c>
      <c r="E68" s="39">
        <v>242555.51873339235</v>
      </c>
      <c r="F68" s="39">
        <v>159437.98009355782</v>
      </c>
      <c r="G68" s="39">
        <v>196001.45886327198</v>
      </c>
      <c r="H68" s="39">
        <v>157750.9299553429</v>
      </c>
      <c r="I68" s="39">
        <v>226290.64165818153</v>
      </c>
      <c r="J68" s="39">
        <v>206437.08298436445</v>
      </c>
      <c r="K68" s="39">
        <v>229724.39876401116</v>
      </c>
      <c r="L68" s="39">
        <v>237985.6379847378</v>
      </c>
      <c r="M68" s="39">
        <v>256659.77931272416</v>
      </c>
      <c r="N68" s="39">
        <v>195387.7605607765</v>
      </c>
      <c r="O68" s="39">
        <v>247683.8403027581</v>
      </c>
      <c r="P68" s="45">
        <f>SUM(D68:O68)</f>
        <v>2590813.9999999995</v>
      </c>
      <c r="Q68" s="7" t="s">
        <v>318</v>
      </c>
    </row>
    <row r="69" spans="1:17" s="11" customFormat="1" ht="132">
      <c r="A69" s="6" t="s">
        <v>120</v>
      </c>
      <c r="B69" s="7" t="s">
        <v>117</v>
      </c>
      <c r="C69" s="7" t="s">
        <v>224</v>
      </c>
      <c r="D69" s="39">
        <v>101079.18056569809</v>
      </c>
      <c r="E69" s="39">
        <v>103125.93884196987</v>
      </c>
      <c r="F69" s="39">
        <v>81720.89871875122</v>
      </c>
      <c r="G69" s="39">
        <v>98486.24717995568</v>
      </c>
      <c r="H69" s="39">
        <v>75008.78084127314</v>
      </c>
      <c r="I69" s="39">
        <v>168411.23050767067</v>
      </c>
      <c r="J69" s="39">
        <v>164648.9256149613</v>
      </c>
      <c r="K69" s="39">
        <v>177321.6268651984</v>
      </c>
      <c r="L69" s="39">
        <v>179238.44513479483</v>
      </c>
      <c r="M69" s="39">
        <v>162231.01328573652</v>
      </c>
      <c r="N69" s="39">
        <v>114136.9860512713</v>
      </c>
      <c r="O69" s="39">
        <v>141969.72639271923</v>
      </c>
      <c r="P69" s="45">
        <f>SUM(D69:O69)</f>
        <v>1567379.0000000002</v>
      </c>
      <c r="Q69" s="7" t="s">
        <v>318</v>
      </c>
    </row>
    <row r="70" spans="1:17" s="2" customFormat="1" ht="12">
      <c r="A70" s="133" t="s">
        <v>269</v>
      </c>
      <c r="B70" s="110"/>
      <c r="C70" s="111"/>
      <c r="D70" s="136">
        <f aca="true" t="shared" si="4" ref="D70:O70">SUM(D68:D69)</f>
        <v>335978.15135257895</v>
      </c>
      <c r="E70" s="136">
        <f t="shared" si="4"/>
        <v>345681.45757536223</v>
      </c>
      <c r="F70" s="136">
        <f t="shared" si="4"/>
        <v>241158.87881230906</v>
      </c>
      <c r="G70" s="136">
        <f t="shared" si="4"/>
        <v>294487.7060432277</v>
      </c>
      <c r="H70" s="136">
        <f t="shared" si="4"/>
        <v>232759.71079661604</v>
      </c>
      <c r="I70" s="136">
        <f t="shared" si="4"/>
        <v>394701.8721658522</v>
      </c>
      <c r="J70" s="136">
        <f t="shared" si="4"/>
        <v>371086.0085993258</v>
      </c>
      <c r="K70" s="136">
        <f t="shared" si="4"/>
        <v>407046.0256292096</v>
      </c>
      <c r="L70" s="136">
        <f t="shared" si="4"/>
        <v>417224.0831195327</v>
      </c>
      <c r="M70" s="136">
        <f t="shared" si="4"/>
        <v>418890.7925984607</v>
      </c>
      <c r="N70" s="136">
        <f t="shared" si="4"/>
        <v>309524.74661204783</v>
      </c>
      <c r="O70" s="136">
        <f t="shared" si="4"/>
        <v>389653.56669547735</v>
      </c>
      <c r="P70" s="114">
        <f>SUM(D70:O70)</f>
        <v>4158193</v>
      </c>
      <c r="Q70" s="110" t="s">
        <v>287</v>
      </c>
    </row>
    <row r="71" spans="1:17" s="87" customFormat="1" ht="96">
      <c r="A71" s="161" t="s">
        <v>121</v>
      </c>
      <c r="B71" s="7" t="s">
        <v>127</v>
      </c>
      <c r="C71" s="7" t="s">
        <v>313</v>
      </c>
      <c r="D71" s="39">
        <v>41.85263811940144</v>
      </c>
      <c r="E71" s="39">
        <v>27.054315745870657</v>
      </c>
      <c r="F71" s="39">
        <v>29.327396054471084</v>
      </c>
      <c r="G71" s="39">
        <v>2.0504323512659868</v>
      </c>
      <c r="H71" s="39">
        <v>22.321752187645625</v>
      </c>
      <c r="I71" s="39">
        <v>20.732149329467198</v>
      </c>
      <c r="J71" s="39">
        <v>49.79029669134779</v>
      </c>
      <c r="K71" s="39">
        <v>42.9089214518718</v>
      </c>
      <c r="L71" s="39">
        <v>55.12866980790141</v>
      </c>
      <c r="M71" s="39">
        <v>45.57551908041216</v>
      </c>
      <c r="N71" s="39">
        <v>30.492414435872213</v>
      </c>
      <c r="O71" s="39">
        <v>32.76549474447263</v>
      </c>
      <c r="P71" s="45">
        <f>SUM(D71:O71)</f>
        <v>399.99999999999994</v>
      </c>
      <c r="Q71" s="7" t="s">
        <v>321</v>
      </c>
    </row>
    <row r="72" spans="1:17" s="3" customFormat="1" ht="12">
      <c r="A72" s="208" t="s">
        <v>270</v>
      </c>
      <c r="B72" s="209"/>
      <c r="C72" s="209"/>
      <c r="D72" s="209"/>
      <c r="E72" s="209"/>
      <c r="F72" s="209"/>
      <c r="G72" s="209"/>
      <c r="H72" s="209"/>
      <c r="I72" s="209"/>
      <c r="J72" s="209"/>
      <c r="K72" s="209"/>
      <c r="L72" s="209"/>
      <c r="M72" s="209"/>
      <c r="N72" s="209"/>
      <c r="O72" s="209"/>
      <c r="P72" s="209"/>
      <c r="Q72" s="210"/>
    </row>
    <row r="73" spans="1:17" s="11" customFormat="1" ht="24">
      <c r="A73" s="28" t="s">
        <v>271</v>
      </c>
      <c r="B73" s="38" t="s">
        <v>33</v>
      </c>
      <c r="C73" s="7" t="s">
        <v>76</v>
      </c>
      <c r="D73" s="115" t="s">
        <v>59</v>
      </c>
      <c r="E73" s="115" t="s">
        <v>59</v>
      </c>
      <c r="F73" s="115" t="s">
        <v>59</v>
      </c>
      <c r="G73" s="115" t="s">
        <v>59</v>
      </c>
      <c r="H73" s="115" t="s">
        <v>59</v>
      </c>
      <c r="I73" s="115" t="s">
        <v>59</v>
      </c>
      <c r="J73" s="115" t="s">
        <v>59</v>
      </c>
      <c r="K73" s="115" t="s">
        <v>59</v>
      </c>
      <c r="L73" s="115" t="s">
        <v>59</v>
      </c>
      <c r="M73" s="115" t="s">
        <v>59</v>
      </c>
      <c r="N73" s="115" t="s">
        <v>59</v>
      </c>
      <c r="O73" s="115" t="s">
        <v>59</v>
      </c>
      <c r="P73" s="115" t="s">
        <v>59</v>
      </c>
      <c r="Q73" s="20"/>
    </row>
    <row r="74" spans="1:17" s="11" customFormat="1" ht="27.75" customHeight="1">
      <c r="A74" s="28" t="s">
        <v>272</v>
      </c>
      <c r="B74" s="38" t="s">
        <v>122</v>
      </c>
      <c r="C74" s="7" t="s">
        <v>124</v>
      </c>
      <c r="D74" s="115" t="s">
        <v>59</v>
      </c>
      <c r="E74" s="115" t="s">
        <v>59</v>
      </c>
      <c r="F74" s="115" t="s">
        <v>59</v>
      </c>
      <c r="G74" s="115" t="s">
        <v>59</v>
      </c>
      <c r="H74" s="115" t="s">
        <v>59</v>
      </c>
      <c r="I74" s="115" t="s">
        <v>59</v>
      </c>
      <c r="J74" s="115" t="s">
        <v>59</v>
      </c>
      <c r="K74" s="115" t="s">
        <v>59</v>
      </c>
      <c r="L74" s="115" t="s">
        <v>59</v>
      </c>
      <c r="M74" s="115" t="s">
        <v>59</v>
      </c>
      <c r="N74" s="115" t="s">
        <v>59</v>
      </c>
      <c r="O74" s="115" t="s">
        <v>59</v>
      </c>
      <c r="P74" s="115" t="s">
        <v>59</v>
      </c>
      <c r="Q74" s="20"/>
    </row>
    <row r="75" spans="1:17" s="11" customFormat="1" ht="24">
      <c r="A75" s="28" t="s">
        <v>273</v>
      </c>
      <c r="B75" s="38" t="s">
        <v>363</v>
      </c>
      <c r="C75" s="7" t="s">
        <v>100</v>
      </c>
      <c r="D75" s="115" t="s">
        <v>59</v>
      </c>
      <c r="E75" s="115" t="s">
        <v>59</v>
      </c>
      <c r="F75" s="115" t="s">
        <v>59</v>
      </c>
      <c r="G75" s="115" t="s">
        <v>59</v>
      </c>
      <c r="H75" s="115" t="s">
        <v>59</v>
      </c>
      <c r="I75" s="115" t="s">
        <v>59</v>
      </c>
      <c r="J75" s="115" t="s">
        <v>59</v>
      </c>
      <c r="K75" s="115" t="s">
        <v>59</v>
      </c>
      <c r="L75" s="115" t="s">
        <v>59</v>
      </c>
      <c r="M75" s="115" t="s">
        <v>59</v>
      </c>
      <c r="N75" s="115" t="s">
        <v>59</v>
      </c>
      <c r="O75" s="115" t="s">
        <v>59</v>
      </c>
      <c r="P75" s="115" t="s">
        <v>59</v>
      </c>
      <c r="Q75" s="20"/>
    </row>
    <row r="76" spans="1:17" s="11" customFormat="1" ht="36" customHeight="1">
      <c r="A76" s="28" t="s">
        <v>274</v>
      </c>
      <c r="B76" s="38" t="s">
        <v>123</v>
      </c>
      <c r="C76" s="7" t="s">
        <v>77</v>
      </c>
      <c r="D76" s="115" t="s">
        <v>59</v>
      </c>
      <c r="E76" s="115" t="s">
        <v>59</v>
      </c>
      <c r="F76" s="115" t="s">
        <v>59</v>
      </c>
      <c r="G76" s="115" t="s">
        <v>59</v>
      </c>
      <c r="H76" s="115" t="s">
        <v>59</v>
      </c>
      <c r="I76" s="115" t="s">
        <v>59</v>
      </c>
      <c r="J76" s="115" t="s">
        <v>59</v>
      </c>
      <c r="K76" s="115" t="s">
        <v>59</v>
      </c>
      <c r="L76" s="115" t="s">
        <v>59</v>
      </c>
      <c r="M76" s="115" t="s">
        <v>59</v>
      </c>
      <c r="N76" s="115" t="s">
        <v>59</v>
      </c>
      <c r="O76" s="115" t="s">
        <v>59</v>
      </c>
      <c r="P76" s="115" t="s">
        <v>59</v>
      </c>
      <c r="Q76" s="20"/>
    </row>
    <row r="77" spans="1:17" s="3" customFormat="1" ht="12">
      <c r="A77" s="208" t="s">
        <v>275</v>
      </c>
      <c r="B77" s="209"/>
      <c r="C77" s="209"/>
      <c r="D77" s="209"/>
      <c r="E77" s="209"/>
      <c r="F77" s="209"/>
      <c r="G77" s="209"/>
      <c r="H77" s="209"/>
      <c r="I77" s="209"/>
      <c r="J77" s="209"/>
      <c r="K77" s="209"/>
      <c r="L77" s="209"/>
      <c r="M77" s="209"/>
      <c r="N77" s="209"/>
      <c r="O77" s="209"/>
      <c r="P77" s="209"/>
      <c r="Q77" s="210"/>
    </row>
    <row r="78" spans="1:17" s="11" customFormat="1" ht="36">
      <c r="A78" s="170">
        <v>5.1</v>
      </c>
      <c r="B78" s="7" t="s">
        <v>179</v>
      </c>
      <c r="C78" s="34" t="s">
        <v>362</v>
      </c>
      <c r="D78" s="115" t="s">
        <v>59</v>
      </c>
      <c r="E78" s="115" t="s">
        <v>59</v>
      </c>
      <c r="F78" s="115" t="s">
        <v>59</v>
      </c>
      <c r="G78" s="115" t="s">
        <v>59</v>
      </c>
      <c r="H78" s="115" t="s">
        <v>59</v>
      </c>
      <c r="I78" s="115" t="s">
        <v>59</v>
      </c>
      <c r="J78" s="115" t="s">
        <v>59</v>
      </c>
      <c r="K78" s="115" t="s">
        <v>59</v>
      </c>
      <c r="L78" s="115" t="s">
        <v>59</v>
      </c>
      <c r="M78" s="115" t="s">
        <v>59</v>
      </c>
      <c r="N78" s="115" t="s">
        <v>59</v>
      </c>
      <c r="O78" s="115" t="s">
        <v>59</v>
      </c>
      <c r="P78" s="115" t="s">
        <v>59</v>
      </c>
      <c r="Q78" s="27"/>
    </row>
    <row r="79" spans="1:17" ht="12.75">
      <c r="A79" s="208" t="s">
        <v>276</v>
      </c>
      <c r="B79" s="209"/>
      <c r="C79" s="209"/>
      <c r="D79" s="209"/>
      <c r="E79" s="209"/>
      <c r="F79" s="209"/>
      <c r="G79" s="209"/>
      <c r="H79" s="209"/>
      <c r="I79" s="209"/>
      <c r="J79" s="209"/>
      <c r="K79" s="209"/>
      <c r="L79" s="209"/>
      <c r="M79" s="209"/>
      <c r="N79" s="209"/>
      <c r="O79" s="209"/>
      <c r="P79" s="209"/>
      <c r="Q79" s="210"/>
    </row>
    <row r="80" spans="1:17" s="87" customFormat="1" ht="46.5" customHeight="1">
      <c r="A80" s="14">
        <v>5.11</v>
      </c>
      <c r="B80" s="7" t="s">
        <v>125</v>
      </c>
      <c r="C80" s="27" t="s">
        <v>241</v>
      </c>
      <c r="D80" s="32">
        <v>83275</v>
      </c>
      <c r="E80" s="32">
        <v>101686</v>
      </c>
      <c r="F80" s="32">
        <v>92601</v>
      </c>
      <c r="G80" s="32">
        <f aca="true" t="shared" si="5" ref="G80:O80">0*0.3445</f>
        <v>0</v>
      </c>
      <c r="H80" s="32">
        <f t="shared" si="5"/>
        <v>0</v>
      </c>
      <c r="I80" s="32">
        <f t="shared" si="5"/>
        <v>0</v>
      </c>
      <c r="J80" s="32">
        <f t="shared" si="5"/>
        <v>0</v>
      </c>
      <c r="K80" s="32">
        <f t="shared" si="5"/>
        <v>0</v>
      </c>
      <c r="L80" s="32">
        <f t="shared" si="5"/>
        <v>0</v>
      </c>
      <c r="M80" s="32">
        <f t="shared" si="5"/>
        <v>0</v>
      </c>
      <c r="N80" s="32">
        <f t="shared" si="5"/>
        <v>0</v>
      </c>
      <c r="O80" s="32">
        <f t="shared" si="5"/>
        <v>0</v>
      </c>
      <c r="P80" s="57">
        <f>SUM(D80:O80)</f>
        <v>277562</v>
      </c>
      <c r="Q80" s="35" t="s">
        <v>228</v>
      </c>
    </row>
    <row r="81" spans="1:17" s="11" customFormat="1" ht="12">
      <c r="A81" s="137"/>
      <c r="B81" s="129"/>
      <c r="C81" s="130"/>
      <c r="D81" s="138"/>
      <c r="E81" s="138"/>
      <c r="F81" s="138"/>
      <c r="G81" s="138"/>
      <c r="H81" s="138"/>
      <c r="I81" s="138"/>
      <c r="J81" s="138"/>
      <c r="K81" s="138"/>
      <c r="L81" s="138"/>
      <c r="M81" s="138"/>
      <c r="N81" s="138"/>
      <c r="O81" s="138"/>
      <c r="P81" s="139"/>
      <c r="Q81" s="130"/>
    </row>
    <row r="82" spans="1:17" s="87" customFormat="1" ht="28.5" customHeight="1">
      <c r="A82" s="216" t="s">
        <v>242</v>
      </c>
      <c r="B82" s="216"/>
      <c r="C82" s="216"/>
      <c r="D82" s="216"/>
      <c r="E82" s="216"/>
      <c r="F82" s="216"/>
      <c r="G82" s="216"/>
      <c r="H82" s="216"/>
      <c r="I82" s="216"/>
      <c r="J82" s="216"/>
      <c r="K82" s="216"/>
      <c r="L82" s="216"/>
      <c r="M82" s="216"/>
      <c r="N82" s="216"/>
      <c r="O82" s="216"/>
      <c r="P82" s="216"/>
      <c r="Q82" s="216"/>
    </row>
    <row r="84" spans="1:16" s="87" customFormat="1" ht="12.75">
      <c r="A84" s="147" t="s">
        <v>352</v>
      </c>
      <c r="P84" s="108"/>
    </row>
    <row r="85" ht="12.75">
      <c r="B85" s="64"/>
    </row>
    <row r="87" spans="1:10" ht="13.5" thickBot="1">
      <c r="A87" s="203" t="s">
        <v>327</v>
      </c>
      <c r="B87" s="203"/>
      <c r="C87" s="203"/>
      <c r="D87" s="87"/>
      <c r="E87" s="108"/>
      <c r="F87" s="87"/>
      <c r="G87" s="87"/>
      <c r="H87" s="87"/>
      <c r="I87" s="87"/>
      <c r="J87" s="87"/>
    </row>
    <row r="88" spans="1:10" ht="12.75">
      <c r="A88" s="87" t="s">
        <v>328</v>
      </c>
      <c r="B88" s="201"/>
      <c r="C88" s="201"/>
      <c r="D88" s="87"/>
      <c r="E88" s="108"/>
      <c r="F88" s="108">
        <v>108104</v>
      </c>
      <c r="G88" s="87" t="s">
        <v>329</v>
      </c>
      <c r="H88" s="87"/>
      <c r="I88" s="87"/>
      <c r="J88" s="87"/>
    </row>
    <row r="89" spans="1:10" ht="12.75">
      <c r="A89" s="87" t="s">
        <v>330</v>
      </c>
      <c r="B89" s="201"/>
      <c r="C89" s="201"/>
      <c r="D89" s="87"/>
      <c r="E89" s="108"/>
      <c r="F89" s="108">
        <v>154</v>
      </c>
      <c r="G89" s="87" t="s">
        <v>329</v>
      </c>
      <c r="H89" s="87"/>
      <c r="I89" s="87"/>
      <c r="J89" s="87"/>
    </row>
    <row r="90" spans="1:10" ht="12.75">
      <c r="A90" s="87" t="s">
        <v>331</v>
      </c>
      <c r="B90" s="201"/>
      <c r="C90" s="201"/>
      <c r="D90" s="87"/>
      <c r="E90" s="108"/>
      <c r="F90" s="108">
        <v>6400</v>
      </c>
      <c r="G90" s="87" t="s">
        <v>332</v>
      </c>
      <c r="H90" s="87"/>
      <c r="I90" s="87"/>
      <c r="J90" s="87"/>
    </row>
    <row r="91" spans="1:10" ht="12.75">
      <c r="A91" s="87" t="s">
        <v>353</v>
      </c>
      <c r="B91" s="87"/>
      <c r="C91" s="87"/>
      <c r="D91" s="87"/>
      <c r="E91" s="108"/>
      <c r="F91" s="108">
        <v>184434</v>
      </c>
      <c r="G91" s="87" t="s">
        <v>333</v>
      </c>
      <c r="H91" s="87"/>
      <c r="I91" s="87"/>
      <c r="J91" s="87"/>
    </row>
    <row r="92" spans="1:10" ht="12.75">
      <c r="A92" s="87" t="s">
        <v>334</v>
      </c>
      <c r="B92" s="87"/>
      <c r="C92" s="87"/>
      <c r="D92" s="87"/>
      <c r="E92" s="108"/>
      <c r="F92" s="108">
        <v>272197</v>
      </c>
      <c r="G92" s="87" t="s">
        <v>333</v>
      </c>
      <c r="H92" s="147"/>
      <c r="I92" s="87"/>
      <c r="J92" s="87"/>
    </row>
    <row r="93" spans="1:10" ht="12.75">
      <c r="A93" s="87" t="s">
        <v>335</v>
      </c>
      <c r="B93" s="87"/>
      <c r="C93" s="87"/>
      <c r="D93" s="87"/>
      <c r="E93" s="108"/>
      <c r="F93" s="108">
        <v>2000</v>
      </c>
      <c r="G93" s="87" t="s">
        <v>336</v>
      </c>
      <c r="H93" s="87"/>
      <c r="I93" s="87"/>
      <c r="J93" s="87"/>
    </row>
    <row r="94" spans="1:10" ht="12.75">
      <c r="A94" s="87" t="s">
        <v>337</v>
      </c>
      <c r="B94" s="87"/>
      <c r="C94" s="87"/>
      <c r="D94" s="87"/>
      <c r="E94" s="108"/>
      <c r="F94" s="108">
        <v>2590814</v>
      </c>
      <c r="G94" s="87" t="s">
        <v>338</v>
      </c>
      <c r="H94" s="87"/>
      <c r="I94" s="87"/>
      <c r="J94" s="87"/>
    </row>
    <row r="95" spans="1:10" ht="12.75">
      <c r="A95" s="87" t="s">
        <v>339</v>
      </c>
      <c r="B95" s="201"/>
      <c r="C95" s="201"/>
      <c r="D95" s="87"/>
      <c r="E95" s="108"/>
      <c r="F95" s="108">
        <v>170121</v>
      </c>
      <c r="G95" s="87" t="s">
        <v>340</v>
      </c>
      <c r="H95" s="87"/>
      <c r="I95" s="87"/>
      <c r="J95" s="87"/>
    </row>
    <row r="96" spans="1:10" ht="12.75">
      <c r="A96" s="87" t="s">
        <v>341</v>
      </c>
      <c r="B96" s="87"/>
      <c r="C96" s="87"/>
      <c r="D96" s="87"/>
      <c r="E96" s="108"/>
      <c r="F96" s="108">
        <v>1397258</v>
      </c>
      <c r="G96" s="87" t="s">
        <v>340</v>
      </c>
      <c r="H96" s="146"/>
      <c r="I96" s="87"/>
      <c r="J96" s="108"/>
    </row>
    <row r="97" spans="1:10" ht="13.5" thickBot="1">
      <c r="A97" s="87" t="s">
        <v>342</v>
      </c>
      <c r="B97" s="87"/>
      <c r="C97" s="87"/>
      <c r="D97" s="87"/>
      <c r="E97" s="108"/>
      <c r="F97" s="108">
        <v>400</v>
      </c>
      <c r="G97" s="87" t="s">
        <v>343</v>
      </c>
      <c r="H97" s="87"/>
      <c r="I97" s="87"/>
      <c r="J97" s="87"/>
    </row>
    <row r="98" spans="1:10" ht="12.75">
      <c r="A98" s="87"/>
      <c r="B98" s="87"/>
      <c r="C98" s="87"/>
      <c r="D98" s="87"/>
      <c r="E98" s="204"/>
      <c r="F98" s="205">
        <f>SUM(F88:F97)</f>
        <v>4731882</v>
      </c>
      <c r="G98" s="87"/>
      <c r="H98" s="87"/>
      <c r="I98" s="87"/>
      <c r="J98" s="87"/>
    </row>
    <row r="99" spans="1:10" ht="12.75">
      <c r="A99" s="87"/>
      <c r="B99" s="87"/>
      <c r="C99" s="87"/>
      <c r="D99" s="87"/>
      <c r="E99" s="87"/>
      <c r="F99" s="87"/>
      <c r="G99" s="87"/>
      <c r="H99" s="87"/>
      <c r="I99" s="87"/>
      <c r="J99" s="87"/>
    </row>
    <row r="100" spans="1:10" ht="12.75">
      <c r="A100" s="87"/>
      <c r="B100" s="87"/>
      <c r="C100" s="87"/>
      <c r="D100" s="87"/>
      <c r="E100" s="87"/>
      <c r="F100" s="87"/>
      <c r="G100" s="87"/>
      <c r="H100" s="87"/>
      <c r="I100" s="87"/>
      <c r="J100" s="87"/>
    </row>
    <row r="101" spans="1:10" ht="13.5" thickBot="1">
      <c r="A101" s="203" t="s">
        <v>344</v>
      </c>
      <c r="B101" s="203"/>
      <c r="C101" s="203"/>
      <c r="D101" s="87"/>
      <c r="E101" s="87"/>
      <c r="F101" s="87"/>
      <c r="G101" s="87"/>
      <c r="H101" s="87"/>
      <c r="I101" s="87"/>
      <c r="J101" s="87"/>
    </row>
    <row r="102" spans="1:10" ht="12.75">
      <c r="A102" s="87" t="s">
        <v>345</v>
      </c>
      <c r="B102" s="201"/>
      <c r="C102" s="201"/>
      <c r="D102" s="87"/>
      <c r="E102" s="108"/>
      <c r="F102" s="108">
        <v>108104</v>
      </c>
      <c r="G102" s="87" t="s">
        <v>329</v>
      </c>
      <c r="H102" s="87"/>
      <c r="I102" s="87"/>
      <c r="J102" s="87"/>
    </row>
    <row r="103" spans="1:10" ht="12.75">
      <c r="A103" s="87" t="s">
        <v>346</v>
      </c>
      <c r="B103" s="201"/>
      <c r="C103" s="201"/>
      <c r="D103" s="87"/>
      <c r="E103" s="108"/>
      <c r="F103" s="108">
        <v>154</v>
      </c>
      <c r="G103" s="87" t="s">
        <v>329</v>
      </c>
      <c r="H103" s="87"/>
      <c r="I103" s="87"/>
      <c r="J103" s="87"/>
    </row>
    <row r="104" spans="1:10" ht="12.75">
      <c r="A104" s="87" t="s">
        <v>347</v>
      </c>
      <c r="B104" s="201"/>
      <c r="C104" s="201"/>
      <c r="D104" s="87"/>
      <c r="E104" s="108"/>
      <c r="F104" s="108">
        <v>6400</v>
      </c>
      <c r="G104" s="87" t="s">
        <v>332</v>
      </c>
      <c r="H104" s="87"/>
      <c r="I104" s="87"/>
      <c r="J104" s="87"/>
    </row>
    <row r="105" spans="1:10" ht="12.75">
      <c r="A105" s="168" t="s">
        <v>348</v>
      </c>
      <c r="B105" s="168"/>
      <c r="C105" s="168"/>
      <c r="D105" s="168"/>
      <c r="E105" s="169"/>
      <c r="F105" s="169">
        <v>184434</v>
      </c>
      <c r="G105" s="168" t="s">
        <v>349</v>
      </c>
      <c r="H105" s="168"/>
      <c r="I105" s="168"/>
      <c r="J105" s="168"/>
    </row>
    <row r="106" spans="1:10" ht="12.75">
      <c r="A106" s="168" t="s">
        <v>350</v>
      </c>
      <c r="B106" s="168"/>
      <c r="C106" s="168"/>
      <c r="D106" s="168"/>
      <c r="E106" s="169"/>
      <c r="F106" s="169">
        <v>272197</v>
      </c>
      <c r="G106" s="168" t="s">
        <v>349</v>
      </c>
      <c r="H106" s="168"/>
      <c r="I106" s="168"/>
      <c r="J106" s="168"/>
    </row>
    <row r="107" spans="1:10" ht="13.5" thickBot="1">
      <c r="A107" s="87" t="s">
        <v>351</v>
      </c>
      <c r="B107" s="87"/>
      <c r="C107" s="87"/>
      <c r="D107" s="87"/>
      <c r="E107" s="108"/>
      <c r="F107" s="108">
        <v>2000</v>
      </c>
      <c r="G107" s="87" t="s">
        <v>336</v>
      </c>
      <c r="H107" s="87"/>
      <c r="I107" s="87"/>
      <c r="J107" s="87"/>
    </row>
    <row r="108" spans="1:10" ht="12.75">
      <c r="A108" s="87"/>
      <c r="B108" s="87"/>
      <c r="C108" s="87"/>
      <c r="D108" s="87"/>
      <c r="E108" s="87"/>
      <c r="F108" s="205">
        <f>SUM(F102:F107)</f>
        <v>573289</v>
      </c>
      <c r="G108" s="87"/>
      <c r="H108" s="87"/>
      <c r="I108" s="87"/>
      <c r="J108" s="87"/>
    </row>
  </sheetData>
  <mergeCells count="12">
    <mergeCell ref="A1:Q1"/>
    <mergeCell ref="A3:Q3"/>
    <mergeCell ref="C7:P7"/>
    <mergeCell ref="A19:Q19"/>
    <mergeCell ref="A5:Q5"/>
    <mergeCell ref="A77:Q77"/>
    <mergeCell ref="A79:Q79"/>
    <mergeCell ref="A82:Q82"/>
    <mergeCell ref="A33:Q33"/>
    <mergeCell ref="A61:Q61"/>
    <mergeCell ref="A65:Q65"/>
    <mergeCell ref="A72:Q72"/>
  </mergeCells>
  <printOptions horizontalCentered="1"/>
  <pageMargins left="0.15" right="0.15" top="0.85" bottom="0.75" header="0.25" footer="0.25"/>
  <pageSetup horizontalDpi="600" verticalDpi="600" orientation="landscape" scale="70" r:id="rId1"/>
  <headerFooter alignWithMargins="0">
    <oddHeader>&amp;L&amp;"Arial,Bold"FILES ACTIVITY&amp;R&amp;"Arial,Bold"TIRNO-04-R-00009</oddHeader>
    <oddFooter>&amp;L&amp;"Arial,Italic"&amp;11Technical Exhibit&amp;C&amp;11TE 5-001-&amp;P&amp;R&amp;"Arial,Italic"&amp;11IRS Files Activity</oddFooter>
  </headerFooter>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dc:creator>
  <cp:keywords/>
  <dc:description/>
  <cp:lastModifiedBy>DLDunl00</cp:lastModifiedBy>
  <cp:lastPrinted>2004-09-24T21:36:17Z</cp:lastPrinted>
  <dcterms:created xsi:type="dcterms:W3CDTF">2002-05-23T13:19:54Z</dcterms:created>
  <dcterms:modified xsi:type="dcterms:W3CDTF">2004-09-30T19:32:26Z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-814118412</vt:i4>
  </property>
  <property fmtid="{D5CDD505-2E9C-101B-9397-08002B2CF9AE}" pid="3" name="_EmailSubject">
    <vt:lpwstr>Files Activity - Documents for Amendment 2</vt:lpwstr>
  </property>
  <property fmtid="{D5CDD505-2E9C-101B-9397-08002B2CF9AE}" pid="4" name="_AuthorEmail">
    <vt:lpwstr>Charles.J.Conrad@irs.gov</vt:lpwstr>
  </property>
  <property fmtid="{D5CDD505-2E9C-101B-9397-08002B2CF9AE}" pid="5" name="_AuthorEmailDisplayName">
    <vt:lpwstr>Conrad Charles J</vt:lpwstr>
  </property>
  <property fmtid="{D5CDD505-2E9C-101B-9397-08002B2CF9AE}" pid="6" name="_ReviewingToolsShownOnce">
    <vt:lpwstr/>
  </property>
</Properties>
</file>