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0" yWindow="65221" windowWidth="11355" windowHeight="9495" tabRatio="773" activeTab="0"/>
  </bookViews>
  <sheets>
    <sheet name="Input param's description" sheetId="1" r:id="rId1"/>
    <sheet name="DAILY WATER BALANCE" sheetId="2" r:id="rId2"/>
    <sheet name="Oak2001" sheetId="3" r:id="rId3"/>
    <sheet name="Med2005" sheetId="4" r:id="rId4"/>
    <sheet name="SlopeCorrection" sheetId="5" r:id="rId5"/>
    <sheet name="Irrig converter" sheetId="6" r:id="rId6"/>
  </sheets>
  <externalReferences>
    <externalReference r:id="rId9"/>
  </externalReferences>
  <definedNames>
    <definedName name="Act_Irrig">'DAILY WATER BALANCE'!$D$36:$D$400</definedName>
    <definedName name="AlterKc?">'DAILY WATER BALANCE'!$B$21</definedName>
    <definedName name="CC_cover">'DAILY WATER BALANCE'!$B$9</definedName>
    <definedName name="CC_SMdeath">'DAILY WATER BALANCE'!$B$10</definedName>
    <definedName name="CCLastDay">'DAILY WATER BALANCE'!$B$8</definedName>
    <definedName name="Clay">'DAILY WATER BALANCE'!$B$4</definedName>
    <definedName name="Date">'DAILY WATER BALANCE'!$C$36:$C$400</definedName>
    <definedName name="ExtCoeff">'DAILY WATER BALANCE'!$B$12</definedName>
    <definedName name="GDD_budbreak">'DAILY WATER BALANCE'!$B$13</definedName>
    <definedName name="GDD_MaxLAI">'DAILY WATER BALANCE'!$B$14</definedName>
    <definedName name="GDD_Tbase0">'DAILY WATER BALANCE'!$H$36:$H$400</definedName>
    <definedName name="GDD_Tbase10">'DAILY WATER BALANCE'!$I$36:$I$400</definedName>
    <definedName name="GDD10sum">'DAILY WATER BALANCE'!$J$36:$J$400</definedName>
    <definedName name="Gravel">'DAILY WATER BALANCE'!$B$5</definedName>
    <definedName name="IrrConv">'DAILY WATER BALANCE'!$B$29</definedName>
    <definedName name="LAI">'DAILY WATER BALANCE'!$K$36:$K$400</definedName>
    <definedName name="LeafDropDay">'DAILY WATER BALANCE'!$B$15</definedName>
    <definedName name="LWP_Kc0">'DAILY WATER BALANCE'!$B$17</definedName>
    <definedName name="LWP_KcMax">'DAILY WATER BALANCE'!$B$16</definedName>
    <definedName name="MaxLAI">'DAILY WATER BALANCE'!$B$11</definedName>
    <definedName name="OptLWP">'DAILY WATER BALANCE'!$B$7</definedName>
    <definedName name="Precip">'DAILY WATER BALANCE'!$G$36:$G$400</definedName>
    <definedName name="Precip__y2">'DAILY WATER BALANCE'!$G$36:$G$400</definedName>
    <definedName name="RootDepth">'DAILY WATER BALANCE'!$B$6</definedName>
    <definedName name="rowspace">'DAILY WATER BALANCE'!$B$18</definedName>
    <definedName name="Sand">'DAILY WATER BALANCE'!$B$3</definedName>
    <definedName name="SimIrr?">'DAILY WATER BALANCE'!$B$20</definedName>
    <definedName name="SMatFC">'DAILY WATER BALANCE'!$B$24</definedName>
    <definedName name="SMatIrrig">'DAILY WATER BALANCE'!$B$27</definedName>
    <definedName name="SMatOptLWP">'DAILY WATER BALANCE'!$B$26</definedName>
    <definedName name="SMatWP">'DAILY WATER BALANCE'!$B$25</definedName>
    <definedName name="SMonJan1">'DAILY WATER BALANCE'!$B$28</definedName>
    <definedName name="SoilA">'DAILY WATER BALANCE'!$B$22</definedName>
    <definedName name="SoilB">'DAILY WATER BALANCE'!$B$23</definedName>
    <definedName name="VH2005">#REF!</definedName>
    <definedName name="vinespace">'DAILY WATER BALANCE'!$B$19</definedName>
    <definedName name="WeatherSheet">'DAILY WATER BALANCE'!$B$30</definedName>
    <definedName name="Yearday">'DAILY WATER BALANCE'!$B$36:$B$400</definedName>
  </definedNames>
  <calcPr fullCalcOnLoad="1"/>
</workbook>
</file>

<file path=xl/sharedStrings.xml><?xml version="1.0" encoding="utf-8"?>
<sst xmlns="http://schemas.openxmlformats.org/spreadsheetml/2006/main" count="1408" uniqueCount="1335">
  <si>
    <t>4) Transfer col H results to Water Balance wksht col C</t>
  </si>
  <si>
    <t>calculated soil moisture model A coefficient based on %sand &amp; %clay for equation of Saxton et al. (1986)</t>
  </si>
  <si>
    <t>calculated soil moisture model B coefficient based on %sand &amp; %clay for equation of Saxton et al. (1986)</t>
  </si>
  <si>
    <t>irrigation conversion (mm/m2 -&gt; gal/vine)</t>
  </si>
  <si>
    <t>gal/vine</t>
  </si>
  <si>
    <t>Runoff (y2)</t>
  </si>
  <si>
    <t>Yearday of leaf drop &amp; canopy senesence</t>
  </si>
  <si>
    <t>Yearday</t>
  </si>
  <si>
    <t>Tbase=0</t>
  </si>
  <si>
    <t>Tbase=10</t>
  </si>
  <si>
    <t>Soil moisture storage @ Field Capacity (mm)</t>
  </si>
  <si>
    <t>Soil moisture storage @ Wilting Pt. (mm)</t>
  </si>
  <si>
    <t>Switches</t>
  </si>
  <si>
    <t>Soil Moisture @ Irrigation threshold (mm)</t>
  </si>
  <si>
    <t>Initial soil moisture @ start of simulation (mm)</t>
  </si>
  <si>
    <t>which is based on the following reference (Saxton et al., 1986):</t>
  </si>
  <si>
    <t xml:space="preserve">K.E. Saxton et al., 1986. </t>
  </si>
  <si>
    <t>Block Name</t>
  </si>
  <si>
    <t>Last Day of Cover Crop (yearday)</t>
  </si>
  <si>
    <t>calculated soil moisture at wilting point(-10 bars) based on equation of Saxton et al. (1986)</t>
  </si>
  <si>
    <t>calculated soil moisture at field capacity (-0.15 bars) based on equation of Saxton et al. (1986)</t>
  </si>
  <si>
    <t>% Sand (surface to rooting depth)</t>
  </si>
  <si>
    <t>% Clay  (surface to rooting depth)</t>
  </si>
  <si>
    <t>% Gravel  (surface to rooting depth)</t>
  </si>
  <si>
    <t>USDA Texture Class</t>
  </si>
  <si>
    <t>Alter vine Kc by LWP? (0=no, 1=yes)</t>
  </si>
  <si>
    <t>Fractional soil moisture to senesce cover crop</t>
  </si>
  <si>
    <t>*Obtained from field samples or estimated based on USDA soil texture class (see table below)</t>
  </si>
  <si>
    <t>Measured or estimated from literature values (0.6 for vines)</t>
  </si>
  <si>
    <t>Required only to convert simulated irrigation from units of mm depth to units of gallons/vine</t>
  </si>
  <si>
    <t>1) Enter row &amp; vine spacing below:</t>
  </si>
  <si>
    <t xml:space="preserve">2) Set column G below to zero </t>
  </si>
  <si>
    <t>row space, ft</t>
  </si>
  <si>
    <t>vine space, ft</t>
  </si>
  <si>
    <t xml:space="preserve">3) Enter irrigation (gal/vine) into corresponding dates of col G </t>
  </si>
  <si>
    <t>VSIM is a PROTOTYPE spreadsheet tool for estimating the daily water balance of a vineyard block over 1 year.</t>
  </si>
  <si>
    <t>Description of Input Parameters:</t>
  </si>
  <si>
    <t>calculated based on row/vine spacing to convert simulated irrigation from units of mm to gallons/vine</t>
  </si>
  <si>
    <t>Initial soil moisture at start of simulation - OK to assume at field capacity on Jan. 1</t>
  </si>
  <si>
    <t>Please provide a measurement or estimate of parameters in color</t>
  </si>
  <si>
    <t xml:space="preserve">Parameters with * and in bold REQUIRE a measurement or estimate </t>
  </si>
  <si>
    <t>Soil</t>
  </si>
  <si>
    <t>Cover Crop</t>
  </si>
  <si>
    <t>Vine</t>
  </si>
  <si>
    <t>Parameters</t>
  </si>
  <si>
    <t>Cover of Cover Crop (0-1, = 0 for no CC)</t>
  </si>
  <si>
    <t>dim</t>
  </si>
  <si>
    <t>ETcc = ET of cover crop (mm/day)</t>
  </si>
  <si>
    <t>ETc = ET of vine (mm/day)</t>
  </si>
  <si>
    <t>LWP = daily predawn leaf water potential (bars)</t>
  </si>
  <si>
    <t>Kcc = Daily Kc for the Cover Crop</t>
  </si>
  <si>
    <t>Sim Irrig</t>
  </si>
  <si>
    <t>GDD0</t>
  </si>
  <si>
    <t>GDD10</t>
  </si>
  <si>
    <t>GDD10sum</t>
  </si>
  <si>
    <t>Act Irrig</t>
  </si>
  <si>
    <t>VSIM assumes a proficient working knowledge of the MS Excel spreadsheet environment</t>
  </si>
  <si>
    <t>Additional Info</t>
  </si>
  <si>
    <t>Water Bal</t>
  </si>
  <si>
    <t>X</t>
  </si>
  <si>
    <t>Date</t>
  </si>
  <si>
    <t>LAI</t>
  </si>
  <si>
    <t>Kc</t>
  </si>
  <si>
    <t>ETc</t>
  </si>
  <si>
    <t>bars</t>
  </si>
  <si>
    <t>mm</t>
  </si>
  <si>
    <t>ETcc</t>
  </si>
  <si>
    <t>sandy clay loam</t>
  </si>
  <si>
    <t>clay loam</t>
  </si>
  <si>
    <t>Irrigation</t>
  </si>
  <si>
    <t>m2/m2</t>
  </si>
  <si>
    <t>deg C</t>
  </si>
  <si>
    <t>Simulate Irrigation? (0=no, 1=yes)</t>
  </si>
  <si>
    <t>Light Extinction Coefficient</t>
  </si>
  <si>
    <t>Soil water model A coefficient</t>
  </si>
  <si>
    <t>Soil water model B coefficient</t>
  </si>
  <si>
    <t>LWPscaler</t>
  </si>
  <si>
    <t xml:space="preserve"> -mm</t>
  </si>
  <si>
    <t>SM (y2)</t>
  </si>
  <si>
    <t>Seasonal Sums of outputs</t>
  </si>
  <si>
    <t>Seasonal Averages of outputs</t>
  </si>
  <si>
    <t>Kcc</t>
  </si>
  <si>
    <t>Units</t>
  </si>
  <si>
    <t>%sand</t>
  </si>
  <si>
    <t>%clay</t>
  </si>
  <si>
    <t>sand</t>
  </si>
  <si>
    <t>loamy sand</t>
  </si>
  <si>
    <t>sandy loam</t>
  </si>
  <si>
    <t xml:space="preserve">sandy clay  </t>
  </si>
  <si>
    <t xml:space="preserve">loam </t>
  </si>
  <si>
    <t>silt loam</t>
  </si>
  <si>
    <t xml:space="preserve">clay  </t>
  </si>
  <si>
    <t xml:space="preserve">silt  </t>
  </si>
  <si>
    <t>silty clay loam</t>
  </si>
  <si>
    <t xml:space="preserve">silty clay  </t>
  </si>
  <si>
    <t xml:space="preserve">Estimating generalized soil-water characteristics from texture. </t>
  </si>
  <si>
    <t>Soil Sci. Soc. Amer. J. 50(4):1031-1036</t>
  </si>
  <si>
    <t>To obtain more detailed information regarding the range of USDA soil textures, see the following web site:</t>
  </si>
  <si>
    <t>soil texture triangle hydraulic properties calculator - http://www.bsyse.wsu.edu/saxton/soilwater/</t>
  </si>
  <si>
    <t>calculated = optimal soil moisture - 5 mm (assuming ~10 mm per irrigation event)</t>
  </si>
  <si>
    <t>Degree-day sum at peak LAI (Tbase = 10)</t>
  </si>
  <si>
    <t>Degree-day sum at budbreak (Tbase = 0)</t>
  </si>
  <si>
    <t xml:space="preserve">*% of soil matrix occupied by particles larger than sand; obtained from field samples or USDA soils series descriptions </t>
  </si>
  <si>
    <t xml:space="preserve">*Fraction of ground covered by the cover crop at peak cover crop biomass, or enter 0 for no CC </t>
  </si>
  <si>
    <t>Degree-day sum for budbreak (Tbase = 0C)</t>
  </si>
  <si>
    <t>Degree-day sum at peak LAI (Tbase = 10C)</t>
  </si>
  <si>
    <t>Optimal midday stem water potential (bars)</t>
  </si>
  <si>
    <t>Stem water potential value to initiate reduction in Kc</t>
  </si>
  <si>
    <t>Estimated based on observations, but typically by mid-autumn</t>
  </si>
  <si>
    <t>Stem water potential value at which Kc = 0</t>
  </si>
  <si>
    <t>Stem water potential value at which Kc is set to 0 because of severe water stress</t>
  </si>
  <si>
    <t>Stem water potential value at which Kc begins to be reduced due to initiation of water stress</t>
  </si>
  <si>
    <t>Calculated</t>
  </si>
  <si>
    <t>Peak seasonal Leaf Area Index (m2/m2)</t>
  </si>
  <si>
    <t>Peak seasonal Leaf Area Index (LAI)</t>
  </si>
  <si>
    <t>distance between rows (ft)</t>
  </si>
  <si>
    <t>distance between vines (ft)</t>
  </si>
  <si>
    <t>*Calculate from local weather data; This is the average degree-day sum on date of peak LAI or peak Kc from bud-break, Tbase=10C (e.g. 370C for Carneros, 600C for Oakville)</t>
  </si>
  <si>
    <t>*Calculate from local weather data; This is the average degree-day sum on date of bud break from Jan. 1, Tbase=0C (e.g. 865C for Oakville, 709C for Carneros)</t>
  </si>
  <si>
    <t>CONVERT actual irrigation data from gallons/vine to mm depth (for entry into column D of Water Balance worksheet)</t>
  </si>
  <si>
    <t>Optimal or target midday stem water potential for simulated irrigation.  This parameter controls the irrigation trigger, and so will influence the amount and timing of simulated irrigation.</t>
  </si>
  <si>
    <t>Fraction of total soil moisture relative to field capacity which causes cover crop to senesce (typically ~ 60%).  This parameter controls the soil moisture at which the cover crop senesces.</t>
  </si>
  <si>
    <t>If there is a cover crop, this is the yearday that the cover crop dies off or is plowed under (150 = May 30; set to 0 if there is no cover crop)</t>
  </si>
  <si>
    <t>*Do you want the model to simulate irrigation? 0=no, 1=yes; if no, daily irrigation values can be entered in column D in Daily Water Balance sheet (daily irrigation must be in mm depth)</t>
  </si>
  <si>
    <t>*Do you want to adjust Kc based on soil moisture and plant water stress? 0=no, 1=yes (typically Kc is responsive to plant water stress)</t>
  </si>
  <si>
    <t>Plant Rooting Depth (m)</t>
  </si>
  <si>
    <t>*Leaf area index (LAI) = plant leaf area / ground area, and is a measure of canopy density.  Peak LAI is measured or can be estimated from peak crop coefficient or % shaded area, where LAI = -ln(1-Kc)/k and Kc = peak crop coefficient or % shaded area and k = light extinction coefficient (0.6 for vines)</t>
  </si>
  <si>
    <t>VSIM can be used to simulate the water balance of perrenial crops other than vineyards (other vines, orchards, etc).</t>
  </si>
  <si>
    <t>Runoff (y2) = Runoff (mm/day) plotted on the secondary y-axis</t>
  </si>
  <si>
    <t>SM (y2) = Soil moisture (mm) plotted on the secondary y-axis</t>
  </si>
  <si>
    <t>Irrigation = Actual or Simulated Irrigation (mm/day), depending upon value in B20</t>
  </si>
  <si>
    <t>Crop Kc</t>
  </si>
  <si>
    <t>LAI = Daily leaf area index (m2 leaf area / m2 ground area); crop canopy density</t>
  </si>
  <si>
    <t>Crop Kc = Daily crop Kc after reduction due to plant water stress (if any)</t>
  </si>
  <si>
    <t>Precip (y2)</t>
  </si>
  <si>
    <t>Precip (y2) = rainfall (mm/day) plotted on the secondary y-axis</t>
  </si>
  <si>
    <t>OptLWP</t>
  </si>
  <si>
    <t>CCLastDay</t>
  </si>
  <si>
    <t>CC_cover</t>
  </si>
  <si>
    <t>CC_SMdeath</t>
  </si>
  <si>
    <t>MaxLAI</t>
  </si>
  <si>
    <t>ExtCoeff</t>
  </si>
  <si>
    <t>LeafDropDay</t>
  </si>
  <si>
    <t>LWP_KcMax</t>
  </si>
  <si>
    <t>LWP_Kc0</t>
  </si>
  <si>
    <t>rowspace</t>
  </si>
  <si>
    <t>vinespace</t>
  </si>
  <si>
    <t>SimIrr?</t>
  </si>
  <si>
    <t>AlterKc?</t>
  </si>
  <si>
    <t>SoilA</t>
  </si>
  <si>
    <t>SoilB</t>
  </si>
  <si>
    <t>SMatFC</t>
  </si>
  <si>
    <t>SMatWP</t>
  </si>
  <si>
    <t>SMatOptLWP</t>
  </si>
  <si>
    <t>SMatIrrig</t>
  </si>
  <si>
    <t>SMonJan1</t>
  </si>
  <si>
    <t>IrrConv</t>
  </si>
  <si>
    <t xml:space="preserve">Weather worksheet name </t>
  </si>
  <si>
    <t>temp</t>
  </si>
  <si>
    <t>ETo</t>
  </si>
  <si>
    <t>Precip</t>
  </si>
  <si>
    <t>B8</t>
  </si>
  <si>
    <t>C8</t>
  </si>
  <si>
    <t>D8</t>
  </si>
  <si>
    <t>B9</t>
  </si>
  <si>
    <t>C9</t>
  </si>
  <si>
    <t>D9</t>
  </si>
  <si>
    <t>B10</t>
  </si>
  <si>
    <t>C10</t>
  </si>
  <si>
    <t>D10</t>
  </si>
  <si>
    <t>B11</t>
  </si>
  <si>
    <t>C11</t>
  </si>
  <si>
    <t>D11</t>
  </si>
  <si>
    <t>B12</t>
  </si>
  <si>
    <t>C12</t>
  </si>
  <si>
    <t>D12</t>
  </si>
  <si>
    <t>B13</t>
  </si>
  <si>
    <t>C13</t>
  </si>
  <si>
    <t>D13</t>
  </si>
  <si>
    <t>B14</t>
  </si>
  <si>
    <t>C14</t>
  </si>
  <si>
    <t>D14</t>
  </si>
  <si>
    <t>B15</t>
  </si>
  <si>
    <t>C15</t>
  </si>
  <si>
    <t>D15</t>
  </si>
  <si>
    <t>B16</t>
  </si>
  <si>
    <t>C16</t>
  </si>
  <si>
    <t>D16</t>
  </si>
  <si>
    <t>B17</t>
  </si>
  <si>
    <t>C17</t>
  </si>
  <si>
    <t>D17</t>
  </si>
  <si>
    <t>B18</t>
  </si>
  <si>
    <t>C18</t>
  </si>
  <si>
    <t>D18</t>
  </si>
  <si>
    <t>B19</t>
  </si>
  <si>
    <t>C19</t>
  </si>
  <si>
    <t>D19</t>
  </si>
  <si>
    <t>B20</t>
  </si>
  <si>
    <t>C20</t>
  </si>
  <si>
    <t>D20</t>
  </si>
  <si>
    <t>B21</t>
  </si>
  <si>
    <t>C21</t>
  </si>
  <si>
    <t>D21</t>
  </si>
  <si>
    <t>B22</t>
  </si>
  <si>
    <t>C22</t>
  </si>
  <si>
    <t>D22</t>
  </si>
  <si>
    <t>B23</t>
  </si>
  <si>
    <t>C23</t>
  </si>
  <si>
    <t>D23</t>
  </si>
  <si>
    <t>B24</t>
  </si>
  <si>
    <t>C24</t>
  </si>
  <si>
    <t>D24</t>
  </si>
  <si>
    <t>B25</t>
  </si>
  <si>
    <t>C25</t>
  </si>
  <si>
    <t>D25</t>
  </si>
  <si>
    <t>B26</t>
  </si>
  <si>
    <t>C26</t>
  </si>
  <si>
    <t>D26</t>
  </si>
  <si>
    <t>B27</t>
  </si>
  <si>
    <t>C27</t>
  </si>
  <si>
    <t>D27</t>
  </si>
  <si>
    <t>B28</t>
  </si>
  <si>
    <t>C28</t>
  </si>
  <si>
    <t>D28</t>
  </si>
  <si>
    <t>B29</t>
  </si>
  <si>
    <t>C29</t>
  </si>
  <si>
    <t>D29</t>
  </si>
  <si>
    <t>B30</t>
  </si>
  <si>
    <t>C30</t>
  </si>
  <si>
    <t>D30</t>
  </si>
  <si>
    <t>B31</t>
  </si>
  <si>
    <t>C31</t>
  </si>
  <si>
    <t>D31</t>
  </si>
  <si>
    <t>B32</t>
  </si>
  <si>
    <t>C32</t>
  </si>
  <si>
    <t>D32</t>
  </si>
  <si>
    <t>B33</t>
  </si>
  <si>
    <t>C33</t>
  </si>
  <si>
    <t>D33</t>
  </si>
  <si>
    <t>B34</t>
  </si>
  <si>
    <t>C34</t>
  </si>
  <si>
    <t>D34</t>
  </si>
  <si>
    <t>B35</t>
  </si>
  <si>
    <t>C35</t>
  </si>
  <si>
    <t>D35</t>
  </si>
  <si>
    <t>B36</t>
  </si>
  <si>
    <t>C36</t>
  </si>
  <si>
    <t>D36</t>
  </si>
  <si>
    <t>B37</t>
  </si>
  <si>
    <t>C37</t>
  </si>
  <si>
    <t>D37</t>
  </si>
  <si>
    <t>B38</t>
  </si>
  <si>
    <t>C38</t>
  </si>
  <si>
    <t>D38</t>
  </si>
  <si>
    <t>B39</t>
  </si>
  <si>
    <t>C39</t>
  </si>
  <si>
    <t>D39</t>
  </si>
  <si>
    <t>B40</t>
  </si>
  <si>
    <t>C40</t>
  </si>
  <si>
    <t>D40</t>
  </si>
  <si>
    <t>B41</t>
  </si>
  <si>
    <t>C41</t>
  </si>
  <si>
    <t>D41</t>
  </si>
  <si>
    <t>B42</t>
  </si>
  <si>
    <t>C42</t>
  </si>
  <si>
    <t>D42</t>
  </si>
  <si>
    <t>B43</t>
  </si>
  <si>
    <t>C43</t>
  </si>
  <si>
    <t>D43</t>
  </si>
  <si>
    <t>B44</t>
  </si>
  <si>
    <t>C44</t>
  </si>
  <si>
    <t>D44</t>
  </si>
  <si>
    <t>B45</t>
  </si>
  <si>
    <t>C45</t>
  </si>
  <si>
    <t>D45</t>
  </si>
  <si>
    <t>B46</t>
  </si>
  <si>
    <t>C46</t>
  </si>
  <si>
    <t>D46</t>
  </si>
  <si>
    <t>B47</t>
  </si>
  <si>
    <t>C47</t>
  </si>
  <si>
    <t>D47</t>
  </si>
  <si>
    <t>B48</t>
  </si>
  <si>
    <t>C48</t>
  </si>
  <si>
    <t>D48</t>
  </si>
  <si>
    <t>B49</t>
  </si>
  <si>
    <t>C49</t>
  </si>
  <si>
    <t>D49</t>
  </si>
  <si>
    <t>B50</t>
  </si>
  <si>
    <t>C50</t>
  </si>
  <si>
    <t>D50</t>
  </si>
  <si>
    <t>B51</t>
  </si>
  <si>
    <t>C51</t>
  </si>
  <si>
    <t>D51</t>
  </si>
  <si>
    <t>B52</t>
  </si>
  <si>
    <t>C52</t>
  </si>
  <si>
    <t>D52</t>
  </si>
  <si>
    <t>B53</t>
  </si>
  <si>
    <t>C53</t>
  </si>
  <si>
    <t>D53</t>
  </si>
  <si>
    <t>B54</t>
  </si>
  <si>
    <t>C54</t>
  </si>
  <si>
    <t>D54</t>
  </si>
  <si>
    <t>B55</t>
  </si>
  <si>
    <t>C55</t>
  </si>
  <si>
    <t>D55</t>
  </si>
  <si>
    <t>B56</t>
  </si>
  <si>
    <t>C56</t>
  </si>
  <si>
    <t>D56</t>
  </si>
  <si>
    <t>B57</t>
  </si>
  <si>
    <t>C57</t>
  </si>
  <si>
    <t>D57</t>
  </si>
  <si>
    <t>B58</t>
  </si>
  <si>
    <t>C58</t>
  </si>
  <si>
    <t>D58</t>
  </si>
  <si>
    <t>B59</t>
  </si>
  <si>
    <t>C59</t>
  </si>
  <si>
    <t>D59</t>
  </si>
  <si>
    <t>B60</t>
  </si>
  <si>
    <t>C60</t>
  </si>
  <si>
    <t>D60</t>
  </si>
  <si>
    <t>B61</t>
  </si>
  <si>
    <t>C61</t>
  </si>
  <si>
    <t>D61</t>
  </si>
  <si>
    <t>B62</t>
  </si>
  <si>
    <t>C62</t>
  </si>
  <si>
    <t>D62</t>
  </si>
  <si>
    <t>B63</t>
  </si>
  <si>
    <t>C63</t>
  </si>
  <si>
    <t>D63</t>
  </si>
  <si>
    <t>B64</t>
  </si>
  <si>
    <t>C64</t>
  </si>
  <si>
    <t>D64</t>
  </si>
  <si>
    <t>B65</t>
  </si>
  <si>
    <t>C65</t>
  </si>
  <si>
    <t>D65</t>
  </si>
  <si>
    <t>B66</t>
  </si>
  <si>
    <t>C66</t>
  </si>
  <si>
    <t>D66</t>
  </si>
  <si>
    <t>B67</t>
  </si>
  <si>
    <t>C67</t>
  </si>
  <si>
    <t>D67</t>
  </si>
  <si>
    <t>B68</t>
  </si>
  <si>
    <t>C68</t>
  </si>
  <si>
    <t>D68</t>
  </si>
  <si>
    <t>B69</t>
  </si>
  <si>
    <t>C69</t>
  </si>
  <si>
    <t>D69</t>
  </si>
  <si>
    <t>B70</t>
  </si>
  <si>
    <t>C70</t>
  </si>
  <si>
    <t>D70</t>
  </si>
  <si>
    <t>B71</t>
  </si>
  <si>
    <t>C71</t>
  </si>
  <si>
    <t>D71</t>
  </si>
  <si>
    <t>B72</t>
  </si>
  <si>
    <t>C72</t>
  </si>
  <si>
    <t>D72</t>
  </si>
  <si>
    <t>B73</t>
  </si>
  <si>
    <t>C73</t>
  </si>
  <si>
    <t>D73</t>
  </si>
  <si>
    <t>B74</t>
  </si>
  <si>
    <t>C74</t>
  </si>
  <si>
    <t>D74</t>
  </si>
  <si>
    <t>B75</t>
  </si>
  <si>
    <t>C75</t>
  </si>
  <si>
    <t>D75</t>
  </si>
  <si>
    <t>B76</t>
  </si>
  <si>
    <t>C76</t>
  </si>
  <si>
    <t>D76</t>
  </si>
  <si>
    <t>B77</t>
  </si>
  <si>
    <t>C77</t>
  </si>
  <si>
    <t>D77</t>
  </si>
  <si>
    <t>B78</t>
  </si>
  <si>
    <t>C78</t>
  </si>
  <si>
    <t>D78</t>
  </si>
  <si>
    <t>B79</t>
  </si>
  <si>
    <t>C79</t>
  </si>
  <si>
    <t>D79</t>
  </si>
  <si>
    <t>B80</t>
  </si>
  <si>
    <t>C80</t>
  </si>
  <si>
    <t>D80</t>
  </si>
  <si>
    <t>B81</t>
  </si>
  <si>
    <t>C81</t>
  </si>
  <si>
    <t>D81</t>
  </si>
  <si>
    <t>B82</t>
  </si>
  <si>
    <t>C82</t>
  </si>
  <si>
    <t>D82</t>
  </si>
  <si>
    <t>B83</t>
  </si>
  <si>
    <t>C83</t>
  </si>
  <si>
    <t>D83</t>
  </si>
  <si>
    <t>B84</t>
  </si>
  <si>
    <t>C84</t>
  </si>
  <si>
    <t>D84</t>
  </si>
  <si>
    <t>B85</t>
  </si>
  <si>
    <t>C85</t>
  </si>
  <si>
    <t>D85</t>
  </si>
  <si>
    <t>B86</t>
  </si>
  <si>
    <t>C86</t>
  </si>
  <si>
    <t>D86</t>
  </si>
  <si>
    <t>B87</t>
  </si>
  <si>
    <t>C87</t>
  </si>
  <si>
    <t>D87</t>
  </si>
  <si>
    <t>B88</t>
  </si>
  <si>
    <t>C88</t>
  </si>
  <si>
    <t>D88</t>
  </si>
  <si>
    <t>B89</t>
  </si>
  <si>
    <t>C89</t>
  </si>
  <si>
    <t>D89</t>
  </si>
  <si>
    <t>B90</t>
  </si>
  <si>
    <t>C90</t>
  </si>
  <si>
    <t>D90</t>
  </si>
  <si>
    <t>B91</t>
  </si>
  <si>
    <t>C91</t>
  </si>
  <si>
    <t>D91</t>
  </si>
  <si>
    <t>B92</t>
  </si>
  <si>
    <t>C92</t>
  </si>
  <si>
    <t>D92</t>
  </si>
  <si>
    <t>B93</t>
  </si>
  <si>
    <t>C93</t>
  </si>
  <si>
    <t>D93</t>
  </si>
  <si>
    <t>B94</t>
  </si>
  <si>
    <t>C94</t>
  </si>
  <si>
    <t>D94</t>
  </si>
  <si>
    <t>B95</t>
  </si>
  <si>
    <t>C95</t>
  </si>
  <si>
    <t>D95</t>
  </si>
  <si>
    <t>B96</t>
  </si>
  <si>
    <t>C96</t>
  </si>
  <si>
    <t>D96</t>
  </si>
  <si>
    <t>B97</t>
  </si>
  <si>
    <t>C97</t>
  </si>
  <si>
    <t>D97</t>
  </si>
  <si>
    <t>B98</t>
  </si>
  <si>
    <t>C98</t>
  </si>
  <si>
    <t>D98</t>
  </si>
  <si>
    <t>B99</t>
  </si>
  <si>
    <t>C99</t>
  </si>
  <si>
    <t>D99</t>
  </si>
  <si>
    <t>B100</t>
  </si>
  <si>
    <t>C100</t>
  </si>
  <si>
    <t>D100</t>
  </si>
  <si>
    <t>B101</t>
  </si>
  <si>
    <t>C101</t>
  </si>
  <si>
    <t>D101</t>
  </si>
  <si>
    <t>B102</t>
  </si>
  <si>
    <t>C102</t>
  </si>
  <si>
    <t>D102</t>
  </si>
  <si>
    <t>B103</t>
  </si>
  <si>
    <t>C103</t>
  </si>
  <si>
    <t>D103</t>
  </si>
  <si>
    <t>B104</t>
  </si>
  <si>
    <t>C104</t>
  </si>
  <si>
    <t>D104</t>
  </si>
  <si>
    <t>B105</t>
  </si>
  <si>
    <t>C105</t>
  </si>
  <si>
    <t>D105</t>
  </si>
  <si>
    <t>B106</t>
  </si>
  <si>
    <t>C106</t>
  </si>
  <si>
    <t>D106</t>
  </si>
  <si>
    <t>B107</t>
  </si>
  <si>
    <t>C107</t>
  </si>
  <si>
    <t>D107</t>
  </si>
  <si>
    <t>B108</t>
  </si>
  <si>
    <t>C108</t>
  </si>
  <si>
    <t>D108</t>
  </si>
  <si>
    <t>B109</t>
  </si>
  <si>
    <t>C109</t>
  </si>
  <si>
    <t>D109</t>
  </si>
  <si>
    <t>B110</t>
  </si>
  <si>
    <t>C110</t>
  </si>
  <si>
    <t>D110</t>
  </si>
  <si>
    <t>B111</t>
  </si>
  <si>
    <t>C111</t>
  </si>
  <si>
    <t>D111</t>
  </si>
  <si>
    <t>B112</t>
  </si>
  <si>
    <t>C112</t>
  </si>
  <si>
    <t>D112</t>
  </si>
  <si>
    <t>B113</t>
  </si>
  <si>
    <t>C113</t>
  </si>
  <si>
    <t>D113</t>
  </si>
  <si>
    <t>B114</t>
  </si>
  <si>
    <t>C114</t>
  </si>
  <si>
    <t>D114</t>
  </si>
  <si>
    <t>B115</t>
  </si>
  <si>
    <t>C115</t>
  </si>
  <si>
    <t>D115</t>
  </si>
  <si>
    <t>B116</t>
  </si>
  <si>
    <t>C116</t>
  </si>
  <si>
    <t>D116</t>
  </si>
  <si>
    <t>B117</t>
  </si>
  <si>
    <t>C117</t>
  </si>
  <si>
    <t>D117</t>
  </si>
  <si>
    <t>B118</t>
  </si>
  <si>
    <t>C118</t>
  </si>
  <si>
    <t>D118</t>
  </si>
  <si>
    <t>B119</t>
  </si>
  <si>
    <t>C119</t>
  </si>
  <si>
    <t>D119</t>
  </si>
  <si>
    <t>B120</t>
  </si>
  <si>
    <t>C120</t>
  </si>
  <si>
    <t>D120</t>
  </si>
  <si>
    <t>B121</t>
  </si>
  <si>
    <t>C121</t>
  </si>
  <si>
    <t>D121</t>
  </si>
  <si>
    <t>B122</t>
  </si>
  <si>
    <t>C122</t>
  </si>
  <si>
    <t>D122</t>
  </si>
  <si>
    <t>B123</t>
  </si>
  <si>
    <t>C123</t>
  </si>
  <si>
    <t>D123</t>
  </si>
  <si>
    <t>B124</t>
  </si>
  <si>
    <t>C124</t>
  </si>
  <si>
    <t>D124</t>
  </si>
  <si>
    <t>B125</t>
  </si>
  <si>
    <t>C125</t>
  </si>
  <si>
    <t>D125</t>
  </si>
  <si>
    <t>B126</t>
  </si>
  <si>
    <t>C126</t>
  </si>
  <si>
    <t>D126</t>
  </si>
  <si>
    <t>B127</t>
  </si>
  <si>
    <t>C127</t>
  </si>
  <si>
    <t>D127</t>
  </si>
  <si>
    <t>B128</t>
  </si>
  <si>
    <t>C128</t>
  </si>
  <si>
    <t>D128</t>
  </si>
  <si>
    <t>B129</t>
  </si>
  <si>
    <t>C129</t>
  </si>
  <si>
    <t>D129</t>
  </si>
  <si>
    <t>B130</t>
  </si>
  <si>
    <t>C130</t>
  </si>
  <si>
    <t>D130</t>
  </si>
  <si>
    <t>B131</t>
  </si>
  <si>
    <t>C131</t>
  </si>
  <si>
    <t>D131</t>
  </si>
  <si>
    <t>B132</t>
  </si>
  <si>
    <t>C132</t>
  </si>
  <si>
    <t>D132</t>
  </si>
  <si>
    <t>B133</t>
  </si>
  <si>
    <t>C133</t>
  </si>
  <si>
    <t>D133</t>
  </si>
  <si>
    <t>B134</t>
  </si>
  <si>
    <t>C134</t>
  </si>
  <si>
    <t>D134</t>
  </si>
  <si>
    <t>B135</t>
  </si>
  <si>
    <t>C135</t>
  </si>
  <si>
    <t>D135</t>
  </si>
  <si>
    <t>B136</t>
  </si>
  <si>
    <t>C136</t>
  </si>
  <si>
    <t>D136</t>
  </si>
  <si>
    <t>B137</t>
  </si>
  <si>
    <t>C137</t>
  </si>
  <si>
    <t>D137</t>
  </si>
  <si>
    <t>B138</t>
  </si>
  <si>
    <t>C138</t>
  </si>
  <si>
    <t>D138</t>
  </si>
  <si>
    <t>B139</t>
  </si>
  <si>
    <t>C139</t>
  </si>
  <si>
    <t>D139</t>
  </si>
  <si>
    <t>B140</t>
  </si>
  <si>
    <t>C140</t>
  </si>
  <si>
    <t>D140</t>
  </si>
  <si>
    <t>B141</t>
  </si>
  <si>
    <t>C141</t>
  </si>
  <si>
    <t>D141</t>
  </si>
  <si>
    <t>B142</t>
  </si>
  <si>
    <t>C142</t>
  </si>
  <si>
    <t>D142</t>
  </si>
  <si>
    <t>B143</t>
  </si>
  <si>
    <t>C143</t>
  </si>
  <si>
    <t>D143</t>
  </si>
  <si>
    <t>B144</t>
  </si>
  <si>
    <t>C144</t>
  </si>
  <si>
    <t>D144</t>
  </si>
  <si>
    <t>B145</t>
  </si>
  <si>
    <t>C145</t>
  </si>
  <si>
    <t>D145</t>
  </si>
  <si>
    <t>B146</t>
  </si>
  <si>
    <t>C146</t>
  </si>
  <si>
    <t>D146</t>
  </si>
  <si>
    <t>B147</t>
  </si>
  <si>
    <t>C147</t>
  </si>
  <si>
    <t>D147</t>
  </si>
  <si>
    <t>B148</t>
  </si>
  <si>
    <t>C148</t>
  </si>
  <si>
    <t>D148</t>
  </si>
  <si>
    <t>B149</t>
  </si>
  <si>
    <t>C149</t>
  </si>
  <si>
    <t>D149</t>
  </si>
  <si>
    <t>B150</t>
  </si>
  <si>
    <t>C150</t>
  </si>
  <si>
    <t>D150</t>
  </si>
  <si>
    <t>B151</t>
  </si>
  <si>
    <t>C151</t>
  </si>
  <si>
    <t>D151</t>
  </si>
  <si>
    <t>B152</t>
  </si>
  <si>
    <t>C152</t>
  </si>
  <si>
    <t>D152</t>
  </si>
  <si>
    <t>B153</t>
  </si>
  <si>
    <t>C153</t>
  </si>
  <si>
    <t>D153</t>
  </si>
  <si>
    <t>B154</t>
  </si>
  <si>
    <t>C154</t>
  </si>
  <si>
    <t>D154</t>
  </si>
  <si>
    <t>B155</t>
  </si>
  <si>
    <t>C155</t>
  </si>
  <si>
    <t>D155</t>
  </si>
  <si>
    <t>B156</t>
  </si>
  <si>
    <t>C156</t>
  </si>
  <si>
    <t>D156</t>
  </si>
  <si>
    <t>B157</t>
  </si>
  <si>
    <t>C157</t>
  </si>
  <si>
    <t>D157</t>
  </si>
  <si>
    <t>B158</t>
  </si>
  <si>
    <t>C158</t>
  </si>
  <si>
    <t>D158</t>
  </si>
  <si>
    <t>B159</t>
  </si>
  <si>
    <t>C159</t>
  </si>
  <si>
    <t>D159</t>
  </si>
  <si>
    <t>B160</t>
  </si>
  <si>
    <t>C160</t>
  </si>
  <si>
    <t>D160</t>
  </si>
  <si>
    <t>B161</t>
  </si>
  <si>
    <t>C161</t>
  </si>
  <si>
    <t>D161</t>
  </si>
  <si>
    <t>B162</t>
  </si>
  <si>
    <t>C162</t>
  </si>
  <si>
    <t>D162</t>
  </si>
  <si>
    <t>B163</t>
  </si>
  <si>
    <t>C163</t>
  </si>
  <si>
    <t>D163</t>
  </si>
  <si>
    <t>B164</t>
  </si>
  <si>
    <t>C164</t>
  </si>
  <si>
    <t>D164</t>
  </si>
  <si>
    <t>B165</t>
  </si>
  <si>
    <t>C165</t>
  </si>
  <si>
    <t>D165</t>
  </si>
  <si>
    <t>B166</t>
  </si>
  <si>
    <t>C166</t>
  </si>
  <si>
    <t>D166</t>
  </si>
  <si>
    <t>B167</t>
  </si>
  <si>
    <t>C167</t>
  </si>
  <si>
    <t>D167</t>
  </si>
  <si>
    <t>B168</t>
  </si>
  <si>
    <t>C168</t>
  </si>
  <si>
    <t>D168</t>
  </si>
  <si>
    <t>B169</t>
  </si>
  <si>
    <t>C169</t>
  </si>
  <si>
    <t>D169</t>
  </si>
  <si>
    <t>B170</t>
  </si>
  <si>
    <t>C170</t>
  </si>
  <si>
    <t>D170</t>
  </si>
  <si>
    <t>B171</t>
  </si>
  <si>
    <t>C171</t>
  </si>
  <si>
    <t>D171</t>
  </si>
  <si>
    <t>B172</t>
  </si>
  <si>
    <t>C172</t>
  </si>
  <si>
    <t>D172</t>
  </si>
  <si>
    <t>B173</t>
  </si>
  <si>
    <t>C173</t>
  </si>
  <si>
    <t>D173</t>
  </si>
  <si>
    <t>B174</t>
  </si>
  <si>
    <t>C174</t>
  </si>
  <si>
    <t>D174</t>
  </si>
  <si>
    <t>B175</t>
  </si>
  <si>
    <t>C175</t>
  </si>
  <si>
    <t>D175</t>
  </si>
  <si>
    <t>B176</t>
  </si>
  <si>
    <t>C176</t>
  </si>
  <si>
    <t>D176</t>
  </si>
  <si>
    <t>B177</t>
  </si>
  <si>
    <t>C177</t>
  </si>
  <si>
    <t>D177</t>
  </si>
  <si>
    <t>B178</t>
  </si>
  <si>
    <t>C178</t>
  </si>
  <si>
    <t>D178</t>
  </si>
  <si>
    <t>B179</t>
  </si>
  <si>
    <t>C179</t>
  </si>
  <si>
    <t>D179</t>
  </si>
  <si>
    <t>B180</t>
  </si>
  <si>
    <t>C180</t>
  </si>
  <si>
    <t>D180</t>
  </si>
  <si>
    <t>B181</t>
  </si>
  <si>
    <t>C181</t>
  </si>
  <si>
    <t>D181</t>
  </si>
  <si>
    <t>B182</t>
  </si>
  <si>
    <t>C182</t>
  </si>
  <si>
    <t>D182</t>
  </si>
  <si>
    <t>B183</t>
  </si>
  <si>
    <t>C183</t>
  </si>
  <si>
    <t>D183</t>
  </si>
  <si>
    <t>B184</t>
  </si>
  <si>
    <t>C184</t>
  </si>
  <si>
    <t>D184</t>
  </si>
  <si>
    <t>B185</t>
  </si>
  <si>
    <t>C185</t>
  </si>
  <si>
    <t>D185</t>
  </si>
  <si>
    <t>B186</t>
  </si>
  <si>
    <t>C186</t>
  </si>
  <si>
    <t>D186</t>
  </si>
  <si>
    <t>B187</t>
  </si>
  <si>
    <t>C187</t>
  </si>
  <si>
    <t>D187</t>
  </si>
  <si>
    <t>B188</t>
  </si>
  <si>
    <t>C188</t>
  </si>
  <si>
    <t>D188</t>
  </si>
  <si>
    <t>B189</t>
  </si>
  <si>
    <t>C189</t>
  </si>
  <si>
    <t>D189</t>
  </si>
  <si>
    <t>B190</t>
  </si>
  <si>
    <t>C190</t>
  </si>
  <si>
    <t>D190</t>
  </si>
  <si>
    <t>B191</t>
  </si>
  <si>
    <t>C191</t>
  </si>
  <si>
    <t>D191</t>
  </si>
  <si>
    <t>B192</t>
  </si>
  <si>
    <t>C192</t>
  </si>
  <si>
    <t>D192</t>
  </si>
  <si>
    <t>B193</t>
  </si>
  <si>
    <t>C193</t>
  </si>
  <si>
    <t>D193</t>
  </si>
  <si>
    <t>B194</t>
  </si>
  <si>
    <t>C194</t>
  </si>
  <si>
    <t>D194</t>
  </si>
  <si>
    <t>B195</t>
  </si>
  <si>
    <t>C195</t>
  </si>
  <si>
    <t>D195</t>
  </si>
  <si>
    <t>B196</t>
  </si>
  <si>
    <t>C196</t>
  </si>
  <si>
    <t>D196</t>
  </si>
  <si>
    <t>B197</t>
  </si>
  <si>
    <t>C197</t>
  </si>
  <si>
    <t>D197</t>
  </si>
  <si>
    <t>B198</t>
  </si>
  <si>
    <t>C198</t>
  </si>
  <si>
    <t>D198</t>
  </si>
  <si>
    <t>B199</t>
  </si>
  <si>
    <t>C199</t>
  </si>
  <si>
    <t>D199</t>
  </si>
  <si>
    <t>B200</t>
  </si>
  <si>
    <t>C200</t>
  </si>
  <si>
    <t>D200</t>
  </si>
  <si>
    <t>B201</t>
  </si>
  <si>
    <t>C201</t>
  </si>
  <si>
    <t>D201</t>
  </si>
  <si>
    <t>B202</t>
  </si>
  <si>
    <t>C202</t>
  </si>
  <si>
    <t>D202</t>
  </si>
  <si>
    <t>B203</t>
  </si>
  <si>
    <t>C203</t>
  </si>
  <si>
    <t>D203</t>
  </si>
  <si>
    <t>B204</t>
  </si>
  <si>
    <t>C204</t>
  </si>
  <si>
    <t>D204</t>
  </si>
  <si>
    <t>B205</t>
  </si>
  <si>
    <t>C205</t>
  </si>
  <si>
    <t>D205</t>
  </si>
  <si>
    <t>B206</t>
  </si>
  <si>
    <t>C206</t>
  </si>
  <si>
    <t>D206</t>
  </si>
  <si>
    <t>B207</t>
  </si>
  <si>
    <t>C207</t>
  </si>
  <si>
    <t>D207</t>
  </si>
  <si>
    <t>B208</t>
  </si>
  <si>
    <t>C208</t>
  </si>
  <si>
    <t>D208</t>
  </si>
  <si>
    <t>B209</t>
  </si>
  <si>
    <t>C209</t>
  </si>
  <si>
    <t>D209</t>
  </si>
  <si>
    <t>B210</t>
  </si>
  <si>
    <t>C210</t>
  </si>
  <si>
    <t>D210</t>
  </si>
  <si>
    <t>B211</t>
  </si>
  <si>
    <t>C211</t>
  </si>
  <si>
    <t>D211</t>
  </si>
  <si>
    <t>B212</t>
  </si>
  <si>
    <t>C212</t>
  </si>
  <si>
    <t>D212</t>
  </si>
  <si>
    <t>B213</t>
  </si>
  <si>
    <t>C213</t>
  </si>
  <si>
    <t>D213</t>
  </si>
  <si>
    <t>B214</t>
  </si>
  <si>
    <t>C214</t>
  </si>
  <si>
    <t>D214</t>
  </si>
  <si>
    <t>B215</t>
  </si>
  <si>
    <t>C215</t>
  </si>
  <si>
    <t>D215</t>
  </si>
  <si>
    <t>B216</t>
  </si>
  <si>
    <t>C216</t>
  </si>
  <si>
    <t>D216</t>
  </si>
  <si>
    <t>B217</t>
  </si>
  <si>
    <t>C217</t>
  </si>
  <si>
    <t>D217</t>
  </si>
  <si>
    <t>B218</t>
  </si>
  <si>
    <t>C218</t>
  </si>
  <si>
    <t>D218</t>
  </si>
  <si>
    <t>B219</t>
  </si>
  <si>
    <t>C219</t>
  </si>
  <si>
    <t>D219</t>
  </si>
  <si>
    <t>B220</t>
  </si>
  <si>
    <t>C220</t>
  </si>
  <si>
    <t>D220</t>
  </si>
  <si>
    <t>B221</t>
  </si>
  <si>
    <t>C221</t>
  </si>
  <si>
    <t>D221</t>
  </si>
  <si>
    <t>B222</t>
  </si>
  <si>
    <t>C222</t>
  </si>
  <si>
    <t>D222</t>
  </si>
  <si>
    <t>B223</t>
  </si>
  <si>
    <t>C223</t>
  </si>
  <si>
    <t>D223</t>
  </si>
  <si>
    <t>B224</t>
  </si>
  <si>
    <t>C224</t>
  </si>
  <si>
    <t>D224</t>
  </si>
  <si>
    <t>B225</t>
  </si>
  <si>
    <t>C225</t>
  </si>
  <si>
    <t>D225</t>
  </si>
  <si>
    <t>B226</t>
  </si>
  <si>
    <t>C226</t>
  </si>
  <si>
    <t>D226</t>
  </si>
  <si>
    <t>B227</t>
  </si>
  <si>
    <t>C227</t>
  </si>
  <si>
    <t>D227</t>
  </si>
  <si>
    <t>B228</t>
  </si>
  <si>
    <t>C228</t>
  </si>
  <si>
    <t>D228</t>
  </si>
  <si>
    <t>B229</t>
  </si>
  <si>
    <t>C229</t>
  </si>
  <si>
    <t>D229</t>
  </si>
  <si>
    <t>B230</t>
  </si>
  <si>
    <t>C230</t>
  </si>
  <si>
    <t>D230</t>
  </si>
  <si>
    <t>B231</t>
  </si>
  <si>
    <t>C231</t>
  </si>
  <si>
    <t>D231</t>
  </si>
  <si>
    <t>B232</t>
  </si>
  <si>
    <t>C232</t>
  </si>
  <si>
    <t>D232</t>
  </si>
  <si>
    <t>B233</t>
  </si>
  <si>
    <t>C233</t>
  </si>
  <si>
    <t>D233</t>
  </si>
  <si>
    <t>B234</t>
  </si>
  <si>
    <t>C234</t>
  </si>
  <si>
    <t>D234</t>
  </si>
  <si>
    <t>B235</t>
  </si>
  <si>
    <t>C235</t>
  </si>
  <si>
    <t>D235</t>
  </si>
  <si>
    <t>B236</t>
  </si>
  <si>
    <t>C236</t>
  </si>
  <si>
    <t>D236</t>
  </si>
  <si>
    <t>B237</t>
  </si>
  <si>
    <t>C237</t>
  </si>
  <si>
    <t>D237</t>
  </si>
  <si>
    <t>B238</t>
  </si>
  <si>
    <t>C238</t>
  </si>
  <si>
    <t>D238</t>
  </si>
  <si>
    <t>B239</t>
  </si>
  <si>
    <t>C239</t>
  </si>
  <si>
    <t>D239</t>
  </si>
  <si>
    <t>B240</t>
  </si>
  <si>
    <t>C240</t>
  </si>
  <si>
    <t>D240</t>
  </si>
  <si>
    <t>B241</t>
  </si>
  <si>
    <t>C241</t>
  </si>
  <si>
    <t>D241</t>
  </si>
  <si>
    <t>B242</t>
  </si>
  <si>
    <t>C242</t>
  </si>
  <si>
    <t>D242</t>
  </si>
  <si>
    <t>B243</t>
  </si>
  <si>
    <t>C243</t>
  </si>
  <si>
    <t>D243</t>
  </si>
  <si>
    <t>B244</t>
  </si>
  <si>
    <t>C244</t>
  </si>
  <si>
    <t>D244</t>
  </si>
  <si>
    <t>B245</t>
  </si>
  <si>
    <t>C245</t>
  </si>
  <si>
    <t>D245</t>
  </si>
  <si>
    <t>B246</t>
  </si>
  <si>
    <t>C246</t>
  </si>
  <si>
    <t>D246</t>
  </si>
  <si>
    <t>B247</t>
  </si>
  <si>
    <t>C247</t>
  </si>
  <si>
    <t>D247</t>
  </si>
  <si>
    <t>B248</t>
  </si>
  <si>
    <t>C248</t>
  </si>
  <si>
    <t>D248</t>
  </si>
  <si>
    <t>B249</t>
  </si>
  <si>
    <t>C249</t>
  </si>
  <si>
    <t>D249</t>
  </si>
  <si>
    <t>B250</t>
  </si>
  <si>
    <t>C250</t>
  </si>
  <si>
    <t>D250</t>
  </si>
  <si>
    <t>B251</t>
  </si>
  <si>
    <t>C251</t>
  </si>
  <si>
    <t>D251</t>
  </si>
  <si>
    <t>B252</t>
  </si>
  <si>
    <t>C252</t>
  </si>
  <si>
    <t>D252</t>
  </si>
  <si>
    <t>B253</t>
  </si>
  <si>
    <t>C253</t>
  </si>
  <si>
    <t>D253</t>
  </si>
  <si>
    <t>B254</t>
  </si>
  <si>
    <t>C254</t>
  </si>
  <si>
    <t>D254</t>
  </si>
  <si>
    <t>B255</t>
  </si>
  <si>
    <t>C255</t>
  </si>
  <si>
    <t>D255</t>
  </si>
  <si>
    <t>B256</t>
  </si>
  <si>
    <t>C256</t>
  </si>
  <si>
    <t>D256</t>
  </si>
  <si>
    <t>B257</t>
  </si>
  <si>
    <t>C257</t>
  </si>
  <si>
    <t>D257</t>
  </si>
  <si>
    <t>B258</t>
  </si>
  <si>
    <t>C258</t>
  </si>
  <si>
    <t>D258</t>
  </si>
  <si>
    <t>B259</t>
  </si>
  <si>
    <t>C259</t>
  </si>
  <si>
    <t>D259</t>
  </si>
  <si>
    <t>B260</t>
  </si>
  <si>
    <t>C260</t>
  </si>
  <si>
    <t>D260</t>
  </si>
  <si>
    <t>B261</t>
  </si>
  <si>
    <t>C261</t>
  </si>
  <si>
    <t>D261</t>
  </si>
  <si>
    <t>B262</t>
  </si>
  <si>
    <t>C262</t>
  </si>
  <si>
    <t>D262</t>
  </si>
  <si>
    <t>B263</t>
  </si>
  <si>
    <t>C263</t>
  </si>
  <si>
    <t>D263</t>
  </si>
  <si>
    <t>B264</t>
  </si>
  <si>
    <t>C264</t>
  </si>
  <si>
    <t>D264</t>
  </si>
  <si>
    <t>B265</t>
  </si>
  <si>
    <t>C265</t>
  </si>
  <si>
    <t>D265</t>
  </si>
  <si>
    <t>B266</t>
  </si>
  <si>
    <t>C266</t>
  </si>
  <si>
    <t>D266</t>
  </si>
  <si>
    <t>B267</t>
  </si>
  <si>
    <t>C267</t>
  </si>
  <si>
    <t>D267</t>
  </si>
  <si>
    <t>B268</t>
  </si>
  <si>
    <t>C268</t>
  </si>
  <si>
    <t>D268</t>
  </si>
  <si>
    <t>B269</t>
  </si>
  <si>
    <t>C269</t>
  </si>
  <si>
    <t>D269</t>
  </si>
  <si>
    <t>B270</t>
  </si>
  <si>
    <t>C270</t>
  </si>
  <si>
    <t>D270</t>
  </si>
  <si>
    <t>B271</t>
  </si>
  <si>
    <t>C271</t>
  </si>
  <si>
    <t>D271</t>
  </si>
  <si>
    <t>B272</t>
  </si>
  <si>
    <t>C272</t>
  </si>
  <si>
    <t>D272</t>
  </si>
  <si>
    <t>B273</t>
  </si>
  <si>
    <t>C273</t>
  </si>
  <si>
    <t>D273</t>
  </si>
  <si>
    <t>B274</t>
  </si>
  <si>
    <t>C274</t>
  </si>
  <si>
    <t>D274</t>
  </si>
  <si>
    <t>B275</t>
  </si>
  <si>
    <t>C275</t>
  </si>
  <si>
    <t>D275</t>
  </si>
  <si>
    <t>B276</t>
  </si>
  <si>
    <t>C276</t>
  </si>
  <si>
    <t>D276</t>
  </si>
  <si>
    <t>B277</t>
  </si>
  <si>
    <t>C277</t>
  </si>
  <si>
    <t>D277</t>
  </si>
  <si>
    <t>B278</t>
  </si>
  <si>
    <t>C278</t>
  </si>
  <si>
    <t>D278</t>
  </si>
  <si>
    <t>B279</t>
  </si>
  <si>
    <t>C279</t>
  </si>
  <si>
    <t>D279</t>
  </si>
  <si>
    <t>B280</t>
  </si>
  <si>
    <t>C280</t>
  </si>
  <si>
    <t>D280</t>
  </si>
  <si>
    <t>B281</t>
  </si>
  <si>
    <t>C281</t>
  </si>
  <si>
    <t>D281</t>
  </si>
  <si>
    <t>B282</t>
  </si>
  <si>
    <t>C282</t>
  </si>
  <si>
    <t>D282</t>
  </si>
  <si>
    <t>B283</t>
  </si>
  <si>
    <t>C283</t>
  </si>
  <si>
    <t>D283</t>
  </si>
  <si>
    <t>B284</t>
  </si>
  <si>
    <t>C284</t>
  </si>
  <si>
    <t>D284</t>
  </si>
  <si>
    <t>B285</t>
  </si>
  <si>
    <t>C285</t>
  </si>
  <si>
    <t>D285</t>
  </si>
  <si>
    <t>B286</t>
  </si>
  <si>
    <t>C286</t>
  </si>
  <si>
    <t>D286</t>
  </si>
  <si>
    <t>B287</t>
  </si>
  <si>
    <t>C287</t>
  </si>
  <si>
    <t>D287</t>
  </si>
  <si>
    <t>B288</t>
  </si>
  <si>
    <t>C288</t>
  </si>
  <si>
    <t>D288</t>
  </si>
  <si>
    <t>B289</t>
  </si>
  <si>
    <t>C289</t>
  </si>
  <si>
    <t>D289</t>
  </si>
  <si>
    <t>B290</t>
  </si>
  <si>
    <t>C290</t>
  </si>
  <si>
    <t>D290</t>
  </si>
  <si>
    <t>B291</t>
  </si>
  <si>
    <t>C291</t>
  </si>
  <si>
    <t>D291</t>
  </si>
  <si>
    <t>B292</t>
  </si>
  <si>
    <t>C292</t>
  </si>
  <si>
    <t>D292</t>
  </si>
  <si>
    <t>B293</t>
  </si>
  <si>
    <t>C293</t>
  </si>
  <si>
    <t>D293</t>
  </si>
  <si>
    <t>B294</t>
  </si>
  <si>
    <t>C294</t>
  </si>
  <si>
    <t>D294</t>
  </si>
  <si>
    <t>B295</t>
  </si>
  <si>
    <t>C295</t>
  </si>
  <si>
    <t>D295</t>
  </si>
  <si>
    <t>B296</t>
  </si>
  <si>
    <t>C296</t>
  </si>
  <si>
    <t>D296</t>
  </si>
  <si>
    <t>B297</t>
  </si>
  <si>
    <t>C297</t>
  </si>
  <si>
    <t>D297</t>
  </si>
  <si>
    <t>B298</t>
  </si>
  <si>
    <t>C298</t>
  </si>
  <si>
    <t>D298</t>
  </si>
  <si>
    <t>B299</t>
  </si>
  <si>
    <t>C299</t>
  </si>
  <si>
    <t>D299</t>
  </si>
  <si>
    <t>B300</t>
  </si>
  <si>
    <t>C300</t>
  </si>
  <si>
    <t>D300</t>
  </si>
  <si>
    <t>B301</t>
  </si>
  <si>
    <t>C301</t>
  </si>
  <si>
    <t>D301</t>
  </si>
  <si>
    <t>B302</t>
  </si>
  <si>
    <t>C302</t>
  </si>
  <si>
    <t>D302</t>
  </si>
  <si>
    <t>B303</t>
  </si>
  <si>
    <t>C303</t>
  </si>
  <si>
    <t>D303</t>
  </si>
  <si>
    <t>B304</t>
  </si>
  <si>
    <t>C304</t>
  </si>
  <si>
    <t>D304</t>
  </si>
  <si>
    <t>B305</t>
  </si>
  <si>
    <t>C305</t>
  </si>
  <si>
    <t>D305</t>
  </si>
  <si>
    <t>B306</t>
  </si>
  <si>
    <t>C306</t>
  </si>
  <si>
    <t>D306</t>
  </si>
  <si>
    <t>B307</t>
  </si>
  <si>
    <t>C307</t>
  </si>
  <si>
    <t>D307</t>
  </si>
  <si>
    <t>B308</t>
  </si>
  <si>
    <t>C308</t>
  </si>
  <si>
    <t>D308</t>
  </si>
  <si>
    <t>B309</t>
  </si>
  <si>
    <t>C309</t>
  </si>
  <si>
    <t>D309</t>
  </si>
  <si>
    <t>B310</t>
  </si>
  <si>
    <t>C310</t>
  </si>
  <si>
    <t>D310</t>
  </si>
  <si>
    <t>B311</t>
  </si>
  <si>
    <t>C311</t>
  </si>
  <si>
    <t>D311</t>
  </si>
  <si>
    <t>B312</t>
  </si>
  <si>
    <t>C312</t>
  </si>
  <si>
    <t>D312</t>
  </si>
  <si>
    <t>B313</t>
  </si>
  <si>
    <t>C313</t>
  </si>
  <si>
    <t>D313</t>
  </si>
  <si>
    <t>B314</t>
  </si>
  <si>
    <t>C314</t>
  </si>
  <si>
    <t>D314</t>
  </si>
  <si>
    <t>B315</t>
  </si>
  <si>
    <t>C315</t>
  </si>
  <si>
    <t>D315</t>
  </si>
  <si>
    <t>B316</t>
  </si>
  <si>
    <t>C316</t>
  </si>
  <si>
    <t>D316</t>
  </si>
  <si>
    <t>B317</t>
  </si>
  <si>
    <t>C317</t>
  </si>
  <si>
    <t>D317</t>
  </si>
  <si>
    <t>B318</t>
  </si>
  <si>
    <t>C318</t>
  </si>
  <si>
    <t>D318</t>
  </si>
  <si>
    <t>B319</t>
  </si>
  <si>
    <t>C319</t>
  </si>
  <si>
    <t>D319</t>
  </si>
  <si>
    <t>B320</t>
  </si>
  <si>
    <t>C320</t>
  </si>
  <si>
    <t>D320</t>
  </si>
  <si>
    <t>B321</t>
  </si>
  <si>
    <t>C321</t>
  </si>
  <si>
    <t>D321</t>
  </si>
  <si>
    <t>B322</t>
  </si>
  <si>
    <t>C322</t>
  </si>
  <si>
    <t>D322</t>
  </si>
  <si>
    <t>B323</t>
  </si>
  <si>
    <t>C323</t>
  </si>
  <si>
    <t>D323</t>
  </si>
  <si>
    <t>B324</t>
  </si>
  <si>
    <t>C324</t>
  </si>
  <si>
    <t>D324</t>
  </si>
  <si>
    <t>B325</t>
  </si>
  <si>
    <t>C325</t>
  </si>
  <si>
    <t>D325</t>
  </si>
  <si>
    <t>B326</t>
  </si>
  <si>
    <t>C326</t>
  </si>
  <si>
    <t>D326</t>
  </si>
  <si>
    <t>B327</t>
  </si>
  <si>
    <t>C327</t>
  </si>
  <si>
    <t>D327</t>
  </si>
  <si>
    <t>B328</t>
  </si>
  <si>
    <t>C328</t>
  </si>
  <si>
    <t>D328</t>
  </si>
  <si>
    <t>B329</t>
  </si>
  <si>
    <t>C329</t>
  </si>
  <si>
    <t>D329</t>
  </si>
  <si>
    <t>B330</t>
  </si>
  <si>
    <t>C330</t>
  </si>
  <si>
    <t>D330</t>
  </si>
  <si>
    <t>B331</t>
  </si>
  <si>
    <t>C331</t>
  </si>
  <si>
    <t>D331</t>
  </si>
  <si>
    <t>B332</t>
  </si>
  <si>
    <t>C332</t>
  </si>
  <si>
    <t>D332</t>
  </si>
  <si>
    <t>B333</t>
  </si>
  <si>
    <t>C333</t>
  </si>
  <si>
    <t>D333</t>
  </si>
  <si>
    <t>B334</t>
  </si>
  <si>
    <t>C334</t>
  </si>
  <si>
    <t>D334</t>
  </si>
  <si>
    <t>B335</t>
  </si>
  <si>
    <t>C335</t>
  </si>
  <si>
    <t>D335</t>
  </si>
  <si>
    <t>B336</t>
  </si>
  <si>
    <t>C336</t>
  </si>
  <si>
    <t>D336</t>
  </si>
  <si>
    <t>B337</t>
  </si>
  <si>
    <t>C337</t>
  </si>
  <si>
    <t>D337</t>
  </si>
  <si>
    <t>B338</t>
  </si>
  <si>
    <t>C338</t>
  </si>
  <si>
    <t>D338</t>
  </si>
  <si>
    <t>B339</t>
  </si>
  <si>
    <t>C339</t>
  </si>
  <si>
    <t>D339</t>
  </si>
  <si>
    <t>B340</t>
  </si>
  <si>
    <t>C340</t>
  </si>
  <si>
    <t>D340</t>
  </si>
  <si>
    <t>B341</t>
  </si>
  <si>
    <t>C341</t>
  </si>
  <si>
    <t>D341</t>
  </si>
  <si>
    <t>B342</t>
  </si>
  <si>
    <t>C342</t>
  </si>
  <si>
    <t>D342</t>
  </si>
  <si>
    <t>B343</t>
  </si>
  <si>
    <t>C343</t>
  </si>
  <si>
    <t>D343</t>
  </si>
  <si>
    <t>B344</t>
  </si>
  <si>
    <t>C344</t>
  </si>
  <si>
    <t>D344</t>
  </si>
  <si>
    <t>B345</t>
  </si>
  <si>
    <t>C345</t>
  </si>
  <si>
    <t>D345</t>
  </si>
  <si>
    <t>B346</t>
  </si>
  <si>
    <t>C346</t>
  </si>
  <si>
    <t>D346</t>
  </si>
  <si>
    <t>B347</t>
  </si>
  <si>
    <t>C347</t>
  </si>
  <si>
    <t>D347</t>
  </si>
  <si>
    <t>B348</t>
  </si>
  <si>
    <t>C348</t>
  </si>
  <si>
    <t>D348</t>
  </si>
  <si>
    <t>B349</t>
  </si>
  <si>
    <t>C349</t>
  </si>
  <si>
    <t>D349</t>
  </si>
  <si>
    <t>B350</t>
  </si>
  <si>
    <t>C350</t>
  </si>
  <si>
    <t>D350</t>
  </si>
  <si>
    <t>B351</t>
  </si>
  <si>
    <t>C351</t>
  </si>
  <si>
    <t>D351</t>
  </si>
  <si>
    <t>B352</t>
  </si>
  <si>
    <t>C352</t>
  </si>
  <si>
    <t>D352</t>
  </si>
  <si>
    <t>B353</t>
  </si>
  <si>
    <t>C353</t>
  </si>
  <si>
    <t>D353</t>
  </si>
  <si>
    <t>B354</t>
  </si>
  <si>
    <t>C354</t>
  </si>
  <si>
    <t>D354</t>
  </si>
  <si>
    <t>B355</t>
  </si>
  <si>
    <t>C355</t>
  </si>
  <si>
    <t>D355</t>
  </si>
  <si>
    <t>B356</t>
  </si>
  <si>
    <t>C356</t>
  </si>
  <si>
    <t>D356</t>
  </si>
  <si>
    <t>B357</t>
  </si>
  <si>
    <t>C357</t>
  </si>
  <si>
    <t>D357</t>
  </si>
  <si>
    <t>B358</t>
  </si>
  <si>
    <t>C358</t>
  </si>
  <si>
    <t>D358</t>
  </si>
  <si>
    <t>B359</t>
  </si>
  <si>
    <t>C359</t>
  </si>
  <si>
    <t>D359</t>
  </si>
  <si>
    <t>B360</t>
  </si>
  <si>
    <t>C360</t>
  </si>
  <si>
    <t>D360</t>
  </si>
  <si>
    <t>B361</t>
  </si>
  <si>
    <t>C361</t>
  </si>
  <si>
    <t>D361</t>
  </si>
  <si>
    <t>B362</t>
  </si>
  <si>
    <t>C362</t>
  </si>
  <si>
    <t>D362</t>
  </si>
  <si>
    <t>B363</t>
  </si>
  <si>
    <t>C363</t>
  </si>
  <si>
    <t>D363</t>
  </si>
  <si>
    <t>B364</t>
  </si>
  <si>
    <t>C364</t>
  </si>
  <si>
    <t>D364</t>
  </si>
  <si>
    <t>B365</t>
  </si>
  <si>
    <t>C365</t>
  </si>
  <si>
    <t>D365</t>
  </si>
  <si>
    <t>B366</t>
  </si>
  <si>
    <t>C366</t>
  </si>
  <si>
    <t>D366</t>
  </si>
  <si>
    <t>B367</t>
  </si>
  <si>
    <t>C367</t>
  </si>
  <si>
    <t>D367</t>
  </si>
  <si>
    <t>Avg. Temp</t>
  </si>
  <si>
    <t>WeatherSheet</t>
  </si>
  <si>
    <t>To input new weather data: 1) insert a new worksheet, 2) copy in new weather data using the same format as the other weather worksheets, 3) name the worksheet, and 4) enter worksheet name in cell B30</t>
  </si>
  <si>
    <t>DATE</t>
  </si>
  <si>
    <t>Variable Name</t>
  </si>
  <si>
    <t>Sand</t>
  </si>
  <si>
    <t>Clay</t>
  </si>
  <si>
    <t>Gravel</t>
  </si>
  <si>
    <t>RootDepth</t>
  </si>
  <si>
    <t>GDD_budbreak</t>
  </si>
  <si>
    <t>GDD_MaxLAI</t>
  </si>
  <si>
    <t>Block</t>
  </si>
  <si>
    <t>VSIM is a prototype model that is being continually developed and tested - Use at your own risk.</t>
  </si>
  <si>
    <t>VSIM is being continually developed and tested - Use at your own risk.</t>
  </si>
  <si>
    <t>VSIM does not account for the effects of groundwater, soil compaction, salinity, or pests &amp; pathogens on vine water balance</t>
  </si>
  <si>
    <t xml:space="preserve">Vineyard Soil Irrigation Model - VSIM-1D </t>
  </si>
  <si>
    <t>SWP (y2)</t>
  </si>
  <si>
    <t>Soil Moisture @ Optimal SWP (mm)</t>
  </si>
  <si>
    <t>calculated soil moisture at the optimal soil/stem WP based on equation of Saxton et al. (1986)</t>
  </si>
  <si>
    <t>Soil Moisture @ Optimal predawn SWP (mm)</t>
  </si>
  <si>
    <t>Avg Air Temp (°C)</t>
  </si>
  <si>
    <t>Runoff proportion/day =</t>
  </si>
  <si>
    <t>To run VSIM using actual irrigation data, copy and paste daily irrigation amounts in mm depth into Act Irrig column D (you can use the Irrig Converter worksheet to convert from gal/vine to mm)</t>
  </si>
  <si>
    <t>VSIM written by Lars Pierce, Lee Johnson and Rama Nemani, NASA/Cal. State Univ. Monterey Bay (lars_pierce@csumb.edu)</t>
  </si>
  <si>
    <t>do not change these values as they have been set up as reference information for weather data</t>
  </si>
  <si>
    <t>oak2001</t>
  </si>
  <si>
    <t>t</t>
  </si>
  <si>
    <t>z = latitude - declination</t>
  </si>
  <si>
    <t>e = slope in degrees</t>
  </si>
  <si>
    <t>day</t>
  </si>
  <si>
    <t>date</t>
  </si>
  <si>
    <t>block latitude =</t>
  </si>
  <si>
    <t>degrees</t>
  </si>
  <si>
    <t>radians</t>
  </si>
  <si>
    <t>block slope =</t>
  </si>
  <si>
    <t>block aspect =</t>
  </si>
  <si>
    <t>decl (deg)</t>
  </si>
  <si>
    <t>z (deg)</t>
  </si>
  <si>
    <t>decl (rad)</t>
  </si>
  <si>
    <t>z (rad)</t>
  </si>
  <si>
    <t>cos i (flat)</t>
  </si>
  <si>
    <t>cos i (slope)</t>
  </si>
  <si>
    <t>station ETo</t>
  </si>
  <si>
    <t>Slope &amp; Aspect correction of ETo for vineyard blocks on sloping terrain</t>
  </si>
  <si>
    <t>1) Enter values (in red) for the latitude, slope, and aspect of your vineyard block</t>
  </si>
  <si>
    <t>3) Copy slope-corrected ETo from column L into the ETo column of your climate worksheet</t>
  </si>
  <si>
    <t>climate base</t>
  </si>
  <si>
    <t>2) Copy daily climate base station ETo into column K</t>
  </si>
  <si>
    <t>slope-corrected</t>
  </si>
  <si>
    <t>cosine</t>
  </si>
  <si>
    <t>correction</t>
  </si>
  <si>
    <r>
      <t>cos i = cos e cos z + sin e sin z cos(</t>
    </r>
    <r>
      <rPr>
        <b/>
        <sz val="12"/>
        <rFont val="Symbol"/>
        <family val="1"/>
      </rPr>
      <t>q</t>
    </r>
    <r>
      <rPr>
        <b/>
        <sz val="12"/>
        <rFont val="Times New Roman"/>
        <family val="1"/>
      </rPr>
      <t xml:space="preserve"> -</t>
    </r>
    <r>
      <rPr>
        <b/>
        <sz val="12"/>
        <rFont val="Symbol"/>
        <family val="1"/>
      </rPr>
      <t>j</t>
    </r>
    <r>
      <rPr>
        <b/>
        <sz val="12"/>
        <rFont val="Times New Roman"/>
        <family val="1"/>
      </rPr>
      <t xml:space="preserve"> ) </t>
    </r>
  </si>
  <si>
    <r>
      <t>q</t>
    </r>
    <r>
      <rPr>
        <sz val="12"/>
        <rFont val="Times New Roman"/>
        <family val="1"/>
      </rPr>
      <t xml:space="preserve"> = 180 degrees</t>
    </r>
  </si>
  <si>
    <r>
      <t>j</t>
    </r>
    <r>
      <rPr>
        <sz val="12"/>
        <rFont val="Times New Roman"/>
        <family val="1"/>
      </rPr>
      <t xml:space="preserve"> = aspect in degrees</t>
    </r>
  </si>
  <si>
    <t>CIMIS (California)</t>
  </si>
  <si>
    <t>Agrimet (Pacific NW)</t>
  </si>
  <si>
    <t>http://wwwcimis.water.ca.gov</t>
  </si>
  <si>
    <t>http://www.usbr.gov/pn/agrimet</t>
  </si>
  <si>
    <t>Online sources of weather data:</t>
  </si>
  <si>
    <t>Climate worksheet for Oakville, CA (Napa Valley) CIMIS weather data, 2001</t>
  </si>
  <si>
    <t>Agrimet data - scaled to match CIMIS ETo, converted to metric (see VSIM user guide)</t>
  </si>
  <si>
    <t>Precip (in/day)</t>
  </si>
  <si>
    <t>Please graph and check your input climate data for errors (e.g. very high or low values) and fill in values for any missing days.</t>
  </si>
  <si>
    <t>CIMIS data (in metric format) may be copied directly into columns A-D.</t>
  </si>
  <si>
    <t>To create a new climate worksheet, copy any existing climate worksheet into a new worksheet, add your new data, and update the date.</t>
  </si>
  <si>
    <t>If you are using Agrimet data, paste the new Agrimet data into columns F-H. This will scale the Agrimet data to a cut grass surface, and convert to metric.</t>
  </si>
  <si>
    <t>Climate worksheet for Medford, OR 2005 data</t>
  </si>
  <si>
    <t>B368</t>
  </si>
  <si>
    <t>C368</t>
  </si>
  <si>
    <t>D368</t>
  </si>
  <si>
    <t>B369</t>
  </si>
  <si>
    <t>C369</t>
  </si>
  <si>
    <t>D369</t>
  </si>
  <si>
    <t>B370</t>
  </si>
  <si>
    <t>C370</t>
  </si>
  <si>
    <t>D370</t>
  </si>
  <si>
    <t>B371</t>
  </si>
  <si>
    <t>C371</t>
  </si>
  <si>
    <t>D371</t>
  </si>
  <si>
    <t>B372</t>
  </si>
  <si>
    <t>C372</t>
  </si>
  <si>
    <t>D372</t>
  </si>
  <si>
    <t>CIMIS ETo (mm/day)</t>
  </si>
  <si>
    <t>Precip (mm/day)</t>
  </si>
  <si>
    <t xml:space="preserve"> Agrimet ETo (in/day)</t>
  </si>
  <si>
    <t>Avg Air Temp (F)</t>
  </si>
  <si>
    <t>mm/day</t>
  </si>
  <si>
    <t>gal/vine/day</t>
  </si>
  <si>
    <t>Please read the VSIM User Guide prior to running the VSIM model.  The user guide provides guidelines for helping you to set up and run the VSIM model.</t>
  </si>
  <si>
    <t xml:space="preserve">To run a VSIM simulation for a new vineyard block, save this spreadsheet as a new file and change the input parameters and climate as desired.  </t>
  </si>
  <si>
    <t xml:space="preserve">VSIM is being developed with funding from NASA and the CA Dept. of Water Resources </t>
  </si>
  <si>
    <t>*Depth in soil which contains the majority of roots (typically &lt;1.5 m).  Obtained from field samples or estimated based on root stock; usually equal to soil depth for shallow soils &lt;1m deep.</t>
  </si>
  <si>
    <t>If you are using Agrimet data, refer to the Med2005 climate worksheet.</t>
  </si>
  <si>
    <t>VSIM-1D - version 030106 (March 1, 2006)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</si>
</sst>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000"/>
    <numFmt numFmtId="166" formatCode="0.000000000000000000"/>
    <numFmt numFmtId="167" formatCode="0.0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[$-409]dddd\,\ mmmm\ dd\,\ yyyy"/>
    <numFmt numFmtId="179" formatCode="m/d;@"/>
    <numFmt numFmtId="180" formatCode="[$-409]h:mm:ss\ AM/PM"/>
    <numFmt numFmtId="181" formatCode="00000"/>
    <numFmt numFmtId="182" formatCode="[$-409]d\-mmm;@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10"/>
      <color indexed="50"/>
      <name val="Arial"/>
      <family val="2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50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sz val="8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9"/>
      <name val="Arial"/>
      <family val="0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53"/>
      <name val="Arial"/>
      <family val="2"/>
    </font>
    <font>
      <sz val="18"/>
      <name val="Arial"/>
      <family val="0"/>
    </font>
    <font>
      <u val="single"/>
      <sz val="10"/>
      <name val="Arial"/>
      <family val="0"/>
    </font>
    <font>
      <b/>
      <sz val="9.25"/>
      <name val="Arial"/>
      <family val="2"/>
    </font>
    <font>
      <sz val="8.25"/>
      <name val="Arial"/>
      <family val="2"/>
    </font>
    <font>
      <b/>
      <sz val="8.25"/>
      <name val="Arial"/>
      <family val="2"/>
    </font>
    <font>
      <b/>
      <sz val="8.75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50"/>
      <name val="Arial"/>
      <family val="2"/>
    </font>
    <font>
      <sz val="9"/>
      <color indexed="20"/>
      <name val="Arial"/>
      <family val="2"/>
    </font>
    <font>
      <sz val="9"/>
      <color indexed="53"/>
      <name val="Arial"/>
      <family val="2"/>
    </font>
    <font>
      <sz val="5.75"/>
      <name val="Arial"/>
      <family val="0"/>
    </font>
    <font>
      <b/>
      <sz val="12"/>
      <name val="Times New Roman"/>
      <family val="1"/>
    </font>
    <font>
      <b/>
      <sz val="12"/>
      <name val="Symbol"/>
      <family val="1"/>
    </font>
    <font>
      <sz val="12"/>
      <name val="Times New Roman"/>
      <family val="1"/>
    </font>
    <font>
      <sz val="12"/>
      <name val="Symbol"/>
      <family val="1"/>
    </font>
    <font>
      <sz val="12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2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" fontId="17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20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6" fontId="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left"/>
    </xf>
    <xf numFmtId="179" fontId="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Alignment="1">
      <alignment/>
    </xf>
    <xf numFmtId="0" fontId="27" fillId="0" borderId="0" xfId="0" applyFont="1" applyAlignment="1">
      <alignment horizontal="left"/>
    </xf>
    <xf numFmtId="1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" fontId="29" fillId="0" borderId="0" xfId="0" applyNumberFormat="1" applyFont="1" applyAlignment="1">
      <alignment horizontal="left"/>
    </xf>
    <xf numFmtId="2" fontId="29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165" fontId="26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82" fontId="0" fillId="0" borderId="0" xfId="0" applyNumberFormat="1" applyFill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4" fontId="0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35" fillId="0" borderId="0" xfId="0" applyFont="1" applyAlignment="1">
      <alignment/>
    </xf>
    <xf numFmtId="0" fontId="7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7" fillId="0" borderId="2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165"/>
          <c:w val="0.88425"/>
          <c:h val="0.7465"/>
        </c:manualLayout>
      </c:layout>
      <c:scatterChart>
        <c:scatterStyle val="line"/>
        <c:varyColors val="0"/>
        <c:ser>
          <c:idx val="1"/>
          <c:order val="1"/>
          <c:tx>
            <c:strRef>
              <c:f>'DAILY WATER BALANCE'!$P$35</c:f>
              <c:strCache>
                <c:ptCount val="1"/>
                <c:pt idx="0">
                  <c:v>ETcc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'DAILY WATER BALANCE'!$B$36:$B$400</c:f>
              <c:numCache/>
            </c:numRef>
          </c:xVal>
          <c:yVal>
            <c:numRef>
              <c:f>'DAILY WATER BALANCE'!$P$36:$P$400</c:f>
              <c:numCache>
                <c:ptCount val="365"/>
                <c:pt idx="0">
                  <c:v>0</c:v>
                </c:pt>
                <c:pt idx="1">
                  <c:v>-0.5085236835462957</c:v>
                </c:pt>
                <c:pt idx="2">
                  <c:v>-0.507497889424292</c:v>
                </c:pt>
                <c:pt idx="3">
                  <c:v>-0.6332200347263247</c:v>
                </c:pt>
                <c:pt idx="4">
                  <c:v>-0.5039241943488639</c:v>
                </c:pt>
                <c:pt idx="5">
                  <c:v>-0.5029169373190364</c:v>
                </c:pt>
                <c:pt idx="6">
                  <c:v>-0.1253458859952199</c:v>
                </c:pt>
                <c:pt idx="7">
                  <c:v>-0.25605903746286496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-0.6335041917504384</c:v>
                </c:pt>
                <c:pt idx="12">
                  <c:v>-0.5692255056830845</c:v>
                </c:pt>
                <c:pt idx="13">
                  <c:v>-0.5372156922425269</c:v>
                </c:pt>
                <c:pt idx="14">
                  <c:v>-1.4353001674458667</c:v>
                </c:pt>
                <c:pt idx="15">
                  <c:v>-1.1515663734586135</c:v>
                </c:pt>
                <c:pt idx="16">
                  <c:v>-0.7609150413127455</c:v>
                </c:pt>
                <c:pt idx="17">
                  <c:v>-0.504043477585617</c:v>
                </c:pt>
                <c:pt idx="18">
                  <c:v>-0.6276387186249796</c:v>
                </c:pt>
                <c:pt idx="19">
                  <c:v>-0.3744888611560013</c:v>
                </c:pt>
                <c:pt idx="20">
                  <c:v>-0.3733572700500814</c:v>
                </c:pt>
                <c:pt idx="21">
                  <c:v>-0.6207079181356291</c:v>
                </c:pt>
                <c:pt idx="22">
                  <c:v>0</c:v>
                </c:pt>
                <c:pt idx="23">
                  <c:v>-0.5431719844199121</c:v>
                </c:pt>
                <c:pt idx="24">
                  <c:v>-0.4390199190227072</c:v>
                </c:pt>
                <c:pt idx="25">
                  <c:v>-0.43365905363855123</c:v>
                </c:pt>
                <c:pt idx="26">
                  <c:v>-1.2600872789019941</c:v>
                </c:pt>
                <c:pt idx="27">
                  <c:v>-0.7978289569996515</c:v>
                </c:pt>
                <c:pt idx="28">
                  <c:v>-0.6476250251921488</c:v>
                </c:pt>
                <c:pt idx="29">
                  <c:v>-0.9034626482458665</c:v>
                </c:pt>
                <c:pt idx="30">
                  <c:v>-1.0204077119651442</c:v>
                </c:pt>
                <c:pt idx="31">
                  <c:v>-0.7590094064614522</c:v>
                </c:pt>
                <c:pt idx="32">
                  <c:v>-0.5027811516158252</c:v>
                </c:pt>
                <c:pt idx="33">
                  <c:v>-0.8766909470040112</c:v>
                </c:pt>
                <c:pt idx="34">
                  <c:v>-0.8705050894674657</c:v>
                </c:pt>
                <c:pt idx="35">
                  <c:v>-0.8643628788210737</c:v>
                </c:pt>
                <c:pt idx="36">
                  <c:v>-1.105440845805861</c:v>
                </c:pt>
                <c:pt idx="37">
                  <c:v>-1.5860214399233583</c:v>
                </c:pt>
                <c:pt idx="38">
                  <c:v>-1.3271032498633304</c:v>
                </c:pt>
                <c:pt idx="39">
                  <c:v>-0.23878743107415648</c:v>
                </c:pt>
                <c:pt idx="40">
                  <c:v>-0.8123868751671458</c:v>
                </c:pt>
                <c:pt idx="41">
                  <c:v>-0.5386746660532169</c:v>
                </c:pt>
                <c:pt idx="42">
                  <c:v>0</c:v>
                </c:pt>
                <c:pt idx="43">
                  <c:v>-1.3874534826395324</c:v>
                </c:pt>
                <c:pt idx="44">
                  <c:v>-0.9250731758194574</c:v>
                </c:pt>
                <c:pt idx="45">
                  <c:v>-0.5160809303344517</c:v>
                </c:pt>
                <c:pt idx="46">
                  <c:v>-0.7663773475334928</c:v>
                </c:pt>
                <c:pt idx="47">
                  <c:v>-0.1270202455630942</c:v>
                </c:pt>
                <c:pt idx="48">
                  <c:v>-0.13974463503256318</c:v>
                </c:pt>
                <c:pt idx="49">
                  <c:v>-0.26890723496968044</c:v>
                </c:pt>
                <c:pt idx="50">
                  <c:v>-0.43803531397948536</c:v>
                </c:pt>
                <c:pt idx="51">
                  <c:v>-0.7286820919656564</c:v>
                </c:pt>
                <c:pt idx="52">
                  <c:v>-0.8672159404986463</c:v>
                </c:pt>
                <c:pt idx="53">
                  <c:v>-1.1878946802482926</c:v>
                </c:pt>
                <c:pt idx="54">
                  <c:v>-0.1373090304437288</c:v>
                </c:pt>
                <c:pt idx="55">
                  <c:v>-0.5774133011407595</c:v>
                </c:pt>
                <c:pt idx="56">
                  <c:v>-1.3077810821241729</c:v>
                </c:pt>
                <c:pt idx="57">
                  <c:v>-2.1673371577305387</c:v>
                </c:pt>
                <c:pt idx="58">
                  <c:v>-2.0814444540035013</c:v>
                </c:pt>
                <c:pt idx="59">
                  <c:v>-0.6372156821352625</c:v>
                </c:pt>
                <c:pt idx="60">
                  <c:v>-0.3830363169038972</c:v>
                </c:pt>
                <c:pt idx="61">
                  <c:v>-0.6439637145572443</c:v>
                </c:pt>
                <c:pt idx="62">
                  <c:v>-0.5110170811729732</c:v>
                </c:pt>
                <c:pt idx="63">
                  <c:v>-0.47632336252242735</c:v>
                </c:pt>
                <c:pt idx="64">
                  <c:v>-1.2962985026971856</c:v>
                </c:pt>
                <c:pt idx="65">
                  <c:v>-1.3481971007428901</c:v>
                </c:pt>
                <c:pt idx="66">
                  <c:v>-1.041751953409319</c:v>
                </c:pt>
                <c:pt idx="67">
                  <c:v>-1.4082696611568493</c:v>
                </c:pt>
                <c:pt idx="68">
                  <c:v>-1.910812449719781</c:v>
                </c:pt>
                <c:pt idx="69">
                  <c:v>-1.3801792632379297</c:v>
                </c:pt>
                <c:pt idx="70">
                  <c:v>-1.7368957153315474</c:v>
                </c:pt>
                <c:pt idx="71">
                  <c:v>-1.4680398312377</c:v>
                </c:pt>
                <c:pt idx="72">
                  <c:v>-1.571220678187189</c:v>
                </c:pt>
                <c:pt idx="73">
                  <c:v>-0.8367843305867079</c:v>
                </c:pt>
                <c:pt idx="74">
                  <c:v>-1.5429961550724953</c:v>
                </c:pt>
                <c:pt idx="75">
                  <c:v>-1.5261060821035826</c:v>
                </c:pt>
                <c:pt idx="76">
                  <c:v>-1.621577455946785</c:v>
                </c:pt>
                <c:pt idx="77">
                  <c:v>-1.4848611145127157</c:v>
                </c:pt>
                <c:pt idx="78">
                  <c:v>-1.6905439980440105</c:v>
                </c:pt>
                <c:pt idx="79">
                  <c:v>-1.4432529034673331</c:v>
                </c:pt>
                <c:pt idx="80">
                  <c:v>-1.0954481465278252</c:v>
                </c:pt>
                <c:pt idx="81">
                  <c:v>-1.5180866512428046</c:v>
                </c:pt>
                <c:pt idx="82">
                  <c:v>-0.641550224237062</c:v>
                </c:pt>
                <c:pt idx="83">
                  <c:v>-1.461501339637759</c:v>
                </c:pt>
                <c:pt idx="84">
                  <c:v>-1.6754520211101405</c:v>
                </c:pt>
                <c:pt idx="85">
                  <c:v>-1.6501251910344348</c:v>
                </c:pt>
                <c:pt idx="86">
                  <c:v>-1.8420427972654894</c:v>
                </c:pt>
                <c:pt idx="87">
                  <c:v>-1.9170915204807095</c:v>
                </c:pt>
                <c:pt idx="88">
                  <c:v>-1.881953816006815</c:v>
                </c:pt>
                <c:pt idx="89">
                  <c:v>-1.9491465142285485</c:v>
                </c:pt>
                <c:pt idx="90">
                  <c:v>-1.6088873390250402</c:v>
                </c:pt>
                <c:pt idx="91">
                  <c:v>-1.4829752167644432</c:v>
                </c:pt>
                <c:pt idx="92">
                  <c:v>-1.459656331983052</c:v>
                </c:pt>
                <c:pt idx="93">
                  <c:v>-1.4366899451693569</c:v>
                </c:pt>
                <c:pt idx="94">
                  <c:v>-1.6970859486122836</c:v>
                </c:pt>
                <c:pt idx="95">
                  <c:v>-0.36987241150024447</c:v>
                </c:pt>
                <c:pt idx="96">
                  <c:v>-1.3644835715982206</c:v>
                </c:pt>
                <c:pt idx="97">
                  <c:v>-1.056474959106593</c:v>
                </c:pt>
                <c:pt idx="98">
                  <c:v>-1.8035004052983727</c:v>
                </c:pt>
                <c:pt idx="99">
                  <c:v>-1.7672433156211385</c:v>
                </c:pt>
                <c:pt idx="100">
                  <c:v>-1.367036407776862</c:v>
                </c:pt>
                <c:pt idx="101">
                  <c:v>-1.614393683384864</c:v>
                </c:pt>
                <c:pt idx="102">
                  <c:v>-1.3268725523830323</c:v>
                </c:pt>
                <c:pt idx="103">
                  <c:v>-1.3054821325970452</c:v>
                </c:pt>
                <c:pt idx="104">
                  <c:v>-1.541429245055646</c:v>
                </c:pt>
                <c:pt idx="105">
                  <c:v>-1.3433591672973895</c:v>
                </c:pt>
                <c:pt idx="106">
                  <c:v>-1.4021052241207639</c:v>
                </c:pt>
                <c:pt idx="107">
                  <c:v>-1.0518450411939075</c:v>
                </c:pt>
                <c:pt idx="108">
                  <c:v>-1.363858673734496</c:v>
                </c:pt>
                <c:pt idx="109">
                  <c:v>-0.15747727170077155</c:v>
                </c:pt>
                <c:pt idx="110">
                  <c:v>-1.7859447695086517</c:v>
                </c:pt>
                <c:pt idx="111">
                  <c:v>-1.5551015167439741</c:v>
                </c:pt>
                <c:pt idx="112">
                  <c:v>-1.8124087620223688</c:v>
                </c:pt>
                <c:pt idx="113">
                  <c:v>-2.051040032915978</c:v>
                </c:pt>
                <c:pt idx="114">
                  <c:v>-2.085186631902178</c:v>
                </c:pt>
                <c:pt idx="115">
                  <c:v>-1.5834536181070211</c:v>
                </c:pt>
                <c:pt idx="116">
                  <c:v>-1.5456489674117504</c:v>
                </c:pt>
                <c:pt idx="117">
                  <c:v>-1.6750810831274563</c:v>
                </c:pt>
                <c:pt idx="118">
                  <c:v>-1.790913411936269</c:v>
                </c:pt>
                <c:pt idx="119">
                  <c:v>-1.732864090642333</c:v>
                </c:pt>
                <c:pt idx="120">
                  <c:v>-1.8257426728934123</c:v>
                </c:pt>
                <c:pt idx="121">
                  <c:v>-2.412372400613643</c:v>
                </c:pt>
                <c:pt idx="122">
                  <c:v>-2.0756855094912043</c:v>
                </c:pt>
                <c:pt idx="123">
                  <c:v>-1.7000617532237647</c:v>
                </c:pt>
                <c:pt idx="124">
                  <c:v>-1.4894049057023613</c:v>
                </c:pt>
                <c:pt idx="125">
                  <c:v>-1.473659076459635</c:v>
                </c:pt>
                <c:pt idx="126">
                  <c:v>-1.4460370520650583</c:v>
                </c:pt>
                <c:pt idx="127">
                  <c:v>-1.35358748218161</c:v>
                </c:pt>
                <c:pt idx="128">
                  <c:v>-1.2113854960447692</c:v>
                </c:pt>
                <c:pt idx="129">
                  <c:v>-1.1300931417368896</c:v>
                </c:pt>
                <c:pt idx="130">
                  <c:v>-0.9587242091229264</c:v>
                </c:pt>
                <c:pt idx="131">
                  <c:v>-0.7309063637601237</c:v>
                </c:pt>
                <c:pt idx="132">
                  <c:v>-0.5376687739507277</c:v>
                </c:pt>
                <c:pt idx="133">
                  <c:v>-0.7093568756273769</c:v>
                </c:pt>
                <c:pt idx="134">
                  <c:v>-0.555567204194266</c:v>
                </c:pt>
                <c:pt idx="135">
                  <c:v>-0.6579449459235752</c:v>
                </c:pt>
                <c:pt idx="136">
                  <c:v>-0.5836077708675319</c:v>
                </c:pt>
                <c:pt idx="137">
                  <c:v>-0.5533827187540132</c:v>
                </c:pt>
                <c:pt idx="138">
                  <c:v>-0.4467284802070659</c:v>
                </c:pt>
                <c:pt idx="139">
                  <c:v>-0.38084458506937235</c:v>
                </c:pt>
                <c:pt idx="140">
                  <c:v>-0.3276142941197578</c:v>
                </c:pt>
                <c:pt idx="141">
                  <c:v>-0.18641186718397687</c:v>
                </c:pt>
                <c:pt idx="142">
                  <c:v>-0.11087890647550029</c:v>
                </c:pt>
                <c:pt idx="143">
                  <c:v>-0.024857445445878767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'DAILY WATER BALANCE'!$Q$35</c:f>
              <c:strCache>
                <c:ptCount val="1"/>
                <c:pt idx="0">
                  <c:v>ETc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'DAILY WATER BALANCE'!$B$36:$B$400</c:f>
              <c:numCache/>
            </c:numRef>
          </c:xVal>
          <c:yVal>
            <c:numRef>
              <c:f>'DAILY WATER BALANCE'!$Q$36:$Q$400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0.002007582299086981</c:v>
                </c:pt>
                <c:pt idx="87">
                  <c:v>-0.019715112562587043</c:v>
                </c:pt>
                <c:pt idx="88">
                  <c:v>-0.05138768418283202</c:v>
                </c:pt>
                <c:pt idx="89">
                  <c:v>-0.07554682659828892</c:v>
                </c:pt>
                <c:pt idx="90">
                  <c:v>-0.06362415238814834</c:v>
                </c:pt>
                <c:pt idx="91">
                  <c:v>-0.059644705279901684</c:v>
                </c:pt>
                <c:pt idx="92">
                  <c:v>-0.059644705279901684</c:v>
                </c:pt>
                <c:pt idx="93">
                  <c:v>-0.06084570060239492</c:v>
                </c:pt>
                <c:pt idx="94">
                  <c:v>-0.07302443027379626</c:v>
                </c:pt>
                <c:pt idx="95">
                  <c:v>-0.016222323643664525</c:v>
                </c:pt>
                <c:pt idx="96">
                  <c:v>-0.056786124045261135</c:v>
                </c:pt>
                <c:pt idx="97">
                  <c:v>-0.046253927267915516</c:v>
                </c:pt>
                <c:pt idx="98">
                  <c:v>-0.0901498496173751</c:v>
                </c:pt>
                <c:pt idx="99">
                  <c:v>-0.09917468349673575</c:v>
                </c:pt>
                <c:pt idx="100">
                  <c:v>-0.08072780847193736</c:v>
                </c:pt>
                <c:pt idx="101">
                  <c:v>-0.10281150767148257</c:v>
                </c:pt>
                <c:pt idx="102">
                  <c:v>-0.08817315036373817</c:v>
                </c:pt>
                <c:pt idx="103">
                  <c:v>-0.0921007913809812</c:v>
                </c:pt>
                <c:pt idx="104">
                  <c:v>-0.11362522438488781</c:v>
                </c:pt>
                <c:pt idx="105">
                  <c:v>-0.1318721590876483</c:v>
                </c:pt>
                <c:pt idx="106">
                  <c:v>-0.1584694372395605</c:v>
                </c:pt>
                <c:pt idx="107">
                  <c:v>-0.12784404540228786</c:v>
                </c:pt>
                <c:pt idx="108">
                  <c:v>-0.1671657745184461</c:v>
                </c:pt>
                <c:pt idx="109">
                  <c:v>-0.021139165793050915</c:v>
                </c:pt>
                <c:pt idx="110">
                  <c:v>-0.21558750268708807</c:v>
                </c:pt>
                <c:pt idx="111">
                  <c:v>-0.2262401590715674</c:v>
                </c:pt>
                <c:pt idx="112">
                  <c:v>-0.3423452065831338</c:v>
                </c:pt>
                <c:pt idx="113">
                  <c:v>-0.5005998497704609</c:v>
                </c:pt>
                <c:pt idx="114">
                  <c:v>-0.5869521273427651</c:v>
                </c:pt>
                <c:pt idx="115">
                  <c:v>-0.5003563325653304</c:v>
                </c:pt>
                <c:pt idx="116">
                  <c:v>-0.542203615981912</c:v>
                </c:pt>
                <c:pt idx="117">
                  <c:v>-0.6615147924127074</c:v>
                </c:pt>
                <c:pt idx="118">
                  <c:v>-0.8271838272932215</c:v>
                </c:pt>
                <c:pt idx="119">
                  <c:v>-0.9322497790040438</c:v>
                </c:pt>
                <c:pt idx="120">
                  <c:v>-1.1294734866766838</c:v>
                </c:pt>
                <c:pt idx="121">
                  <c:v>-1.7189756190940635</c:v>
                </c:pt>
                <c:pt idx="122">
                  <c:v>-1.6995229937270941</c:v>
                </c:pt>
                <c:pt idx="123">
                  <c:v>-1.5987690906721372</c:v>
                </c:pt>
                <c:pt idx="124">
                  <c:v>-1.60082397240466</c:v>
                </c:pt>
                <c:pt idx="125">
                  <c:v>-1.8319249977408536</c:v>
                </c:pt>
                <c:pt idx="126">
                  <c:v>-2.0822247470593</c:v>
                </c:pt>
                <c:pt idx="127">
                  <c:v>-2.2227158596071734</c:v>
                </c:pt>
                <c:pt idx="128">
                  <c:v>-2.269266372794948</c:v>
                </c:pt>
                <c:pt idx="129">
                  <c:v>-2.3671131982121496</c:v>
                </c:pt>
                <c:pt idx="130">
                  <c:v>-2.2255877824576786</c:v>
                </c:pt>
                <c:pt idx="131">
                  <c:v>-1.874638403914643</c:v>
                </c:pt>
                <c:pt idx="132">
                  <c:v>-1.5133665681006423</c:v>
                </c:pt>
                <c:pt idx="133">
                  <c:v>-2.185019463040861</c:v>
                </c:pt>
                <c:pt idx="134">
                  <c:v>-1.9384771593229253</c:v>
                </c:pt>
                <c:pt idx="135">
                  <c:v>-2.5488855018285133</c:v>
                </c:pt>
                <c:pt idx="136">
                  <c:v>-2.6278025370737157</c:v>
                </c:pt>
                <c:pt idx="137">
                  <c:v>-2.9405117746724483</c:v>
                </c:pt>
                <c:pt idx="138">
                  <c:v>-2.907751590488331</c:v>
                </c:pt>
                <c:pt idx="139">
                  <c:v>-3.1261976792922885</c:v>
                </c:pt>
                <c:pt idx="140">
                  <c:v>-3.5742098688361965</c:v>
                </c:pt>
                <c:pt idx="141">
                  <c:v>-3.1201852785968995</c:v>
                </c:pt>
                <c:pt idx="142">
                  <c:v>-3.3034804186381552</c:v>
                </c:pt>
                <c:pt idx="143">
                  <c:v>-3.3394145469222876</c:v>
                </c:pt>
                <c:pt idx="144">
                  <c:v>-2.422800268352751</c:v>
                </c:pt>
                <c:pt idx="145">
                  <c:v>-2.438379743007885</c:v>
                </c:pt>
                <c:pt idx="146">
                  <c:v>-2.7282592516068283</c:v>
                </c:pt>
                <c:pt idx="147">
                  <c:v>-3.171310262085823</c:v>
                </c:pt>
                <c:pt idx="148">
                  <c:v>-3.4983699211203443</c:v>
                </c:pt>
                <c:pt idx="149">
                  <c:v>-3.828472773161967</c:v>
                </c:pt>
                <c:pt idx="150">
                  <c:v>-4.035419955308697</c:v>
                </c:pt>
                <c:pt idx="151">
                  <c:v>-2.495191937090182</c:v>
                </c:pt>
                <c:pt idx="152">
                  <c:v>-2.438917524793346</c:v>
                </c:pt>
                <c:pt idx="153">
                  <c:v>-2.305123185866893</c:v>
                </c:pt>
                <c:pt idx="154">
                  <c:v>-1.9487400823614915</c:v>
                </c:pt>
                <c:pt idx="155">
                  <c:v>-1.6179594320901005</c:v>
                </c:pt>
                <c:pt idx="156">
                  <c:v>-1.320009312405515</c:v>
                </c:pt>
                <c:pt idx="157">
                  <c:v>-0.4875255368009664</c:v>
                </c:pt>
                <c:pt idx="158">
                  <c:v>-0.3306358829456441</c:v>
                </c:pt>
                <c:pt idx="159">
                  <c:v>-0.27255446269477585</c:v>
                </c:pt>
                <c:pt idx="160">
                  <c:v>-0.25471561649241764</c:v>
                </c:pt>
                <c:pt idx="161">
                  <c:v>-0.38643997609932423</c:v>
                </c:pt>
                <c:pt idx="162">
                  <c:v>-0.7133031028304684</c:v>
                </c:pt>
                <c:pt idx="163">
                  <c:v>-0.6221927588011656</c:v>
                </c:pt>
                <c:pt idx="164">
                  <c:v>-2.616300487324494</c:v>
                </c:pt>
                <c:pt idx="165">
                  <c:v>-2.0606819002306707</c:v>
                </c:pt>
                <c:pt idx="166">
                  <c:v>-1.6529757218795873</c:v>
                </c:pt>
                <c:pt idx="167">
                  <c:v>-1.2512605326209847</c:v>
                </c:pt>
                <c:pt idx="168">
                  <c:v>-1.0461991823692234</c:v>
                </c:pt>
                <c:pt idx="169">
                  <c:v>-0.8487824145303015</c:v>
                </c:pt>
                <c:pt idx="170">
                  <c:v>-0.6503336504214146</c:v>
                </c:pt>
                <c:pt idx="171">
                  <c:v>-2.610510412438404</c:v>
                </c:pt>
                <c:pt idx="172">
                  <c:v>-2.0701009764114056</c:v>
                </c:pt>
                <c:pt idx="173">
                  <c:v>-1.3048711926954344</c:v>
                </c:pt>
                <c:pt idx="174">
                  <c:v>-1.0978112776603528</c:v>
                </c:pt>
                <c:pt idx="175">
                  <c:v>-0.4352304551591113</c:v>
                </c:pt>
                <c:pt idx="176">
                  <c:v>-0.630646930025418</c:v>
                </c:pt>
                <c:pt idx="177">
                  <c:v>-0.11027784144335565</c:v>
                </c:pt>
                <c:pt idx="178">
                  <c:v>-0.882947145383985</c:v>
                </c:pt>
                <c:pt idx="179">
                  <c:v>-0.7831331353013768</c:v>
                </c:pt>
                <c:pt idx="180">
                  <c:v>-0.6688163114494957</c:v>
                </c:pt>
                <c:pt idx="181">
                  <c:v>-0.5102612754450534</c:v>
                </c:pt>
                <c:pt idx="182">
                  <c:v>-2.5579841755725417</c:v>
                </c:pt>
                <c:pt idx="183">
                  <c:v>-2.0961009222008173</c:v>
                </c:pt>
                <c:pt idx="184">
                  <c:v>-1.1381145780369242</c:v>
                </c:pt>
                <c:pt idx="185">
                  <c:v>-1.2797824254146901</c:v>
                </c:pt>
                <c:pt idx="186">
                  <c:v>-0.9804815731729034</c:v>
                </c:pt>
                <c:pt idx="187">
                  <c:v>-0.8131499667216353</c:v>
                </c:pt>
                <c:pt idx="188">
                  <c:v>-0.6333617853955055</c:v>
                </c:pt>
                <c:pt idx="189">
                  <c:v>-0.4691131397405679</c:v>
                </c:pt>
                <c:pt idx="190">
                  <c:v>-2.0146421335150895</c:v>
                </c:pt>
                <c:pt idx="191">
                  <c:v>-1.8112367974464187</c:v>
                </c:pt>
                <c:pt idx="192">
                  <c:v>-1.5231506205677086</c:v>
                </c:pt>
                <c:pt idx="193">
                  <c:v>-1.2625999218747916</c:v>
                </c:pt>
                <c:pt idx="194">
                  <c:v>-0.9430650614601457</c:v>
                </c:pt>
                <c:pt idx="195">
                  <c:v>-0.7414928429969464</c:v>
                </c:pt>
                <c:pt idx="196">
                  <c:v>-0.6750240681882042</c:v>
                </c:pt>
                <c:pt idx="197">
                  <c:v>-0.5428120695856383</c:v>
                </c:pt>
                <c:pt idx="198">
                  <c:v>-0.4728928286462606</c:v>
                </c:pt>
                <c:pt idx="199">
                  <c:v>-1.9247769116417046</c:v>
                </c:pt>
                <c:pt idx="200">
                  <c:v>-1.6680399936834527</c:v>
                </c:pt>
                <c:pt idx="201">
                  <c:v>-1.4276364609765726</c:v>
                </c:pt>
                <c:pt idx="202">
                  <c:v>-1.4374767018450358</c:v>
                </c:pt>
                <c:pt idx="203">
                  <c:v>-1.0640562687947368</c:v>
                </c:pt>
                <c:pt idx="204">
                  <c:v>-0.7867630056254895</c:v>
                </c:pt>
                <c:pt idx="205">
                  <c:v>-0.6751381683095327</c:v>
                </c:pt>
                <c:pt idx="206">
                  <c:v>-0.5182067870181258</c:v>
                </c:pt>
                <c:pt idx="207">
                  <c:v>-0.3987274212324249</c:v>
                </c:pt>
                <c:pt idx="208">
                  <c:v>-1.9374643109184713</c:v>
                </c:pt>
                <c:pt idx="209">
                  <c:v>-1.5999923519284216</c:v>
                </c:pt>
                <c:pt idx="210">
                  <c:v>-1.5889220964140076</c:v>
                </c:pt>
                <c:pt idx="211">
                  <c:v>-1.2639534339630671</c:v>
                </c:pt>
                <c:pt idx="212">
                  <c:v>-1.0472734945708304</c:v>
                </c:pt>
                <c:pt idx="213">
                  <c:v>-0.8583003848452672</c:v>
                </c:pt>
                <c:pt idx="214">
                  <c:v>-0.6966953493755069</c:v>
                </c:pt>
                <c:pt idx="215">
                  <c:v>-0.5608568073260344</c:v>
                </c:pt>
                <c:pt idx="216">
                  <c:v>-0.48906487102999996</c:v>
                </c:pt>
                <c:pt idx="217">
                  <c:v>-2.2999665131625204</c:v>
                </c:pt>
                <c:pt idx="218">
                  <c:v>-1.9326444614660852</c:v>
                </c:pt>
                <c:pt idx="219">
                  <c:v>-1.5306352047798344</c:v>
                </c:pt>
                <c:pt idx="220">
                  <c:v>-1.1489923581843382</c:v>
                </c:pt>
                <c:pt idx="221">
                  <c:v>-0.9034682178226235</c:v>
                </c:pt>
                <c:pt idx="222">
                  <c:v>-0.8153548339167025</c:v>
                </c:pt>
                <c:pt idx="223">
                  <c:v>-0.5384914842989723</c:v>
                </c:pt>
                <c:pt idx="224">
                  <c:v>-0.4701234497901891</c:v>
                </c:pt>
                <c:pt idx="225">
                  <c:v>-1.8834458113047063</c:v>
                </c:pt>
                <c:pt idx="226">
                  <c:v>-1.6486348104190067</c:v>
                </c:pt>
                <c:pt idx="227">
                  <c:v>-1.6410908166734597</c:v>
                </c:pt>
                <c:pt idx="228">
                  <c:v>-1.3683975533249246</c:v>
                </c:pt>
                <c:pt idx="229">
                  <c:v>-1.027558454563946</c:v>
                </c:pt>
                <c:pt idx="230">
                  <c:v>-0.8519618407340163</c:v>
                </c:pt>
                <c:pt idx="231">
                  <c:v>-0.5668119637079866</c:v>
                </c:pt>
                <c:pt idx="232">
                  <c:v>-0.5674748730074877</c:v>
                </c:pt>
                <c:pt idx="233">
                  <c:v>-0.48877672055925203</c:v>
                </c:pt>
                <c:pt idx="234">
                  <c:v>-1.9721364034187903</c:v>
                </c:pt>
                <c:pt idx="235">
                  <c:v>-1.6313461701371426</c:v>
                </c:pt>
                <c:pt idx="236">
                  <c:v>-1.5519295722731523</c:v>
                </c:pt>
                <c:pt idx="237">
                  <c:v>-1.245172832476768</c:v>
                </c:pt>
                <c:pt idx="238">
                  <c:v>-1.0934331473287795</c:v>
                </c:pt>
                <c:pt idx="239">
                  <c:v>-0.8982279534918498</c:v>
                </c:pt>
                <c:pt idx="240">
                  <c:v>-0.6308942725276242</c:v>
                </c:pt>
                <c:pt idx="241">
                  <c:v>-0.38733204534079124</c:v>
                </c:pt>
                <c:pt idx="242">
                  <c:v>-0.43546209822308823</c:v>
                </c:pt>
                <c:pt idx="243">
                  <c:v>-1.8016710274139245</c:v>
                </c:pt>
                <c:pt idx="244">
                  <c:v>-1.75714443888764</c:v>
                </c:pt>
                <c:pt idx="245">
                  <c:v>-1.5104396611985185</c:v>
                </c:pt>
                <c:pt idx="246">
                  <c:v>-1.2216556730840251</c:v>
                </c:pt>
                <c:pt idx="247">
                  <c:v>-0.983670477094762</c:v>
                </c:pt>
                <c:pt idx="248">
                  <c:v>-0.9220385318727168</c:v>
                </c:pt>
                <c:pt idx="249">
                  <c:v>-0.72418208892522</c:v>
                </c:pt>
                <c:pt idx="250">
                  <c:v>-0.5089917503943463</c:v>
                </c:pt>
                <c:pt idx="251">
                  <c:v>-0.43194758439945025</c:v>
                </c:pt>
                <c:pt idx="252">
                  <c:v>-0.3866568858565354</c:v>
                </c:pt>
                <c:pt idx="253">
                  <c:v>-1.6803556959987003</c:v>
                </c:pt>
                <c:pt idx="254">
                  <c:v>-1.3256709103105724</c:v>
                </c:pt>
                <c:pt idx="255">
                  <c:v>-1.1103375468572598</c:v>
                </c:pt>
                <c:pt idx="256">
                  <c:v>-1.1922585946969682</c:v>
                </c:pt>
                <c:pt idx="257">
                  <c:v>-0.8613926886950025</c:v>
                </c:pt>
                <c:pt idx="258">
                  <c:v>-0.6601757913377047</c:v>
                </c:pt>
                <c:pt idx="259">
                  <c:v>-0.5916130436246613</c:v>
                </c:pt>
                <c:pt idx="260">
                  <c:v>-0.528437494367552</c:v>
                </c:pt>
                <c:pt idx="261">
                  <c:v>-0.47058017045289224</c:v>
                </c:pt>
                <c:pt idx="262">
                  <c:v>-0.44993040652346455</c:v>
                </c:pt>
                <c:pt idx="263">
                  <c:v>-0.36646329597935645</c:v>
                </c:pt>
                <c:pt idx="264">
                  <c:v>-0.34862229008778983</c:v>
                </c:pt>
                <c:pt idx="265">
                  <c:v>-0.2390531693636139</c:v>
                </c:pt>
                <c:pt idx="266">
                  <c:v>-0.849447853920254</c:v>
                </c:pt>
                <c:pt idx="267">
                  <c:v>-1.070796058597567</c:v>
                </c:pt>
                <c:pt idx="268">
                  <c:v>-1.2364591265820668</c:v>
                </c:pt>
                <c:pt idx="269">
                  <c:v>-1.038599072197112</c:v>
                </c:pt>
                <c:pt idx="270">
                  <c:v>-1.0037704881490392</c:v>
                </c:pt>
                <c:pt idx="271">
                  <c:v>-0.8935452884931567</c:v>
                </c:pt>
                <c:pt idx="272">
                  <c:v>-0.9496239062496323</c:v>
                </c:pt>
                <c:pt idx="273">
                  <c:v>-0.7684841720252954</c:v>
                </c:pt>
                <c:pt idx="274">
                  <c:v>-0.5439235980533561</c:v>
                </c:pt>
                <c:pt idx="275">
                  <c:v>-0.47916602025209276</c:v>
                </c:pt>
                <c:pt idx="276">
                  <c:v>-0.3005843163419635</c:v>
                </c:pt>
                <c:pt idx="277">
                  <c:v>-0.32880158931081493</c:v>
                </c:pt>
                <c:pt idx="278">
                  <c:v>-0.2688936621736734</c:v>
                </c:pt>
                <c:pt idx="279">
                  <c:v>-0.24196235277358905</c:v>
                </c:pt>
                <c:pt idx="280">
                  <c:v>-1.040084146959671</c:v>
                </c:pt>
                <c:pt idx="281">
                  <c:v>-1.2346887464070375</c:v>
                </c:pt>
                <c:pt idx="282">
                  <c:v>-1.1239040522212325</c:v>
                </c:pt>
                <c:pt idx="283">
                  <c:v>0.00686960835093646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'DAILY WATER BALANCE'!$R$35</c:f>
              <c:strCache>
                <c:ptCount val="1"/>
                <c:pt idx="0">
                  <c:v>Irrigation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'DAILY WATER BALANCE'!$B$36:$B$400</c:f>
              <c:numCache/>
            </c:numRef>
          </c:xVal>
          <c:yVal>
            <c:numRef>
              <c:f>'DAILY WATER BALANCE'!$R$36:$R$400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10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10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10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10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10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yVal>
          <c:smooth val="0"/>
        </c:ser>
        <c:axId val="55099358"/>
        <c:axId val="26132175"/>
      </c:scatterChart>
      <c:scatterChart>
        <c:scatterStyle val="lineMarker"/>
        <c:varyColors val="0"/>
        <c:ser>
          <c:idx val="0"/>
          <c:order val="0"/>
          <c:tx>
            <c:strRef>
              <c:f>'DAILY WATER BALANCE'!$G$35</c:f>
              <c:strCache>
                <c:ptCount val="1"/>
                <c:pt idx="0">
                  <c:v>Precip (y2)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'DAILY WATER BALANCE'!$B$36:$B$400</c:f>
              <c:numCache/>
            </c:numRef>
          </c:xVal>
          <c:yVal>
            <c:numRef>
              <c:f>'DAILY WATER BALANCE'!$G$36:$G$400</c:f>
              <c:numCache>
                <c:ptCount val="365"/>
                <c:pt idx="0">
                  <c:v>0.508</c:v>
                </c:pt>
                <c:pt idx="1">
                  <c:v>0.254</c:v>
                </c:pt>
                <c:pt idx="2">
                  <c:v>0.254</c:v>
                </c:pt>
                <c:pt idx="3">
                  <c:v>0</c:v>
                </c:pt>
                <c:pt idx="4">
                  <c:v>0.254</c:v>
                </c:pt>
                <c:pt idx="5">
                  <c:v>0</c:v>
                </c:pt>
                <c:pt idx="6">
                  <c:v>3.807</c:v>
                </c:pt>
                <c:pt idx="7">
                  <c:v>9.645</c:v>
                </c:pt>
                <c:pt idx="8">
                  <c:v>2.792</c:v>
                </c:pt>
                <c:pt idx="9">
                  <c:v>43.4</c:v>
                </c:pt>
                <c:pt idx="10">
                  <c:v>38.83</c:v>
                </c:pt>
                <c:pt idx="11">
                  <c:v>0</c:v>
                </c:pt>
                <c:pt idx="12">
                  <c:v>0</c:v>
                </c:pt>
                <c:pt idx="13">
                  <c:v>0.254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21.06</c:v>
                </c:pt>
                <c:pt idx="23">
                  <c:v>0</c:v>
                </c:pt>
                <c:pt idx="24">
                  <c:v>31.47</c:v>
                </c:pt>
                <c:pt idx="25">
                  <c:v>8.883</c:v>
                </c:pt>
                <c:pt idx="26">
                  <c:v>0.254</c:v>
                </c:pt>
                <c:pt idx="27">
                  <c:v>0</c:v>
                </c:pt>
                <c:pt idx="28">
                  <c:v>2.284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0.254</c:v>
                </c:pt>
                <c:pt idx="36">
                  <c:v>0.254</c:v>
                </c:pt>
                <c:pt idx="37">
                  <c:v>0.254</c:v>
                </c:pt>
                <c:pt idx="38">
                  <c:v>0</c:v>
                </c:pt>
                <c:pt idx="39">
                  <c:v>24.61</c:v>
                </c:pt>
                <c:pt idx="40">
                  <c:v>7.868</c:v>
                </c:pt>
                <c:pt idx="41">
                  <c:v>11.92</c:v>
                </c:pt>
                <c:pt idx="42">
                  <c:v>13.95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25.38</c:v>
                </c:pt>
                <c:pt idx="48">
                  <c:v>2.284</c:v>
                </c:pt>
                <c:pt idx="49">
                  <c:v>30.96</c:v>
                </c:pt>
                <c:pt idx="50">
                  <c:v>18.78</c:v>
                </c:pt>
                <c:pt idx="51">
                  <c:v>17</c:v>
                </c:pt>
                <c:pt idx="52">
                  <c:v>26.14</c:v>
                </c:pt>
                <c:pt idx="53">
                  <c:v>0.254</c:v>
                </c:pt>
                <c:pt idx="54">
                  <c:v>24.61</c:v>
                </c:pt>
                <c:pt idx="55">
                  <c:v>19.79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1.777</c:v>
                </c:pt>
                <c:pt idx="60">
                  <c:v>3.3</c:v>
                </c:pt>
                <c:pt idx="61">
                  <c:v>4.315</c:v>
                </c:pt>
                <c:pt idx="62">
                  <c:v>61.16</c:v>
                </c:pt>
                <c:pt idx="63">
                  <c:v>2.792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1.269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0.254</c:v>
                </c:pt>
                <c:pt idx="73">
                  <c:v>0</c:v>
                </c:pt>
                <c:pt idx="74">
                  <c:v>0.254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6.091</c:v>
                </c:pt>
                <c:pt idx="83">
                  <c:v>0.761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5.33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0.508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0.508</c:v>
                </c:pt>
                <c:pt idx="108">
                  <c:v>0</c:v>
                </c:pt>
                <c:pt idx="109">
                  <c:v>20.55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0.254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0.254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0.254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0.254</c:v>
                </c:pt>
                <c:pt idx="169">
                  <c:v>0</c:v>
                </c:pt>
                <c:pt idx="170">
                  <c:v>0.254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0.254</c:v>
                </c:pt>
                <c:pt idx="176">
                  <c:v>0</c:v>
                </c:pt>
                <c:pt idx="177">
                  <c:v>0.508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1.015</c:v>
                </c:pt>
                <c:pt idx="302">
                  <c:v>20.81</c:v>
                </c:pt>
                <c:pt idx="303">
                  <c:v>0</c:v>
                </c:pt>
                <c:pt idx="304">
                  <c:v>0.254</c:v>
                </c:pt>
                <c:pt idx="305">
                  <c:v>0.254</c:v>
                </c:pt>
                <c:pt idx="306">
                  <c:v>0</c:v>
                </c:pt>
                <c:pt idx="307">
                  <c:v>0.254</c:v>
                </c:pt>
                <c:pt idx="308">
                  <c:v>0.254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4.315</c:v>
                </c:pt>
                <c:pt idx="313">
                  <c:v>6.853</c:v>
                </c:pt>
                <c:pt idx="314">
                  <c:v>7.614</c:v>
                </c:pt>
                <c:pt idx="315">
                  <c:v>61.47</c:v>
                </c:pt>
                <c:pt idx="316">
                  <c:v>2.03</c:v>
                </c:pt>
                <c:pt idx="317">
                  <c:v>1.27</c:v>
                </c:pt>
                <c:pt idx="318">
                  <c:v>0.25</c:v>
                </c:pt>
                <c:pt idx="319">
                  <c:v>0</c:v>
                </c:pt>
                <c:pt idx="320">
                  <c:v>0</c:v>
                </c:pt>
                <c:pt idx="321">
                  <c:v>0.25</c:v>
                </c:pt>
                <c:pt idx="322">
                  <c:v>0.76</c:v>
                </c:pt>
                <c:pt idx="323">
                  <c:v>0.25</c:v>
                </c:pt>
                <c:pt idx="324">
                  <c:v>31.24</c:v>
                </c:pt>
                <c:pt idx="325">
                  <c:v>0</c:v>
                </c:pt>
                <c:pt idx="326">
                  <c:v>0</c:v>
                </c:pt>
                <c:pt idx="327">
                  <c:v>36.58</c:v>
                </c:pt>
                <c:pt idx="328">
                  <c:v>0.25</c:v>
                </c:pt>
                <c:pt idx="329">
                  <c:v>0.25</c:v>
                </c:pt>
                <c:pt idx="330">
                  <c:v>0</c:v>
                </c:pt>
                <c:pt idx="331">
                  <c:v>47.24</c:v>
                </c:pt>
                <c:pt idx="332">
                  <c:v>7.87</c:v>
                </c:pt>
                <c:pt idx="333">
                  <c:v>2.54</c:v>
                </c:pt>
                <c:pt idx="334">
                  <c:v>82.3</c:v>
                </c:pt>
                <c:pt idx="335">
                  <c:v>49.78</c:v>
                </c:pt>
                <c:pt idx="336">
                  <c:v>5.08</c:v>
                </c:pt>
                <c:pt idx="337">
                  <c:v>0.25</c:v>
                </c:pt>
                <c:pt idx="338">
                  <c:v>22.1</c:v>
                </c:pt>
                <c:pt idx="339">
                  <c:v>0.25</c:v>
                </c:pt>
                <c:pt idx="340">
                  <c:v>0.25</c:v>
                </c:pt>
                <c:pt idx="341">
                  <c:v>0.25</c:v>
                </c:pt>
                <c:pt idx="342">
                  <c:v>1.27</c:v>
                </c:pt>
                <c:pt idx="343">
                  <c:v>0</c:v>
                </c:pt>
                <c:pt idx="344">
                  <c:v>0</c:v>
                </c:pt>
                <c:pt idx="345">
                  <c:v>0.25</c:v>
                </c:pt>
                <c:pt idx="346">
                  <c:v>20.32</c:v>
                </c:pt>
                <c:pt idx="347">
                  <c:v>7.87</c:v>
                </c:pt>
                <c:pt idx="348">
                  <c:v>0</c:v>
                </c:pt>
                <c:pt idx="349">
                  <c:v>2.29</c:v>
                </c:pt>
                <c:pt idx="350">
                  <c:v>11.94</c:v>
                </c:pt>
                <c:pt idx="351">
                  <c:v>3.3</c:v>
                </c:pt>
                <c:pt idx="352">
                  <c:v>10.16</c:v>
                </c:pt>
                <c:pt idx="353">
                  <c:v>41.91</c:v>
                </c:pt>
                <c:pt idx="354">
                  <c:v>0</c:v>
                </c:pt>
                <c:pt idx="355">
                  <c:v>21.59</c:v>
                </c:pt>
                <c:pt idx="356">
                  <c:v>0.76</c:v>
                </c:pt>
                <c:pt idx="357">
                  <c:v>0</c:v>
                </c:pt>
                <c:pt idx="358">
                  <c:v>0.51</c:v>
                </c:pt>
                <c:pt idx="359">
                  <c:v>1.78</c:v>
                </c:pt>
                <c:pt idx="360">
                  <c:v>3.81</c:v>
                </c:pt>
                <c:pt idx="361">
                  <c:v>46.74</c:v>
                </c:pt>
                <c:pt idx="362">
                  <c:v>9.14</c:v>
                </c:pt>
                <c:pt idx="363">
                  <c:v>26.92</c:v>
                </c:pt>
                <c:pt idx="364">
                  <c:v>0.51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'DAILY WATER BALANCE'!$V$35</c:f>
              <c:strCache>
                <c:ptCount val="1"/>
                <c:pt idx="0">
                  <c:v>Runoff (y2)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'DAILY WATER BALANCE'!$B$36:$B$400</c:f>
              <c:numCache/>
            </c:numRef>
          </c:xVal>
          <c:yVal>
            <c:numRef>
              <c:f>'DAILY WATER BALANCE'!$V$36:$V$400</c:f>
              <c:numCache>
                <c:ptCount val="365"/>
                <c:pt idx="0">
                  <c:v>-0.2539999999999907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-1.02078568732</c:v>
                </c:pt>
                <c:pt idx="7">
                  <c:v>-5.204863324928596</c:v>
                </c:pt>
                <c:pt idx="8">
                  <c:v>-3.99843166246427</c:v>
                </c:pt>
                <c:pt idx="9">
                  <c:v>-23.699215831232124</c:v>
                </c:pt>
                <c:pt idx="10">
                  <c:v>-31.264607915616068</c:v>
                </c:pt>
                <c:pt idx="11">
                  <c:v>-15.315551861932818</c:v>
                </c:pt>
                <c:pt idx="12">
                  <c:v>-7.373163178124855</c:v>
                </c:pt>
                <c:pt idx="13">
                  <c:v>-3.5449737429411528</c:v>
                </c:pt>
                <c:pt idx="14">
                  <c:v>-1.0548367877476608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-8.851059563711999</c:v>
                </c:pt>
                <c:pt idx="23">
                  <c:v>-4.153943789646036</c:v>
                </c:pt>
                <c:pt idx="24">
                  <c:v>-17.59246193531166</c:v>
                </c:pt>
                <c:pt idx="25">
                  <c:v>-13.020901440836553</c:v>
                </c:pt>
                <c:pt idx="26">
                  <c:v>-6.007407080967283</c:v>
                </c:pt>
                <c:pt idx="27">
                  <c:v>-2.604789061983837</c:v>
                </c:pt>
                <c:pt idx="28">
                  <c:v>-2.1205820183958224</c:v>
                </c:pt>
                <c:pt idx="29">
                  <c:v>-0.6085596850749937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-8.414724766536608</c:v>
                </c:pt>
                <c:pt idx="40">
                  <c:v>-7.735168945684734</c:v>
                </c:pt>
                <c:pt idx="41">
                  <c:v>-9.558247139815762</c:v>
                </c:pt>
                <c:pt idx="42">
                  <c:v>-11.754123569907875</c:v>
                </c:pt>
                <c:pt idx="43">
                  <c:v>-5.183335043634173</c:v>
                </c:pt>
                <c:pt idx="44">
                  <c:v>-2.1291309339073337</c:v>
                </c:pt>
                <c:pt idx="45">
                  <c:v>-0.80652500178644</c:v>
                </c:pt>
                <c:pt idx="46">
                  <c:v>-0.020073827126481092</c:v>
                </c:pt>
                <c:pt idx="47">
                  <c:v>-12.636526790781716</c:v>
                </c:pt>
                <c:pt idx="48">
                  <c:v>-7.390391077874568</c:v>
                </c:pt>
                <c:pt idx="49">
                  <c:v>-19.040741921452423</c:v>
                </c:pt>
                <c:pt idx="50">
                  <c:v>-18.691353303736463</c:v>
                </c:pt>
                <c:pt idx="51">
                  <c:v>-17.48133560588539</c:v>
                </c:pt>
                <c:pt idx="52">
                  <c:v>-21.377059832693362</c:v>
                </c:pt>
                <c:pt idx="53">
                  <c:v>-10.221582576222545</c:v>
                </c:pt>
                <c:pt idx="54">
                  <c:v>-17.3471367728894</c:v>
                </c:pt>
                <c:pt idx="55">
                  <c:v>-18.279861735874334</c:v>
                </c:pt>
                <c:pt idx="56">
                  <c:v>-8.486040326875099</c:v>
                </c:pt>
                <c:pt idx="57">
                  <c:v>-3.1593515845722777</c:v>
                </c:pt>
                <c:pt idx="58">
                  <c:v>-0.5389535652844017</c:v>
                </c:pt>
                <c:pt idx="59">
                  <c:v>-0.8393689415745769</c:v>
                </c:pt>
                <c:pt idx="60">
                  <c:v>-1.8781663123353667</c:v>
                </c:pt>
                <c:pt idx="61">
                  <c:v>-2.774601298889081</c:v>
                </c:pt>
                <c:pt idx="62">
                  <c:v>-31.71179210885805</c:v>
                </c:pt>
                <c:pt idx="63">
                  <c:v>-17.013734373167807</c:v>
                </c:pt>
                <c:pt idx="64">
                  <c:v>-7.8587179352352905</c:v>
                </c:pt>
                <c:pt idx="65">
                  <c:v>-3.2552604172462054</c:v>
                </c:pt>
                <c:pt idx="66">
                  <c:v>-1.106754231918444</c:v>
                </c:pt>
                <c:pt idx="67">
                  <c:v>-0.48374228538079933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-8.638967567104686</c:v>
                </c:pt>
                <c:pt idx="328">
                  <c:v>-4.444483783552329</c:v>
                </c:pt>
                <c:pt idx="329">
                  <c:v>-2.3472418917761786</c:v>
                </c:pt>
                <c:pt idx="330">
                  <c:v>-1.173620945888075</c:v>
                </c:pt>
                <c:pt idx="331">
                  <c:v>-24.206810472944056</c:v>
                </c:pt>
                <c:pt idx="332">
                  <c:v>-16.038405236472016</c:v>
                </c:pt>
                <c:pt idx="333">
                  <c:v>-9.289202618236004</c:v>
                </c:pt>
                <c:pt idx="334">
                  <c:v>-45.79460130911801</c:v>
                </c:pt>
                <c:pt idx="335">
                  <c:v>-47.787300654559004</c:v>
                </c:pt>
                <c:pt idx="336">
                  <c:v>-26.43365032727951</c:v>
                </c:pt>
                <c:pt idx="337">
                  <c:v>-13.341825163639754</c:v>
                </c:pt>
                <c:pt idx="338">
                  <c:v>-17.720912581819874</c:v>
                </c:pt>
                <c:pt idx="339">
                  <c:v>-8.985456290909923</c:v>
                </c:pt>
                <c:pt idx="340">
                  <c:v>-4.617728145454947</c:v>
                </c:pt>
                <c:pt idx="341">
                  <c:v>-2.4338640727274594</c:v>
                </c:pt>
                <c:pt idx="342">
                  <c:v>-1.8519320363637064</c:v>
                </c:pt>
                <c:pt idx="343">
                  <c:v>-0.9259660181818674</c:v>
                </c:pt>
                <c:pt idx="344">
                  <c:v>-0.4629830090909479</c:v>
                </c:pt>
                <c:pt idx="345">
                  <c:v>-0.35649150454545975</c:v>
                </c:pt>
                <c:pt idx="346">
                  <c:v>-10.338245752272712</c:v>
                </c:pt>
                <c:pt idx="347">
                  <c:v>-9.104122876136358</c:v>
                </c:pt>
                <c:pt idx="348">
                  <c:v>-4.552061438068193</c:v>
                </c:pt>
                <c:pt idx="349">
                  <c:v>-3.4210307190340927</c:v>
                </c:pt>
                <c:pt idx="350">
                  <c:v>-7.680515359517045</c:v>
                </c:pt>
                <c:pt idx="351">
                  <c:v>-5.4902576797585425</c:v>
                </c:pt>
                <c:pt idx="352">
                  <c:v>-7.825128839879284</c:v>
                </c:pt>
                <c:pt idx="353">
                  <c:v>-24.86756441993961</c:v>
                </c:pt>
                <c:pt idx="354">
                  <c:v>-12.433782209969792</c:v>
                </c:pt>
                <c:pt idx="355">
                  <c:v>-17.011891104984898</c:v>
                </c:pt>
                <c:pt idx="356">
                  <c:v>-8.885945552492444</c:v>
                </c:pt>
                <c:pt idx="357">
                  <c:v>-4.442972776246222</c:v>
                </c:pt>
                <c:pt idx="358">
                  <c:v>-2.4764863881231065</c:v>
                </c:pt>
                <c:pt idx="359">
                  <c:v>-2.1282431940615254</c:v>
                </c:pt>
                <c:pt idx="360">
                  <c:v>-2.969121597030778</c:v>
                </c:pt>
                <c:pt idx="361">
                  <c:v>-24.854560798515394</c:v>
                </c:pt>
                <c:pt idx="362">
                  <c:v>-16.997280399257676</c:v>
                </c:pt>
                <c:pt idx="363">
                  <c:v>-21.95864019962886</c:v>
                </c:pt>
                <c:pt idx="364">
                  <c:v>-11.234320099814425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'DAILY WATER BALANCE'!$U$35</c:f>
              <c:strCache>
                <c:ptCount val="1"/>
                <c:pt idx="0">
                  <c:v>SM (y2)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'DAILY WATER BALANCE'!$B$36:$B$400</c:f>
              <c:numCache/>
            </c:numRef>
          </c:xVal>
          <c:yVal>
            <c:numRef>
              <c:f>'DAILY WATER BALANCE'!$U$36:$U$400</c:f>
              <c:numCache>
                <c:ptCount val="365"/>
                <c:pt idx="0">
                  <c:v>315.0607595362346</c:v>
                </c:pt>
                <c:pt idx="1">
                  <c:v>314.80623585268836</c:v>
                </c:pt>
                <c:pt idx="2">
                  <c:v>314.55273796326406</c:v>
                </c:pt>
                <c:pt idx="3">
                  <c:v>313.91951792853774</c:v>
                </c:pt>
                <c:pt idx="4">
                  <c:v>313.6695937341889</c:v>
                </c:pt>
                <c:pt idx="5">
                  <c:v>313.16667679686987</c:v>
                </c:pt>
                <c:pt idx="6">
                  <c:v>315.8275452235547</c:v>
                </c:pt>
                <c:pt idx="7">
                  <c:v>320.01162286116323</c:v>
                </c:pt>
                <c:pt idx="8">
                  <c:v>318.80519119869894</c:v>
                </c:pt>
                <c:pt idx="9">
                  <c:v>338.5059753674668</c:v>
                </c:pt>
                <c:pt idx="10">
                  <c:v>346.07136745185073</c:v>
                </c:pt>
                <c:pt idx="11">
                  <c:v>330.1223113981675</c:v>
                </c:pt>
                <c:pt idx="12">
                  <c:v>322.1799227143595</c:v>
                </c:pt>
                <c:pt idx="13">
                  <c:v>318.35173327917585</c:v>
                </c:pt>
                <c:pt idx="14">
                  <c:v>315.8615963239823</c:v>
                </c:pt>
                <c:pt idx="15">
                  <c:v>314.71002995052373</c:v>
                </c:pt>
                <c:pt idx="16">
                  <c:v>313.949114909211</c:v>
                </c:pt>
                <c:pt idx="17">
                  <c:v>313.44507143162537</c:v>
                </c:pt>
                <c:pt idx="18">
                  <c:v>312.81743271300036</c:v>
                </c:pt>
                <c:pt idx="19">
                  <c:v>312.44294385184435</c:v>
                </c:pt>
                <c:pt idx="20">
                  <c:v>312.0695865817943</c:v>
                </c:pt>
                <c:pt idx="21">
                  <c:v>311.44887866365866</c:v>
                </c:pt>
                <c:pt idx="22">
                  <c:v>323.65781909994666</c:v>
                </c:pt>
                <c:pt idx="23">
                  <c:v>318.9607033258807</c:v>
                </c:pt>
                <c:pt idx="24">
                  <c:v>332.3992214715463</c:v>
                </c:pt>
                <c:pt idx="25">
                  <c:v>327.8276609770712</c:v>
                </c:pt>
                <c:pt idx="26">
                  <c:v>320.814166617202</c:v>
                </c:pt>
                <c:pt idx="27">
                  <c:v>317.4115485982185</c:v>
                </c:pt>
                <c:pt idx="28">
                  <c:v>316.9273415546305</c:v>
                </c:pt>
                <c:pt idx="29">
                  <c:v>315.4153192213097</c:v>
                </c:pt>
                <c:pt idx="30">
                  <c:v>314.3949115093445</c:v>
                </c:pt>
                <c:pt idx="31">
                  <c:v>313.63590210288305</c:v>
                </c:pt>
                <c:pt idx="32">
                  <c:v>313.13312095126724</c:v>
                </c:pt>
                <c:pt idx="33">
                  <c:v>312.2564300042632</c:v>
                </c:pt>
                <c:pt idx="34">
                  <c:v>311.38592491479574</c:v>
                </c:pt>
                <c:pt idx="35">
                  <c:v>310.77556203597464</c:v>
                </c:pt>
                <c:pt idx="36">
                  <c:v>309.92412119016876</c:v>
                </c:pt>
                <c:pt idx="37">
                  <c:v>308.5920997502454</c:v>
                </c:pt>
                <c:pt idx="38">
                  <c:v>307.26499650038204</c:v>
                </c:pt>
                <c:pt idx="39">
                  <c:v>323.2214843027713</c:v>
                </c:pt>
                <c:pt idx="40">
                  <c:v>322.5419284819194</c:v>
                </c:pt>
                <c:pt idx="41">
                  <c:v>324.3650066760504</c:v>
                </c:pt>
                <c:pt idx="42">
                  <c:v>326.56088310614257</c:v>
                </c:pt>
                <c:pt idx="43">
                  <c:v>319.9900945798688</c:v>
                </c:pt>
                <c:pt idx="44">
                  <c:v>316.935890470142</c:v>
                </c:pt>
                <c:pt idx="45">
                  <c:v>315.6132845380211</c:v>
                </c:pt>
                <c:pt idx="46">
                  <c:v>314.8268333633612</c:v>
                </c:pt>
                <c:pt idx="47">
                  <c:v>327.4432863270164</c:v>
                </c:pt>
                <c:pt idx="48">
                  <c:v>322.1971506141092</c:v>
                </c:pt>
                <c:pt idx="49">
                  <c:v>333.8475014576871</c:v>
                </c:pt>
                <c:pt idx="50">
                  <c:v>333.4981128399711</c:v>
                </c:pt>
                <c:pt idx="51">
                  <c:v>332.28809514212</c:v>
                </c:pt>
                <c:pt idx="52">
                  <c:v>336.183819368928</c:v>
                </c:pt>
                <c:pt idx="53">
                  <c:v>325.0283421124572</c:v>
                </c:pt>
                <c:pt idx="54">
                  <c:v>332.1538963091241</c:v>
                </c:pt>
                <c:pt idx="55">
                  <c:v>333.086621272109</c:v>
                </c:pt>
                <c:pt idx="56">
                  <c:v>323.29279986310974</c:v>
                </c:pt>
                <c:pt idx="57">
                  <c:v>317.96611112080694</c:v>
                </c:pt>
                <c:pt idx="58">
                  <c:v>315.3457131015191</c:v>
                </c:pt>
                <c:pt idx="59">
                  <c:v>315.64612847780927</c:v>
                </c:pt>
                <c:pt idx="60">
                  <c:v>316.68492584857006</c:v>
                </c:pt>
                <c:pt idx="61">
                  <c:v>317.58136083512375</c:v>
                </c:pt>
                <c:pt idx="62">
                  <c:v>346.5185516450927</c:v>
                </c:pt>
                <c:pt idx="63">
                  <c:v>331.82049390940244</c:v>
                </c:pt>
                <c:pt idx="64">
                  <c:v>322.66547747146996</c:v>
                </c:pt>
                <c:pt idx="65">
                  <c:v>318.0620199534809</c:v>
                </c:pt>
                <c:pt idx="66">
                  <c:v>315.9135137681531</c:v>
                </c:pt>
                <c:pt idx="67">
                  <c:v>315.29050182161546</c:v>
                </c:pt>
                <c:pt idx="68">
                  <c:v>313.37968937189567</c:v>
                </c:pt>
                <c:pt idx="69">
                  <c:v>311.9995101086577</c:v>
                </c:pt>
                <c:pt idx="70">
                  <c:v>310.26261439332615</c:v>
                </c:pt>
                <c:pt idx="71">
                  <c:v>308.7945745620884</c:v>
                </c:pt>
                <c:pt idx="72">
                  <c:v>307.47735388390123</c:v>
                </c:pt>
                <c:pt idx="73">
                  <c:v>306.64056955331455</c:v>
                </c:pt>
                <c:pt idx="74">
                  <c:v>305.35157339824207</c:v>
                </c:pt>
                <c:pt idx="75">
                  <c:v>303.8254673161385</c:v>
                </c:pt>
                <c:pt idx="76">
                  <c:v>302.2038898601917</c:v>
                </c:pt>
                <c:pt idx="77">
                  <c:v>300.71902874567894</c:v>
                </c:pt>
                <c:pt idx="78">
                  <c:v>299.02848474763493</c:v>
                </c:pt>
                <c:pt idx="79">
                  <c:v>297.5852318441676</c:v>
                </c:pt>
                <c:pt idx="80">
                  <c:v>296.4897836976398</c:v>
                </c:pt>
                <c:pt idx="81">
                  <c:v>294.97169704639697</c:v>
                </c:pt>
                <c:pt idx="82">
                  <c:v>300.4211468221599</c:v>
                </c:pt>
                <c:pt idx="83">
                  <c:v>299.7206454825222</c:v>
                </c:pt>
                <c:pt idx="84">
                  <c:v>298.04519346141205</c:v>
                </c:pt>
                <c:pt idx="85">
                  <c:v>296.39506827037764</c:v>
                </c:pt>
                <c:pt idx="86">
                  <c:v>294.55503305541123</c:v>
                </c:pt>
                <c:pt idx="87">
                  <c:v>292.6182264223679</c:v>
                </c:pt>
                <c:pt idx="88">
                  <c:v>290.68488492217824</c:v>
                </c:pt>
                <c:pt idx="89">
                  <c:v>288.6601915813514</c:v>
                </c:pt>
                <c:pt idx="90">
                  <c:v>286.98768008993824</c:v>
                </c:pt>
                <c:pt idx="91">
                  <c:v>285.44506016789387</c:v>
                </c:pt>
                <c:pt idx="92">
                  <c:v>283.9257591306309</c:v>
                </c:pt>
                <c:pt idx="93">
                  <c:v>282.4282234848592</c:v>
                </c:pt>
                <c:pt idx="94">
                  <c:v>280.6581131059731</c:v>
                </c:pt>
                <c:pt idx="95">
                  <c:v>285.60201837082917</c:v>
                </c:pt>
                <c:pt idx="96">
                  <c:v>284.18074867518567</c:v>
                </c:pt>
                <c:pt idx="97">
                  <c:v>283.07801978881116</c:v>
                </c:pt>
                <c:pt idx="98">
                  <c:v>281.1843695338954</c:v>
                </c:pt>
                <c:pt idx="99">
                  <c:v>279.31795153477754</c:v>
                </c:pt>
                <c:pt idx="100">
                  <c:v>277.87018731852874</c:v>
                </c:pt>
                <c:pt idx="101">
                  <c:v>276.6609821274724</c:v>
                </c:pt>
                <c:pt idx="102">
                  <c:v>275.2459364247256</c:v>
                </c:pt>
                <c:pt idx="103">
                  <c:v>273.8483535007476</c:v>
                </c:pt>
                <c:pt idx="104">
                  <c:v>272.19329903130705</c:v>
                </c:pt>
                <c:pt idx="105">
                  <c:v>270.718067704922</c:v>
                </c:pt>
                <c:pt idx="106">
                  <c:v>269.1574930435617</c:v>
                </c:pt>
                <c:pt idx="107">
                  <c:v>268.4858039569655</c:v>
                </c:pt>
                <c:pt idx="108">
                  <c:v>266.9547795087126</c:v>
                </c:pt>
                <c:pt idx="109">
                  <c:v>287.3261630712188</c:v>
                </c:pt>
                <c:pt idx="110">
                  <c:v>285.32463079902305</c:v>
                </c:pt>
                <c:pt idx="111">
                  <c:v>283.5432891232075</c:v>
                </c:pt>
                <c:pt idx="112">
                  <c:v>281.388535154602</c:v>
                </c:pt>
                <c:pt idx="113">
                  <c:v>278.8368952719155</c:v>
                </c:pt>
                <c:pt idx="114">
                  <c:v>276.1647565126706</c:v>
                </c:pt>
                <c:pt idx="115">
                  <c:v>274.08094656199825</c:v>
                </c:pt>
                <c:pt idx="116">
                  <c:v>271.9930939786046</c:v>
                </c:pt>
                <c:pt idx="117">
                  <c:v>269.6564981030644</c:v>
                </c:pt>
                <c:pt idx="118">
                  <c:v>267.0384008638349</c:v>
                </c:pt>
                <c:pt idx="119">
                  <c:v>264.3732869941885</c:v>
                </c:pt>
                <c:pt idx="120">
                  <c:v>261.4180708346184</c:v>
                </c:pt>
                <c:pt idx="121">
                  <c:v>257.5407228149107</c:v>
                </c:pt>
                <c:pt idx="122">
                  <c:v>253.76551431169239</c:v>
                </c:pt>
                <c:pt idx="123">
                  <c:v>250.46668346779649</c:v>
                </c:pt>
                <c:pt idx="124">
                  <c:v>247.37645458968947</c:v>
                </c:pt>
                <c:pt idx="125">
                  <c:v>244.070870515489</c:v>
                </c:pt>
                <c:pt idx="126">
                  <c:v>240.54260871636464</c:v>
                </c:pt>
                <c:pt idx="127">
                  <c:v>236.96630537457585</c:v>
                </c:pt>
                <c:pt idx="128">
                  <c:v>233.73965350573613</c:v>
                </c:pt>
                <c:pt idx="129">
                  <c:v>230.2424471657871</c:v>
                </c:pt>
                <c:pt idx="130">
                  <c:v>227.05813517420648</c:v>
                </c:pt>
                <c:pt idx="131">
                  <c:v>224.45259040653173</c:v>
                </c:pt>
                <c:pt idx="132">
                  <c:v>222.40155506448036</c:v>
                </c:pt>
                <c:pt idx="133">
                  <c:v>219.50717872581214</c:v>
                </c:pt>
                <c:pt idx="134">
                  <c:v>217.26713436229494</c:v>
                </c:pt>
                <c:pt idx="135">
                  <c:v>214.06030391454286</c:v>
                </c:pt>
                <c:pt idx="136">
                  <c:v>210.84889360660162</c:v>
                </c:pt>
                <c:pt idx="137">
                  <c:v>207.35499911317515</c:v>
                </c:pt>
                <c:pt idx="138">
                  <c:v>204.00051904247977</c:v>
                </c:pt>
                <c:pt idx="139">
                  <c:v>200.4934767781181</c:v>
                </c:pt>
                <c:pt idx="140">
                  <c:v>196.59165261516213</c:v>
                </c:pt>
                <c:pt idx="141">
                  <c:v>193.28505546938126</c:v>
                </c:pt>
                <c:pt idx="142">
                  <c:v>189.8706961442676</c:v>
                </c:pt>
                <c:pt idx="143">
                  <c:v>186.50642415189944</c:v>
                </c:pt>
                <c:pt idx="144">
                  <c:v>184.0836238835467</c:v>
                </c:pt>
                <c:pt idx="145">
                  <c:v>181.6452441405388</c:v>
                </c:pt>
                <c:pt idx="146">
                  <c:v>178.91698488893198</c:v>
                </c:pt>
                <c:pt idx="147">
                  <c:v>175.74567462684615</c:v>
                </c:pt>
                <c:pt idx="148">
                  <c:v>172.2473047057258</c:v>
                </c:pt>
                <c:pt idx="149">
                  <c:v>168.41883193256385</c:v>
                </c:pt>
                <c:pt idx="150">
                  <c:v>164.38341197725515</c:v>
                </c:pt>
                <c:pt idx="151">
                  <c:v>161.88822004016498</c:v>
                </c:pt>
                <c:pt idx="152">
                  <c:v>159.44930251537164</c:v>
                </c:pt>
                <c:pt idx="153">
                  <c:v>157.14417932950474</c:v>
                </c:pt>
                <c:pt idx="154">
                  <c:v>155.19543924714324</c:v>
                </c:pt>
                <c:pt idx="155">
                  <c:v>153.57747981505315</c:v>
                </c:pt>
                <c:pt idx="156">
                  <c:v>152.25747050264764</c:v>
                </c:pt>
                <c:pt idx="157">
                  <c:v>151.76994496584666</c:v>
                </c:pt>
                <c:pt idx="158">
                  <c:v>151.43930908290102</c:v>
                </c:pt>
                <c:pt idx="159">
                  <c:v>151.16675462020623</c:v>
                </c:pt>
                <c:pt idx="160">
                  <c:v>150.91203900371383</c:v>
                </c:pt>
                <c:pt idx="161">
                  <c:v>150.5255990276145</c:v>
                </c:pt>
                <c:pt idx="162">
                  <c:v>149.81229592478402</c:v>
                </c:pt>
                <c:pt idx="163">
                  <c:v>159.19010316598286</c:v>
                </c:pt>
                <c:pt idx="164">
                  <c:v>156.57380267865838</c:v>
                </c:pt>
                <c:pt idx="165">
                  <c:v>154.51312077842772</c:v>
                </c:pt>
                <c:pt idx="166">
                  <c:v>152.86014505654813</c:v>
                </c:pt>
                <c:pt idx="167">
                  <c:v>151.60888452392714</c:v>
                </c:pt>
                <c:pt idx="168">
                  <c:v>150.81668534155793</c:v>
                </c:pt>
                <c:pt idx="169">
                  <c:v>149.96790292702764</c:v>
                </c:pt>
                <c:pt idx="170">
                  <c:v>159.57156927660623</c:v>
                </c:pt>
                <c:pt idx="171">
                  <c:v>156.96105886416782</c:v>
                </c:pt>
                <c:pt idx="172">
                  <c:v>154.89095788775643</c:v>
                </c:pt>
                <c:pt idx="173">
                  <c:v>153.586086695061</c:v>
                </c:pt>
                <c:pt idx="174">
                  <c:v>152.48827541740064</c:v>
                </c:pt>
                <c:pt idx="175">
                  <c:v>152.30704496224152</c:v>
                </c:pt>
                <c:pt idx="176">
                  <c:v>151.6763980322161</c:v>
                </c:pt>
                <c:pt idx="177">
                  <c:v>152.07412019077273</c:v>
                </c:pt>
                <c:pt idx="178">
                  <c:v>151.19117304538875</c:v>
                </c:pt>
                <c:pt idx="179">
                  <c:v>150.40803991008738</c:v>
                </c:pt>
                <c:pt idx="180">
                  <c:v>149.7392235986379</c:v>
                </c:pt>
                <c:pt idx="181">
                  <c:v>159.22896232319283</c:v>
                </c:pt>
                <c:pt idx="182">
                  <c:v>156.6709781476203</c:v>
                </c:pt>
                <c:pt idx="183">
                  <c:v>154.5748772254195</c:v>
                </c:pt>
                <c:pt idx="184">
                  <c:v>153.43676264738258</c:v>
                </c:pt>
                <c:pt idx="185">
                  <c:v>152.1569802219679</c:v>
                </c:pt>
                <c:pt idx="186">
                  <c:v>151.176498648795</c:v>
                </c:pt>
                <c:pt idx="187">
                  <c:v>150.36334868207337</c:v>
                </c:pt>
                <c:pt idx="188">
                  <c:v>149.72998689667787</c:v>
                </c:pt>
                <c:pt idx="189">
                  <c:v>159.26087375693731</c:v>
                </c:pt>
                <c:pt idx="190">
                  <c:v>157.24623162342223</c:v>
                </c:pt>
                <c:pt idx="191">
                  <c:v>155.43499482597582</c:v>
                </c:pt>
                <c:pt idx="192">
                  <c:v>153.9118442054081</c:v>
                </c:pt>
                <c:pt idx="193">
                  <c:v>152.6492442835333</c:v>
                </c:pt>
                <c:pt idx="194">
                  <c:v>151.70617922207316</c:v>
                </c:pt>
                <c:pt idx="195">
                  <c:v>150.96468637907623</c:v>
                </c:pt>
                <c:pt idx="196">
                  <c:v>150.28966231088802</c:v>
                </c:pt>
                <c:pt idx="197">
                  <c:v>149.74685024130238</c:v>
                </c:pt>
                <c:pt idx="198">
                  <c:v>159.27395741265613</c:v>
                </c:pt>
                <c:pt idx="199">
                  <c:v>157.34918050101442</c:v>
                </c:pt>
                <c:pt idx="200">
                  <c:v>155.68114050733095</c:v>
                </c:pt>
                <c:pt idx="201">
                  <c:v>154.25350404635438</c:v>
                </c:pt>
                <c:pt idx="202">
                  <c:v>152.81602734450934</c:v>
                </c:pt>
                <c:pt idx="203">
                  <c:v>151.7519710757146</c:v>
                </c:pt>
                <c:pt idx="204">
                  <c:v>150.96520807008912</c:v>
                </c:pt>
                <c:pt idx="205">
                  <c:v>150.2900699017796</c:v>
                </c:pt>
                <c:pt idx="206">
                  <c:v>149.77186311476146</c:v>
                </c:pt>
                <c:pt idx="207">
                  <c:v>159.37313569352904</c:v>
                </c:pt>
                <c:pt idx="208">
                  <c:v>157.43567138261056</c:v>
                </c:pt>
                <c:pt idx="209">
                  <c:v>155.83567903068214</c:v>
                </c:pt>
                <c:pt idx="210">
                  <c:v>154.24675693426815</c:v>
                </c:pt>
                <c:pt idx="211">
                  <c:v>152.98280350030507</c:v>
                </c:pt>
                <c:pt idx="212">
                  <c:v>151.93553000573425</c:v>
                </c:pt>
                <c:pt idx="213">
                  <c:v>151.07722962088897</c:v>
                </c:pt>
                <c:pt idx="214">
                  <c:v>150.38053427151345</c:v>
                </c:pt>
                <c:pt idx="215">
                  <c:v>149.8196774641874</c:v>
                </c:pt>
                <c:pt idx="216">
                  <c:v>159.3306125931574</c:v>
                </c:pt>
                <c:pt idx="217">
                  <c:v>157.03064607999488</c:v>
                </c:pt>
                <c:pt idx="218">
                  <c:v>155.0980016185288</c:v>
                </c:pt>
                <c:pt idx="219">
                  <c:v>153.56736641374897</c:v>
                </c:pt>
                <c:pt idx="220">
                  <c:v>152.41837405556464</c:v>
                </c:pt>
                <c:pt idx="221">
                  <c:v>151.51490583774202</c:v>
                </c:pt>
                <c:pt idx="222">
                  <c:v>150.69955100382532</c:v>
                </c:pt>
                <c:pt idx="223">
                  <c:v>150.16105951952636</c:v>
                </c:pt>
                <c:pt idx="224">
                  <c:v>159.69093606973618</c:v>
                </c:pt>
                <c:pt idx="225">
                  <c:v>157.80749025843147</c:v>
                </c:pt>
                <c:pt idx="226">
                  <c:v>156.15885544801247</c:v>
                </c:pt>
                <c:pt idx="227">
                  <c:v>154.51776463133902</c:v>
                </c:pt>
                <c:pt idx="228">
                  <c:v>153.1493670780141</c:v>
                </c:pt>
                <c:pt idx="229">
                  <c:v>152.12180862345016</c:v>
                </c:pt>
                <c:pt idx="230">
                  <c:v>151.26984678271614</c:v>
                </c:pt>
                <c:pt idx="231">
                  <c:v>150.70303481900817</c:v>
                </c:pt>
                <c:pt idx="232">
                  <c:v>150.13555994600068</c:v>
                </c:pt>
                <c:pt idx="233">
                  <c:v>159.64678322544142</c:v>
                </c:pt>
                <c:pt idx="234">
                  <c:v>157.67464682202262</c:v>
                </c:pt>
                <c:pt idx="235">
                  <c:v>156.0433006518855</c:v>
                </c:pt>
                <c:pt idx="236">
                  <c:v>154.49137107961235</c:v>
                </c:pt>
                <c:pt idx="237">
                  <c:v>153.2461982471356</c:v>
                </c:pt>
                <c:pt idx="238">
                  <c:v>152.15276509980683</c:v>
                </c:pt>
                <c:pt idx="239">
                  <c:v>151.254537146315</c:v>
                </c:pt>
                <c:pt idx="240">
                  <c:v>150.62364287378736</c:v>
                </c:pt>
                <c:pt idx="241">
                  <c:v>150.23631082844656</c:v>
                </c:pt>
                <c:pt idx="242">
                  <c:v>159.80084873022346</c:v>
                </c:pt>
                <c:pt idx="243">
                  <c:v>157.99917770280953</c:v>
                </c:pt>
                <c:pt idx="244">
                  <c:v>156.24203326392188</c:v>
                </c:pt>
                <c:pt idx="245">
                  <c:v>154.73159360272336</c:v>
                </c:pt>
                <c:pt idx="246">
                  <c:v>153.50993792963934</c:v>
                </c:pt>
                <c:pt idx="247">
                  <c:v>152.52626745254457</c:v>
                </c:pt>
                <c:pt idx="248">
                  <c:v>151.60422892067186</c:v>
                </c:pt>
                <c:pt idx="249">
                  <c:v>150.88004683174663</c:v>
                </c:pt>
                <c:pt idx="250">
                  <c:v>150.37105508135227</c:v>
                </c:pt>
                <c:pt idx="251">
                  <c:v>149.93910749695283</c:v>
                </c:pt>
                <c:pt idx="252">
                  <c:v>159.5524506110963</c:v>
                </c:pt>
                <c:pt idx="253">
                  <c:v>157.8720949150976</c:v>
                </c:pt>
                <c:pt idx="254">
                  <c:v>156.546424004787</c:v>
                </c:pt>
                <c:pt idx="255">
                  <c:v>155.43608645792975</c:v>
                </c:pt>
                <c:pt idx="256">
                  <c:v>154.24382786323278</c:v>
                </c:pt>
                <c:pt idx="257">
                  <c:v>153.3824351745378</c:v>
                </c:pt>
                <c:pt idx="258">
                  <c:v>152.72225938320008</c:v>
                </c:pt>
                <c:pt idx="259">
                  <c:v>152.13064633957543</c:v>
                </c:pt>
                <c:pt idx="260">
                  <c:v>151.60220884520788</c:v>
                </c:pt>
                <c:pt idx="261">
                  <c:v>151.13162867475498</c:v>
                </c:pt>
                <c:pt idx="262">
                  <c:v>150.68169826823151</c:v>
                </c:pt>
                <c:pt idx="263">
                  <c:v>150.31523497225217</c:v>
                </c:pt>
                <c:pt idx="264">
                  <c:v>149.96661268216437</c:v>
                </c:pt>
                <c:pt idx="265">
                  <c:v>159.72755951280075</c:v>
                </c:pt>
                <c:pt idx="266">
                  <c:v>158.8781116588805</c:v>
                </c:pt>
                <c:pt idx="267">
                  <c:v>157.80731560028292</c:v>
                </c:pt>
                <c:pt idx="268">
                  <c:v>156.57085647370084</c:v>
                </c:pt>
                <c:pt idx="269">
                  <c:v>155.53225740150373</c:v>
                </c:pt>
                <c:pt idx="270">
                  <c:v>154.5284869133547</c:v>
                </c:pt>
                <c:pt idx="271">
                  <c:v>153.63494162486154</c:v>
                </c:pt>
                <c:pt idx="272">
                  <c:v>152.6853177186119</c:v>
                </c:pt>
                <c:pt idx="273">
                  <c:v>151.91683354658662</c:v>
                </c:pt>
                <c:pt idx="274">
                  <c:v>151.37290994853325</c:v>
                </c:pt>
                <c:pt idx="275">
                  <c:v>150.89374392828117</c:v>
                </c:pt>
                <c:pt idx="276">
                  <c:v>150.5931596119392</c:v>
                </c:pt>
                <c:pt idx="277">
                  <c:v>150.2643580226284</c:v>
                </c:pt>
                <c:pt idx="278">
                  <c:v>149.99546436045472</c:v>
                </c:pt>
                <c:pt idx="279">
                  <c:v>159.75350200768113</c:v>
                </c:pt>
                <c:pt idx="280">
                  <c:v>158.71341786072148</c:v>
                </c:pt>
                <c:pt idx="281">
                  <c:v>157.47872911431443</c:v>
                </c:pt>
                <c:pt idx="282">
                  <c:v>156.3548250620932</c:v>
                </c:pt>
                <c:pt idx="283">
                  <c:v>156.36169467044414</c:v>
                </c:pt>
                <c:pt idx="284">
                  <c:v>156.36169467044414</c:v>
                </c:pt>
                <c:pt idx="285">
                  <c:v>156.36169467044414</c:v>
                </c:pt>
                <c:pt idx="286">
                  <c:v>156.36169467044414</c:v>
                </c:pt>
                <c:pt idx="287">
                  <c:v>156.36169467044414</c:v>
                </c:pt>
                <c:pt idx="288">
                  <c:v>156.36169467044414</c:v>
                </c:pt>
                <c:pt idx="289">
                  <c:v>156.36169467044414</c:v>
                </c:pt>
                <c:pt idx="290">
                  <c:v>156.36169467044414</c:v>
                </c:pt>
                <c:pt idx="291">
                  <c:v>156.36169467044414</c:v>
                </c:pt>
                <c:pt idx="292">
                  <c:v>156.36169467044414</c:v>
                </c:pt>
                <c:pt idx="293">
                  <c:v>156.36169467044414</c:v>
                </c:pt>
                <c:pt idx="294">
                  <c:v>156.36169467044414</c:v>
                </c:pt>
                <c:pt idx="295">
                  <c:v>156.36169467044414</c:v>
                </c:pt>
                <c:pt idx="296">
                  <c:v>156.36169467044414</c:v>
                </c:pt>
                <c:pt idx="297">
                  <c:v>156.36169467044414</c:v>
                </c:pt>
                <c:pt idx="298">
                  <c:v>156.36169467044414</c:v>
                </c:pt>
                <c:pt idx="299">
                  <c:v>156.36169467044414</c:v>
                </c:pt>
                <c:pt idx="300">
                  <c:v>156.36169467044414</c:v>
                </c:pt>
                <c:pt idx="301">
                  <c:v>157.37669467044412</c:v>
                </c:pt>
                <c:pt idx="302">
                  <c:v>178.18669467044413</c:v>
                </c:pt>
                <c:pt idx="303">
                  <c:v>178.18669467044413</c:v>
                </c:pt>
                <c:pt idx="304">
                  <c:v>178.44069467044412</c:v>
                </c:pt>
                <c:pt idx="305">
                  <c:v>178.6946946704441</c:v>
                </c:pt>
                <c:pt idx="306">
                  <c:v>178.6946946704441</c:v>
                </c:pt>
                <c:pt idx="307">
                  <c:v>178.9486946704441</c:v>
                </c:pt>
                <c:pt idx="308">
                  <c:v>179.2026946704441</c:v>
                </c:pt>
                <c:pt idx="309">
                  <c:v>179.2026946704441</c:v>
                </c:pt>
                <c:pt idx="310">
                  <c:v>179.2026946704441</c:v>
                </c:pt>
                <c:pt idx="311">
                  <c:v>179.2026946704441</c:v>
                </c:pt>
                <c:pt idx="312">
                  <c:v>183.5176946704441</c:v>
                </c:pt>
                <c:pt idx="313">
                  <c:v>190.3706946704441</c:v>
                </c:pt>
                <c:pt idx="314">
                  <c:v>197.9846946704441</c:v>
                </c:pt>
                <c:pt idx="315">
                  <c:v>259.4546946704441</c:v>
                </c:pt>
                <c:pt idx="316">
                  <c:v>261.48469467044407</c:v>
                </c:pt>
                <c:pt idx="317">
                  <c:v>262.75469467044405</c:v>
                </c:pt>
                <c:pt idx="318">
                  <c:v>263.00469467044405</c:v>
                </c:pt>
                <c:pt idx="319">
                  <c:v>263.00469467044405</c:v>
                </c:pt>
                <c:pt idx="320">
                  <c:v>263.00469467044405</c:v>
                </c:pt>
                <c:pt idx="321">
                  <c:v>263.25469467044405</c:v>
                </c:pt>
                <c:pt idx="322">
                  <c:v>264.01469467044404</c:v>
                </c:pt>
                <c:pt idx="323">
                  <c:v>264.26469467044404</c:v>
                </c:pt>
                <c:pt idx="324">
                  <c:v>295.50469467044405</c:v>
                </c:pt>
                <c:pt idx="325">
                  <c:v>295.50469467044405</c:v>
                </c:pt>
                <c:pt idx="326">
                  <c:v>295.50469467044405</c:v>
                </c:pt>
                <c:pt idx="327">
                  <c:v>323.4457271033393</c:v>
                </c:pt>
                <c:pt idx="328">
                  <c:v>319.251243319787</c:v>
                </c:pt>
                <c:pt idx="329">
                  <c:v>317.1540014280108</c:v>
                </c:pt>
                <c:pt idx="330">
                  <c:v>315.98038048212277</c:v>
                </c:pt>
                <c:pt idx="331">
                  <c:v>339.0135700091787</c:v>
                </c:pt>
                <c:pt idx="332">
                  <c:v>330.84516477270665</c:v>
                </c:pt>
                <c:pt idx="333">
                  <c:v>324.09596215447067</c:v>
                </c:pt>
                <c:pt idx="334">
                  <c:v>360.6013608453527</c:v>
                </c:pt>
                <c:pt idx="335">
                  <c:v>362.5940601907937</c:v>
                </c:pt>
                <c:pt idx="336">
                  <c:v>341.2404098635142</c:v>
                </c:pt>
                <c:pt idx="337">
                  <c:v>328.1485846998744</c:v>
                </c:pt>
                <c:pt idx="338">
                  <c:v>332.5276721180545</c:v>
                </c:pt>
                <c:pt idx="339">
                  <c:v>323.79221582714456</c:v>
                </c:pt>
                <c:pt idx="340">
                  <c:v>319.4244876816896</c:v>
                </c:pt>
                <c:pt idx="341">
                  <c:v>317.2406236089621</c:v>
                </c:pt>
                <c:pt idx="342">
                  <c:v>316.6586915725984</c:v>
                </c:pt>
                <c:pt idx="343">
                  <c:v>315.73272555441656</c:v>
                </c:pt>
                <c:pt idx="344">
                  <c:v>315.2697425453256</c:v>
                </c:pt>
                <c:pt idx="345">
                  <c:v>315.1632510407801</c:v>
                </c:pt>
                <c:pt idx="346">
                  <c:v>325.1450052885074</c:v>
                </c:pt>
                <c:pt idx="347">
                  <c:v>323.91088241237105</c:v>
                </c:pt>
                <c:pt idx="348">
                  <c:v>319.35882097430283</c:v>
                </c:pt>
                <c:pt idx="349">
                  <c:v>318.22779025526876</c:v>
                </c:pt>
                <c:pt idx="350">
                  <c:v>322.48727489575174</c:v>
                </c:pt>
                <c:pt idx="351">
                  <c:v>320.2970172159932</c:v>
                </c:pt>
                <c:pt idx="352">
                  <c:v>322.6318883761139</c:v>
                </c:pt>
                <c:pt idx="353">
                  <c:v>339.67432395617425</c:v>
                </c:pt>
                <c:pt idx="354">
                  <c:v>327.2405417462045</c:v>
                </c:pt>
                <c:pt idx="355">
                  <c:v>331.81865064121956</c:v>
                </c:pt>
                <c:pt idx="356">
                  <c:v>323.6927050887271</c:v>
                </c:pt>
                <c:pt idx="357">
                  <c:v>319.2497323124809</c:v>
                </c:pt>
                <c:pt idx="358">
                  <c:v>317.28324592435774</c:v>
                </c:pt>
                <c:pt idx="359">
                  <c:v>316.9350027302962</c:v>
                </c:pt>
                <c:pt idx="360">
                  <c:v>317.77588113326544</c:v>
                </c:pt>
                <c:pt idx="361">
                  <c:v>339.66132033475003</c:v>
                </c:pt>
                <c:pt idx="362">
                  <c:v>331.80403993549237</c:v>
                </c:pt>
                <c:pt idx="363">
                  <c:v>336.7653997358635</c:v>
                </c:pt>
                <c:pt idx="364">
                  <c:v>326.04107963604906</c:v>
                </c:pt>
              </c:numCache>
            </c:numRef>
          </c:yVal>
          <c:smooth val="0"/>
        </c:ser>
        <c:axId val="33862984"/>
        <c:axId val="36331401"/>
      </c:scatterChart>
      <c:valAx>
        <c:axId val="55099358"/>
        <c:scaling>
          <c:orientation val="minMax"/>
          <c:max val="3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m/d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132175"/>
        <c:crosses val="autoZero"/>
        <c:crossBetween val="midCat"/>
        <c:dispUnits/>
        <c:majorUnit val="30"/>
      </c:valAx>
      <c:valAx>
        <c:axId val="26132175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ETcc, ETc, Irrigation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099358"/>
        <c:crosses val="autoZero"/>
        <c:crossBetween val="midCat"/>
        <c:dispUnits/>
      </c:valAx>
      <c:valAx>
        <c:axId val="33862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Soil &amp; Crop Water 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6331401"/>
        <c:crosses val="max"/>
        <c:crossBetween val="midCat"/>
        <c:dispUnits/>
      </c:valAx>
      <c:valAx>
        <c:axId val="36331401"/>
        <c:scaling>
          <c:orientation val="minMax"/>
          <c:max val="5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Precip, Runoff, Soil Moisture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386298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675"/>
          <c:y val="0.0367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1655"/>
          <c:w val="0.87525"/>
          <c:h val="0.7465"/>
        </c:manualLayout>
      </c:layout>
      <c:scatterChart>
        <c:scatterStyle val="line"/>
        <c:varyColors val="0"/>
        <c:ser>
          <c:idx val="0"/>
          <c:order val="0"/>
          <c:tx>
            <c:strRef>
              <c:f>'DAILY WATER BALANCE'!$K$35</c:f>
              <c:strCache>
                <c:ptCount val="1"/>
                <c:pt idx="0">
                  <c:v>LAI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'DAILY WATER BALANCE'!$B$36:$B$400</c:f>
              <c:numCache/>
            </c:numRef>
          </c:xVal>
          <c:yVal>
            <c:numRef>
              <c:f>'DAILY WATER BALANCE'!$K$36:$K$400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-0.0007752473632363088</c:v>
                </c:pt>
                <c:pt idx="87">
                  <c:v>0.007207182610948881</c:v>
                </c:pt>
                <c:pt idx="88">
                  <c:v>0.01885126170419471</c:v>
                </c:pt>
                <c:pt idx="89">
                  <c:v>0.026318568280770727</c:v>
                </c:pt>
                <c:pt idx="90">
                  <c:v>0.026318568280770727</c:v>
                </c:pt>
                <c:pt idx="91">
                  <c:v>0.026318568280770727</c:v>
                </c:pt>
                <c:pt idx="92">
                  <c:v>0.026318568280770727</c:v>
                </c:pt>
                <c:pt idx="93">
                  <c:v>0.0268528063071109</c:v>
                </c:pt>
                <c:pt idx="94">
                  <c:v>0.0268528063071109</c:v>
                </c:pt>
                <c:pt idx="95">
                  <c:v>0.0268528063071109</c:v>
                </c:pt>
                <c:pt idx="96">
                  <c:v>0.0268528063071109</c:v>
                </c:pt>
                <c:pt idx="97">
                  <c:v>0.02784225587121736</c:v>
                </c:pt>
                <c:pt idx="98">
                  <c:v>0.031454169057482606</c:v>
                </c:pt>
                <c:pt idx="99">
                  <c:v>0.03463595872755426</c:v>
                </c:pt>
                <c:pt idx="100">
                  <c:v>0.035721926582046426</c:v>
                </c:pt>
                <c:pt idx="101">
                  <c:v>0.037931673298940594</c:v>
                </c:pt>
                <c:pt idx="102">
                  <c:v>0.03905536975613061</c:v>
                </c:pt>
                <c:pt idx="103">
                  <c:v>0.04081655087039354</c:v>
                </c:pt>
                <c:pt idx="104">
                  <c:v>0.041971967465750826</c:v>
                </c:pt>
                <c:pt idx="105">
                  <c:v>0.0550196181393518</c:v>
                </c:pt>
                <c:pt idx="106">
                  <c:v>0.062360995949306386</c:v>
                </c:pt>
                <c:pt idx="107">
                  <c:v>0.0658516664900512</c:v>
                </c:pt>
                <c:pt idx="108">
                  <c:v>0.0658516664900512</c:v>
                </c:pt>
                <c:pt idx="109">
                  <c:v>0.07083854452581778</c:v>
                </c:pt>
                <c:pt idx="110">
                  <c:v>0.08055723814154192</c:v>
                </c:pt>
                <c:pt idx="111">
                  <c:v>0.09553739801841271</c:v>
                </c:pt>
                <c:pt idx="112">
                  <c:v>0.12273798556975962</c:v>
                </c:pt>
                <c:pt idx="113">
                  <c:v>0.15654167808949287</c:v>
                </c:pt>
                <c:pt idx="114">
                  <c:v>0.17660103492154466</c:v>
                </c:pt>
                <c:pt idx="115">
                  <c:v>0.19330778318619907</c:v>
                </c:pt>
                <c:pt idx="116">
                  <c:v>0.21053874114570842</c:v>
                </c:pt>
                <c:pt idx="117">
                  <c:v>0.23272053894599448</c:v>
                </c:pt>
                <c:pt idx="118">
                  <c:v>0.26721132048504076</c:v>
                </c:pt>
                <c:pt idx="119">
                  <c:v>0.30443637511054344</c:v>
                </c:pt>
                <c:pt idx="120">
                  <c:v>0.3418313561407512</c:v>
                </c:pt>
                <c:pt idx="121">
                  <c:v>0.3828297975165635</c:v>
                </c:pt>
                <c:pt idx="122">
                  <c:v>0.4209759710860042</c:v>
                </c:pt>
                <c:pt idx="123">
                  <c:v>0.46239004861326855</c:v>
                </c:pt>
                <c:pt idx="124">
                  <c:v>0.5082006108407291</c:v>
                </c:pt>
                <c:pt idx="125">
                  <c:v>0.5678139355029743</c:v>
                </c:pt>
                <c:pt idx="126">
                  <c:v>0.631866371318645</c:v>
                </c:pt>
                <c:pt idx="127">
                  <c:v>0.6845302130925927</c:v>
                </c:pt>
                <c:pt idx="128">
                  <c:v>0.7376938991020598</c:v>
                </c:pt>
                <c:pt idx="129">
                  <c:v>0.7781939620013781</c:v>
                </c:pt>
                <c:pt idx="130">
                  <c:v>0.8000208648847957</c:v>
                </c:pt>
                <c:pt idx="131">
                  <c:v>0.8204639730114138</c:v>
                </c:pt>
                <c:pt idx="132">
                  <c:v>0.8445071095856331</c:v>
                </c:pt>
                <c:pt idx="133">
                  <c:v>0.8792392276845833</c:v>
                </c:pt>
                <c:pt idx="134">
                  <c:v>0.9201862290213021</c:v>
                </c:pt>
                <c:pt idx="135">
                  <c:v>0.9562831556230282</c:v>
                </c:pt>
                <c:pt idx="136">
                  <c:v>0.9967597037527628</c:v>
                </c:pt>
                <c:pt idx="137">
                  <c:v>1.037620789654825</c:v>
                </c:pt>
                <c:pt idx="138">
                  <c:v>1.0815168067099772</c:v>
                </c:pt>
                <c:pt idx="139">
                  <c:v>1.1310962681523324</c:v>
                </c:pt>
                <c:pt idx="140">
                  <c:v>1.1649870827943036</c:v>
                </c:pt>
                <c:pt idx="141">
                  <c:v>1.1966267328116986</c:v>
                </c:pt>
                <c:pt idx="142">
                  <c:v>1.2255164139127968</c:v>
                </c:pt>
                <c:pt idx="143">
                  <c:v>1.2453245430666393</c:v>
                </c:pt>
                <c:pt idx="144">
                  <c:v>1.259326085177466</c:v>
                </c:pt>
                <c:pt idx="145">
                  <c:v>1.271468707974409</c:v>
                </c:pt>
                <c:pt idx="146">
                  <c:v>1.2851167796403828</c:v>
                </c:pt>
                <c:pt idx="147">
                  <c:v>1.3059172795663438</c:v>
                </c:pt>
                <c:pt idx="148">
                  <c:v>1.3358853916152682</c:v>
                </c:pt>
                <c:pt idx="149">
                  <c:v>1.3632195366396824</c:v>
                </c:pt>
                <c:pt idx="150">
                  <c:v>1.3768052053408795</c:v>
                </c:pt>
                <c:pt idx="151">
                  <c:v>1.3862456169655437</c:v>
                </c:pt>
                <c:pt idx="152">
                  <c:v>1.3962786698723928</c:v>
                </c:pt>
                <c:pt idx="153">
                  <c:v>1.4055766955047857</c:v>
                </c:pt>
                <c:pt idx="154">
                  <c:v>1.4145893410200405</c:v>
                </c:pt>
                <c:pt idx="155">
                  <c:v>1.425909852989394</c:v>
                </c:pt>
                <c:pt idx="156">
                  <c:v>1.4393455913715871</c:v>
                </c:pt>
                <c:pt idx="157">
                  <c:v>1.4478792966044878</c:v>
                </c:pt>
                <c:pt idx="158">
                  <c:v>1.4536895988258687</c:v>
                </c:pt>
                <c:pt idx="159">
                  <c:v>1.4584807954065402</c:v>
                </c:pt>
                <c:pt idx="160">
                  <c:v>1.4639581272271984</c:v>
                </c:pt>
                <c:pt idx="161">
                  <c:v>1.4698493607172836</c:v>
                </c:pt>
                <c:pt idx="162">
                  <c:v>1.475755811931362</c:v>
                </c:pt>
                <c:pt idx="163">
                  <c:v>1.4811167549502637</c:v>
                </c:pt>
                <c:pt idx="164">
                  <c:v>1.485220088027634</c:v>
                </c:pt>
                <c:pt idx="165">
                  <c:v>1.4894834573320712</c:v>
                </c:pt>
                <c:pt idx="166">
                  <c:v>1.4924360982085476</c:v>
                </c:pt>
                <c:pt idx="167">
                  <c:v>1.4955039038518751</c:v>
                </c:pt>
                <c:pt idx="168">
                  <c:v>1.498285019253806</c:v>
                </c:pt>
                <c:pt idx="169">
                  <c:v>1.5007008854813249</c:v>
                </c:pt>
                <c:pt idx="170">
                  <c:v>1.5026161085433758</c:v>
                </c:pt>
                <c:pt idx="171">
                  <c:v>1.5038306249447029</c:v>
                </c:pt>
                <c:pt idx="172">
                  <c:v>1.5044011790732377</c:v>
                </c:pt>
                <c:pt idx="173">
                  <c:v>1.504926590828027</c:v>
                </c:pt>
                <c:pt idx="174">
                  <c:v>1.5054716328577828</c:v>
                </c:pt>
                <c:pt idx="175">
                  <c:v>1.5059021282375362</c:v>
                </c:pt>
                <c:pt idx="176">
                  <c:v>1.5063634583116783</c:v>
                </c:pt>
                <c:pt idx="177">
                  <c:v>1.5069417230968893</c:v>
                </c:pt>
                <c:pt idx="178">
                  <c:v>1.5074806547167825</c:v>
                </c:pt>
                <c:pt idx="179">
                  <c:v>1.5079780547422605</c:v>
                </c:pt>
                <c:pt idx="180">
                  <c:v>1.5083545422813605</c:v>
                </c:pt>
                <c:pt idx="181">
                  <c:v>1.5087318757725632</c:v>
                </c:pt>
                <c:pt idx="182">
                  <c:v>1.5090785228371617</c:v>
                </c:pt>
                <c:pt idx="183">
                  <c:v>1.5092696806169763</c:v>
                </c:pt>
                <c:pt idx="184">
                  <c:v>1.509357884735629</c:v>
                </c:pt>
                <c:pt idx="185">
                  <c:v>1.5094525564763306</c:v>
                </c:pt>
                <c:pt idx="186">
                  <c:v>1.5095442422852023</c:v>
                </c:pt>
                <c:pt idx="187">
                  <c:v>1.5096147383259408</c:v>
                </c:pt>
                <c:pt idx="188">
                  <c:v>1.5096632759070183</c:v>
                </c:pt>
                <c:pt idx="189">
                  <c:v>1.5097064371821318</c:v>
                </c:pt>
                <c:pt idx="190">
                  <c:v>1.509738098853561</c:v>
                </c:pt>
                <c:pt idx="191">
                  <c:v>1.5097672977527574</c:v>
                </c:pt>
                <c:pt idx="192">
                  <c:v>1.5097921714739855</c:v>
                </c:pt>
                <c:pt idx="193">
                  <c:v>1.5098046444117414</c:v>
                </c:pt>
                <c:pt idx="194">
                  <c:v>1.5098183366978817</c:v>
                </c:pt>
                <c:pt idx="195">
                  <c:v>1.5098287941749233</c:v>
                </c:pt>
                <c:pt idx="196">
                  <c:v>1.509841726860206</c:v>
                </c:pt>
                <c:pt idx="197">
                  <c:v>1.5098530542158535</c:v>
                </c:pt>
                <c:pt idx="198">
                  <c:v>1.509859497592934</c:v>
                </c:pt>
                <c:pt idx="199">
                  <c:v>1.5098662130349092</c:v>
                </c:pt>
                <c:pt idx="200">
                  <c:v>1.5098714570882064</c:v>
                </c:pt>
                <c:pt idx="201">
                  <c:v>1.5098779163809415</c:v>
                </c:pt>
                <c:pt idx="202">
                  <c:v>1.509882252913819</c:v>
                </c:pt>
                <c:pt idx="203">
                  <c:v>1.509885488651447</c:v>
                </c:pt>
                <c:pt idx="204">
                  <c:v>1.509888312695467</c:v>
                </c:pt>
                <c:pt idx="205">
                  <c:v>1.509890731887197</c:v>
                </c:pt>
                <c:pt idx="206">
                  <c:v>1.509892406492836</c:v>
                </c:pt>
                <c:pt idx="207">
                  <c:v>1.509893919286602</c:v>
                </c:pt>
                <c:pt idx="208">
                  <c:v>1.50989496508197</c:v>
                </c:pt>
                <c:pt idx="209">
                  <c:v>1.5098959824871345</c:v>
                </c:pt>
                <c:pt idx="210">
                  <c:v>1.5098968896834162</c:v>
                </c:pt>
                <c:pt idx="211">
                  <c:v>1.5098974732765544</c:v>
                </c:pt>
                <c:pt idx="212">
                  <c:v>1.5098980524207928</c:v>
                </c:pt>
                <c:pt idx="213">
                  <c:v>1.5098984685010803</c:v>
                </c:pt>
                <c:pt idx="214">
                  <c:v>1.5098988250203487</c:v>
                </c:pt>
                <c:pt idx="215">
                  <c:v>1.5098991079531885</c:v>
                </c:pt>
                <c:pt idx="216">
                  <c:v>1.5098993443643212</c:v>
                </c:pt>
                <c:pt idx="217">
                  <c:v>1.5098995678507614</c:v>
                </c:pt>
                <c:pt idx="218">
                  <c:v>1.5098996988550986</c:v>
                </c:pt>
                <c:pt idx="219">
                  <c:v>1.5098997687564732</c:v>
                </c:pt>
                <c:pt idx="220">
                  <c:v>1.5098998255524845</c:v>
                </c:pt>
                <c:pt idx="221">
                  <c:v>1.5098998643375214</c:v>
                </c:pt>
                <c:pt idx="222">
                  <c:v>1.5098998913193027</c:v>
                </c:pt>
                <c:pt idx="223">
                  <c:v>1.509899913811513</c:v>
                </c:pt>
                <c:pt idx="224">
                  <c:v>1.5098999322504345</c:v>
                </c:pt>
                <c:pt idx="225">
                  <c:v>1.509899947683326</c:v>
                </c:pt>
                <c:pt idx="226">
                  <c:v>1.5098999641232207</c:v>
                </c:pt>
                <c:pt idx="227">
                  <c:v>1.5098999748628246</c:v>
                </c:pt>
                <c:pt idx="228">
                  <c:v>1.509899981384222</c:v>
                </c:pt>
                <c:pt idx="229">
                  <c:v>1.5098999855400748</c:v>
                </c:pt>
                <c:pt idx="230">
                  <c:v>1.5098999879896988</c:v>
                </c:pt>
                <c:pt idx="231">
                  <c:v>1.5098999903638282</c:v>
                </c:pt>
                <c:pt idx="232">
                  <c:v>1.509899992349432</c:v>
                </c:pt>
                <c:pt idx="233">
                  <c:v>1.5098999942905884</c:v>
                </c:pt>
                <c:pt idx="234">
                  <c:v>1.5098999958923582</c:v>
                </c:pt>
                <c:pt idx="235">
                  <c:v>1.5098999971533469</c:v>
                </c:pt>
                <c:pt idx="236">
                  <c:v>1.5098999979988557</c:v>
                </c:pt>
                <c:pt idx="237">
                  <c:v>1.5098999986953425</c:v>
                </c:pt>
                <c:pt idx="238">
                  <c:v>1.5098999991222124</c:v>
                </c:pt>
                <c:pt idx="239">
                  <c:v>1.5098999993313784</c:v>
                </c:pt>
                <c:pt idx="240">
                  <c:v>1.5098999994632085</c:v>
                </c:pt>
                <c:pt idx="241">
                  <c:v>1.5098999996140003</c:v>
                </c:pt>
                <c:pt idx="242">
                  <c:v>1.5098999997431217</c:v>
                </c:pt>
                <c:pt idx="243">
                  <c:v>1.5098999998247171</c:v>
                </c:pt>
                <c:pt idx="244">
                  <c:v>1.5098999998807656</c:v>
                </c:pt>
                <c:pt idx="245">
                  <c:v>1.5098999999119307</c:v>
                </c:pt>
                <c:pt idx="246">
                  <c:v>1.5098999999344005</c:v>
                </c:pt>
                <c:pt idx="247">
                  <c:v>1.5098999999553413</c:v>
                </c:pt>
                <c:pt idx="248">
                  <c:v>1.5098999999639218</c:v>
                </c:pt>
                <c:pt idx="249">
                  <c:v>1.5098999999714338</c:v>
                </c:pt>
                <c:pt idx="250">
                  <c:v>1.5098999999777987</c:v>
                </c:pt>
                <c:pt idx="251">
                  <c:v>1.5098999999820855</c:v>
                </c:pt>
                <c:pt idx="252">
                  <c:v>1.5098999999870362</c:v>
                </c:pt>
                <c:pt idx="253">
                  <c:v>1.509899999989261</c:v>
                </c:pt>
                <c:pt idx="254">
                  <c:v>1.5098999999920282</c:v>
                </c:pt>
                <c:pt idx="255">
                  <c:v>1.5098999999945422</c:v>
                </c:pt>
                <c:pt idx="256">
                  <c:v>1.5098999999957996</c:v>
                </c:pt>
                <c:pt idx="257">
                  <c:v>1.509899999996664</c:v>
                </c:pt>
                <c:pt idx="258">
                  <c:v>1.5098999999974385</c:v>
                </c:pt>
                <c:pt idx="259">
                  <c:v>1.5098999999979736</c:v>
                </c:pt>
                <c:pt idx="260">
                  <c:v>1.5098999999984761</c:v>
                </c:pt>
                <c:pt idx="261">
                  <c:v>1.5098999999988452</c:v>
                </c:pt>
                <c:pt idx="262">
                  <c:v>1.5098999999990892</c:v>
                </c:pt>
                <c:pt idx="263">
                  <c:v>1.5098999999993192</c:v>
                </c:pt>
                <c:pt idx="264">
                  <c:v>1.5098999999994644</c:v>
                </c:pt>
                <c:pt idx="265">
                  <c:v>1.509899999999574</c:v>
                </c:pt>
                <c:pt idx="266">
                  <c:v>1.5098999999996887</c:v>
                </c:pt>
                <c:pt idx="267">
                  <c:v>1.509899999999787</c:v>
                </c:pt>
                <c:pt idx="268">
                  <c:v>1.509899999999845</c:v>
                </c:pt>
                <c:pt idx="269">
                  <c:v>1.5098999999998814</c:v>
                </c:pt>
                <c:pt idx="270">
                  <c:v>1.5098999999999183</c:v>
                </c:pt>
                <c:pt idx="271">
                  <c:v>1.5098999999999536</c:v>
                </c:pt>
                <c:pt idx="272">
                  <c:v>1.5098999999999736</c:v>
                </c:pt>
                <c:pt idx="273">
                  <c:v>1.5098999999999823</c:v>
                </c:pt>
                <c:pt idx="274">
                  <c:v>1.509899999999988</c:v>
                </c:pt>
                <c:pt idx="275">
                  <c:v>1.509899999999991</c:v>
                </c:pt>
                <c:pt idx="276">
                  <c:v>1.509899999999993</c:v>
                </c:pt>
                <c:pt idx="277">
                  <c:v>1.5098999999999938</c:v>
                </c:pt>
                <c:pt idx="278">
                  <c:v>1.509899999999995</c:v>
                </c:pt>
                <c:pt idx="279">
                  <c:v>1.5098999999999962</c:v>
                </c:pt>
                <c:pt idx="280">
                  <c:v>1.5098999999999974</c:v>
                </c:pt>
                <c:pt idx="281">
                  <c:v>1.5098999999999978</c:v>
                </c:pt>
                <c:pt idx="282">
                  <c:v>1.5098999999999987</c:v>
                </c:pt>
                <c:pt idx="283">
                  <c:v>-0.00780000000000014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'DAILY WATER BALANCE'!$N$35</c:f>
              <c:strCache>
                <c:ptCount val="1"/>
                <c:pt idx="0">
                  <c:v>Crop Kc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'DAILY WATER BALANCE'!$B$36:$B$400</c:f>
              <c:numCache/>
            </c:numRef>
          </c:xVal>
          <c:yVal>
            <c:numRef>
              <c:f>'DAILY WATER BALANCE'!$N$36:$N$400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-0.0004652566162426375</c:v>
                </c:pt>
                <c:pt idx="87">
                  <c:v>0.004314973202579786</c:v>
                </c:pt>
                <c:pt idx="88">
                  <c:v>0.011247030900160215</c:v>
                </c:pt>
                <c:pt idx="89">
                  <c:v>0.015667114599396292</c:v>
                </c:pt>
                <c:pt idx="90">
                  <c:v>0.015667114599396292</c:v>
                </c:pt>
                <c:pt idx="91">
                  <c:v>0.015667114599396292</c:v>
                </c:pt>
                <c:pt idx="92">
                  <c:v>0.015667114599396292</c:v>
                </c:pt>
                <c:pt idx="93">
                  <c:v>0.015982584870605443</c:v>
                </c:pt>
                <c:pt idx="94">
                  <c:v>0.015982584870605443</c:v>
                </c:pt>
                <c:pt idx="95">
                  <c:v>0.015982584870605443</c:v>
                </c:pt>
                <c:pt idx="96">
                  <c:v>0.015982584870605443</c:v>
                </c:pt>
                <c:pt idx="97">
                  <c:v>0.01656659286100126</c:v>
                </c:pt>
                <c:pt idx="98">
                  <c:v>0.01869553082069164</c:v>
                </c:pt>
                <c:pt idx="99">
                  <c:v>0.020567126399157143</c:v>
                </c:pt>
                <c:pt idx="100">
                  <c:v>0.02120509810137572</c:v>
                </c:pt>
                <c:pt idx="101">
                  <c:v>0.022501971475483162</c:v>
                </c:pt>
                <c:pt idx="102">
                  <c:v>0.02316079599782983</c:v>
                </c:pt>
                <c:pt idx="103">
                  <c:v>0.024192485258991647</c:v>
                </c:pt>
                <c:pt idx="104">
                  <c:v>0.024868729346659624</c:v>
                </c:pt>
                <c:pt idx="105">
                  <c:v>0.03247282912771443</c:v>
                </c:pt>
                <c:pt idx="106">
                  <c:v>0.036725246173710424</c:v>
                </c:pt>
                <c:pt idx="107">
                  <c:v>0.03874061981887511</c:v>
                </c:pt>
                <c:pt idx="108">
                  <c:v>0.03874061981887511</c:v>
                </c:pt>
                <c:pt idx="109">
                  <c:v>0.0416125310886829</c:v>
                </c:pt>
                <c:pt idx="110">
                  <c:v>0.04718483315541433</c:v>
                </c:pt>
                <c:pt idx="111">
                  <c:v>0.05571045532419783</c:v>
                </c:pt>
                <c:pt idx="112">
                  <c:v>0.07099651733370671</c:v>
                </c:pt>
                <c:pt idx="113">
                  <c:v>0.08964897023109974</c:v>
                </c:pt>
                <c:pt idx="114">
                  <c:v>0.10053993274113826</c:v>
                </c:pt>
                <c:pt idx="115">
                  <c:v>0.10951112553410602</c:v>
                </c:pt>
                <c:pt idx="116">
                  <c:v>0.11867008447842242</c:v>
                </c:pt>
                <c:pt idx="117">
                  <c:v>0.13032206312307082</c:v>
                </c:pt>
                <c:pt idx="118">
                  <c:v>0.1481346395582417</c:v>
                </c:pt>
                <c:pt idx="119">
                  <c:v>0.16695017532307377</c:v>
                </c:pt>
                <c:pt idx="120">
                  <c:v>0.18543317791441205</c:v>
                </c:pt>
                <c:pt idx="121">
                  <c:v>0.20522631555564275</c:v>
                </c:pt>
                <c:pt idx="122">
                  <c:v>0.2232102697303775</c:v>
                </c:pt>
                <c:pt idx="123">
                  <c:v>0.24227444926081787</c:v>
                </c:pt>
                <c:pt idx="124">
                  <c:v>0.2628179235601149</c:v>
                </c:pt>
                <c:pt idx="125">
                  <c:v>0.28871946378894464</c:v>
                </c:pt>
                <c:pt idx="126">
                  <c:v>0.3155364065857402</c:v>
                </c:pt>
                <c:pt idx="127">
                  <c:v>0.3368261645108612</c:v>
                </c:pt>
                <c:pt idx="128">
                  <c:v>0.35764639445152846</c:v>
                </c:pt>
                <c:pt idx="129">
                  <c:v>0.3730674859278408</c:v>
                </c:pt>
                <c:pt idx="130">
                  <c:v>0.38122435465188054</c:v>
                </c:pt>
                <c:pt idx="131">
                  <c:v>0.38876781499681523</c:v>
                </c:pt>
                <c:pt idx="132">
                  <c:v>0.3975220825060789</c:v>
                </c:pt>
                <c:pt idx="133">
                  <c:v>0.4099473664241765</c:v>
                </c:pt>
                <c:pt idx="134">
                  <c:v>0.4242672705893905</c:v>
                </c:pt>
                <c:pt idx="135">
                  <c:v>0.43660251829882035</c:v>
                </c:pt>
                <c:pt idx="136">
                  <c:v>0.4501203386559979</c:v>
                </c:pt>
                <c:pt idx="137">
                  <c:v>0.4634376319420722</c:v>
                </c:pt>
                <c:pt idx="138">
                  <c:v>0.47738492702156143</c:v>
                </c:pt>
                <c:pt idx="139">
                  <c:v>0.49270254992786267</c:v>
                </c:pt>
                <c:pt idx="140">
                  <c:v>0.5029140099671023</c:v>
                </c:pt>
                <c:pt idx="141">
                  <c:v>0.5122615791490559</c:v>
                </c:pt>
                <c:pt idx="142">
                  <c:v>0.5206430919839489</c:v>
                </c:pt>
                <c:pt idx="143">
                  <c:v>0.5263064691760895</c:v>
                </c:pt>
                <c:pt idx="144">
                  <c:v>0.5302692642487965</c:v>
                </c:pt>
                <c:pt idx="145">
                  <c:v>0.5336790857973046</c:v>
                </c:pt>
                <c:pt idx="146">
                  <c:v>0.537482122065963</c:v>
                </c:pt>
                <c:pt idx="147">
                  <c:v>0.5432186128958244</c:v>
                </c:pt>
                <c:pt idx="148">
                  <c:v>0.5513585376076193</c:v>
                </c:pt>
                <c:pt idx="149">
                  <c:v>0.5586564677020235</c:v>
                </c:pt>
                <c:pt idx="150">
                  <c:v>0.5128901824235761</c:v>
                </c:pt>
                <c:pt idx="151">
                  <c:v>0.44684669360497536</c:v>
                </c:pt>
                <c:pt idx="152">
                  <c:v>0.4004133187971345</c:v>
                </c:pt>
                <c:pt idx="153">
                  <c:v>0.3493140151336404</c:v>
                </c:pt>
                <c:pt idx="154">
                  <c:v>0.2953083925384894</c:v>
                </c:pt>
                <c:pt idx="155">
                  <c:v>0.24518251736476745</c:v>
                </c:pt>
                <c:pt idx="156">
                  <c:v>0.20003171880671541</c:v>
                </c:pt>
                <c:pt idx="157">
                  <c:v>0.16005434563393514</c:v>
                </c:pt>
                <c:pt idx="158">
                  <c:v>0.14476177011630653</c:v>
                </c:pt>
                <c:pt idx="159">
                  <c:v>0.13419717513282906</c:v>
                </c:pt>
                <c:pt idx="160">
                  <c:v>0.12541389290616328</c:v>
                </c:pt>
                <c:pt idx="161">
                  <c:v>0.1171030230604013</c:v>
                </c:pt>
                <c:pt idx="162">
                  <c:v>0.10408625460826913</c:v>
                </c:pt>
                <c:pt idx="163">
                  <c:v>0.07907889664478465</c:v>
                </c:pt>
                <c:pt idx="164">
                  <c:v>0.355475609690828</c:v>
                </c:pt>
                <c:pt idx="165">
                  <c:v>0.28995102015346425</c:v>
                </c:pt>
                <c:pt idx="166">
                  <c:v>0.23258417361468794</c:v>
                </c:pt>
                <c:pt idx="167">
                  <c:v>0.18258580659871368</c:v>
                </c:pt>
                <c:pt idx="168">
                  <c:v>0.14214662803929665</c:v>
                </c:pt>
                <c:pt idx="169">
                  <c:v>0.11532369762639964</c:v>
                </c:pt>
                <c:pt idx="170">
                  <c:v>0.08541287764925329</c:v>
                </c:pt>
                <c:pt idx="171">
                  <c:v>0.3673153809537644</c:v>
                </c:pt>
                <c:pt idx="172">
                  <c:v>0.3020722276975639</c:v>
                </c:pt>
                <c:pt idx="173">
                  <c:v>0.24481635885467812</c:v>
                </c:pt>
                <c:pt idx="174">
                  <c:v>0.20596834477680165</c:v>
                </c:pt>
                <c:pt idx="175">
                  <c:v>0.1714856009295159</c:v>
                </c:pt>
                <c:pt idx="176">
                  <c:v>0.165654565281171</c:v>
                </c:pt>
                <c:pt idx="177">
                  <c:v>0.14491174959705078</c:v>
                </c:pt>
                <c:pt idx="178">
                  <c:v>0.15812090712463917</c:v>
                </c:pt>
                <c:pt idx="179">
                  <c:v>0.1285721778527954</c:v>
                </c:pt>
                <c:pt idx="180">
                  <c:v>0.1013511610015905</c:v>
                </c:pt>
                <c:pt idx="181">
                  <c:v>0.0773240302235268</c:v>
                </c:pt>
                <c:pt idx="182">
                  <c:v>0.35992460610279187</c:v>
                </c:pt>
                <c:pt idx="183">
                  <c:v>0.294934701308684</c:v>
                </c:pt>
                <c:pt idx="184">
                  <c:v>0.23602542058003406</c:v>
                </c:pt>
                <c:pt idx="185">
                  <c:v>0.20169935782737433</c:v>
                </c:pt>
                <c:pt idx="186">
                  <c:v>0.1609721840704159</c:v>
                </c:pt>
                <c:pt idx="187">
                  <c:v>0.1281560231239772</c:v>
                </c:pt>
                <c:pt idx="188">
                  <c:v>0.09982061235547762</c:v>
                </c:pt>
                <c:pt idx="189">
                  <c:v>0.07701742566747133</c:v>
                </c:pt>
                <c:pt idx="190">
                  <c:v>0.3607883476925304</c:v>
                </c:pt>
                <c:pt idx="191">
                  <c:v>0.31024953707544</c:v>
                </c:pt>
                <c:pt idx="192">
                  <c:v>0.2609028127043009</c:v>
                </c:pt>
                <c:pt idx="193">
                  <c:v>0.21627268274662412</c:v>
                </c:pt>
                <c:pt idx="194">
                  <c:v>0.17693528357601232</c:v>
                </c:pt>
                <c:pt idx="195">
                  <c:v>0.14607818025944572</c:v>
                </c:pt>
                <c:pt idx="196">
                  <c:v>0.12088539903083886</c:v>
                </c:pt>
                <c:pt idx="197">
                  <c:v>0.0972084651836745</c:v>
                </c:pt>
                <c:pt idx="198">
                  <c:v>0.07763796234547046</c:v>
                </c:pt>
                <c:pt idx="199">
                  <c:v>0.3611213717901885</c:v>
                </c:pt>
                <c:pt idx="200">
                  <c:v>0.3129530944997097</c:v>
                </c:pt>
                <c:pt idx="201">
                  <c:v>0.2678492422094883</c:v>
                </c:pt>
                <c:pt idx="202">
                  <c:v>0.22655267168558485</c:v>
                </c:pt>
                <c:pt idx="203">
                  <c:v>0.18226383501108886</c:v>
                </c:pt>
                <c:pt idx="204">
                  <c:v>0.14761032000478227</c:v>
                </c:pt>
                <c:pt idx="205">
                  <c:v>0.12090583243365557</c:v>
                </c:pt>
                <c:pt idx="206">
                  <c:v>0.09722453790208739</c:v>
                </c:pt>
                <c:pt idx="207">
                  <c:v>0.0785515014248276</c:v>
                </c:pt>
                <c:pt idx="208">
                  <c:v>0.363501746889019</c:v>
                </c:pt>
                <c:pt idx="209">
                  <c:v>0.31520731913483485</c:v>
                </c:pt>
                <c:pt idx="210">
                  <c:v>0.2721689099715669</c:v>
                </c:pt>
                <c:pt idx="211">
                  <c:v>0.2263526923286295</c:v>
                </c:pt>
                <c:pt idx="212">
                  <c:v>0.18754897825408853</c:v>
                </c:pt>
                <c:pt idx="213">
                  <c:v>0.15370708897658797</c:v>
                </c:pt>
                <c:pt idx="214">
                  <c:v>0.12476635912885153</c:v>
                </c:pt>
                <c:pt idx="215">
                  <c:v>0.10043997265867378</c:v>
                </c:pt>
                <c:pt idx="216">
                  <c:v>0.08029303415366934</c:v>
                </c:pt>
                <c:pt idx="217">
                  <c:v>0.36248487205083063</c:v>
                </c:pt>
                <c:pt idx="218">
                  <c:v>0.30459329573933575</c:v>
                </c:pt>
                <c:pt idx="219">
                  <c:v>0.25129456653748716</c:v>
                </c:pt>
                <c:pt idx="220">
                  <c:v>0.20576510712470242</c:v>
                </c:pt>
                <c:pt idx="221">
                  <c:v>0.16950623223688996</c:v>
                </c:pt>
                <c:pt idx="222">
                  <c:v>0.1396633836787774</c:v>
                </c:pt>
                <c:pt idx="223">
                  <c:v>0.11167388724574291</c:v>
                </c:pt>
                <c:pt idx="224">
                  <c:v>0.09261691288222797</c:v>
                </c:pt>
                <c:pt idx="225">
                  <c:v>0.3710492142050249</c:v>
                </c:pt>
                <c:pt idx="226">
                  <c:v>0.3247901517767941</c:v>
                </c:pt>
                <c:pt idx="227">
                  <c:v>0.2811049703106303</c:v>
                </c:pt>
                <c:pt idx="228">
                  <c:v>0.2343949217754239</c:v>
                </c:pt>
                <c:pt idx="229">
                  <c:v>0.1927877025448304</c:v>
                </c:pt>
                <c:pt idx="230">
                  <c:v>0.15984274685441205</c:v>
                </c:pt>
                <c:pt idx="231">
                  <c:v>0.1313585083911904</c:v>
                </c:pt>
                <c:pt idx="232">
                  <c:v>0.1117956802615224</c:v>
                </c:pt>
                <c:pt idx="233">
                  <c:v>0.09170294944826492</c:v>
                </c:pt>
                <c:pt idx="234">
                  <c:v>0.37000682990971673</c:v>
                </c:pt>
                <c:pt idx="235">
                  <c:v>0.3213841942744568</c:v>
                </c:pt>
                <c:pt idx="236">
                  <c:v>0.27792435033544993</c:v>
                </c:pt>
                <c:pt idx="237">
                  <c:v>0.23361591603691706</c:v>
                </c:pt>
                <c:pt idx="238">
                  <c:v>0.19581539171360665</c:v>
                </c:pt>
                <c:pt idx="239">
                  <c:v>0.16085744152791007</c:v>
                </c:pt>
                <c:pt idx="240">
                  <c:v>0.1308366388485326</c:v>
                </c:pt>
                <c:pt idx="241">
                  <c:v>0.1090154926374307</c:v>
                </c:pt>
                <c:pt idx="242">
                  <c:v>0.0953079663434205</c:v>
                </c:pt>
                <c:pt idx="243">
                  <c:v>0.37363563405514816</c:v>
                </c:pt>
                <c:pt idx="244">
                  <c:v>0.3296706264329531</c:v>
                </c:pt>
                <c:pt idx="245">
                  <c:v>0.2833845518196095</c:v>
                </c:pt>
                <c:pt idx="246">
                  <c:v>0.24067290643893324</c:v>
                </c:pt>
                <c:pt idx="247">
                  <c:v>0.20399636605034466</c:v>
                </c:pt>
                <c:pt idx="248">
                  <c:v>0.17299034369094124</c:v>
                </c:pt>
                <c:pt idx="249">
                  <c:v>0.14266786621852245</c:v>
                </c:pt>
                <c:pt idx="250">
                  <c:v>0.11795869070552635</c:v>
                </c:pt>
                <c:pt idx="251">
                  <c:v>0.10010372755491315</c:v>
                </c:pt>
                <c:pt idx="252">
                  <c:v>0.08462615142406116</c:v>
                </c:pt>
                <c:pt idx="253">
                  <c:v>0.3677731880058438</c:v>
                </c:pt>
                <c:pt idx="254">
                  <c:v>0.32643952482407596</c:v>
                </c:pt>
                <c:pt idx="255">
                  <c:v>0.2916568286990438</c:v>
                </c:pt>
                <c:pt idx="256">
                  <c:v>0.26094519472465927</c:v>
                </c:pt>
                <c:pt idx="257">
                  <c:v>0.2262654816640406</c:v>
                </c:pt>
                <c:pt idx="258">
                  <c:v>0.20005327010233476</c:v>
                </c:pt>
                <c:pt idx="259">
                  <c:v>0.179276679886261</c:v>
                </c:pt>
                <c:pt idx="260">
                  <c:v>0.16013257405077336</c:v>
                </c:pt>
                <c:pt idx="261">
                  <c:v>0.1426000516523916</c:v>
                </c:pt>
                <c:pt idx="262">
                  <c:v>0.1266339449826807</c:v>
                </c:pt>
                <c:pt idx="263">
                  <c:v>0.11104948363010803</c:v>
                </c:pt>
                <c:pt idx="264">
                  <c:v>0.09812054322763575</c:v>
                </c:pt>
                <c:pt idx="265">
                  <c:v>0.08562076266605083</c:v>
                </c:pt>
                <c:pt idx="266">
                  <c:v>0.3719123703678871</c:v>
                </c:pt>
                <c:pt idx="267">
                  <c:v>0.35154171326249745</c:v>
                </c:pt>
                <c:pt idx="268">
                  <c:v>0.3247856912482445</c:v>
                </c:pt>
                <c:pt idx="269">
                  <c:v>0.2923160912460208</c:v>
                </c:pt>
                <c:pt idx="270">
                  <c:v>0.26366443082454405</c:v>
                </c:pt>
                <c:pt idx="271">
                  <c:v>0.23471113435596447</c:v>
                </c:pt>
                <c:pt idx="272">
                  <c:v>0.2078406448346755</c:v>
                </c:pt>
                <c:pt idx="273">
                  <c:v>0.1780959842468819</c:v>
                </c:pt>
                <c:pt idx="274">
                  <c:v>0.1530885443437535</c:v>
                </c:pt>
                <c:pt idx="275">
                  <c:v>0.13486237552831207</c:v>
                </c:pt>
                <c:pt idx="276">
                  <c:v>0.1184335367777634</c:v>
                </c:pt>
                <c:pt idx="277">
                  <c:v>0.10794536746907911</c:v>
                </c:pt>
                <c:pt idx="278">
                  <c:v>0.09630861825704634</c:v>
                </c:pt>
                <c:pt idx="279">
                  <c:v>0.08666273380142875</c:v>
                </c:pt>
                <c:pt idx="280">
                  <c:v>0.3725229752720885</c:v>
                </c:pt>
                <c:pt idx="281">
                  <c:v>0.3475059798499965</c:v>
                </c:pt>
                <c:pt idx="282">
                  <c:v>0.31632537354946033</c:v>
                </c:pt>
                <c:pt idx="283">
                  <c:v>-0.002255288362093388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'DAILY WATER BALANCE'!$O$35</c:f>
              <c:strCache>
                <c:ptCount val="1"/>
                <c:pt idx="0">
                  <c:v>Kcc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'DAILY WATER BALANCE'!$B$36:$B$400</c:f>
              <c:numCache/>
            </c:numRef>
          </c:xVal>
          <c:yVal>
            <c:numRef>
              <c:f>'DAILY WATER BALANCE'!$O$36:$O$400</c:f>
              <c:numCache>
                <c:ptCount val="365"/>
                <c:pt idx="0">
                  <c:v>0</c:v>
                </c:pt>
                <c:pt idx="1">
                  <c:v>0.5010085552180255</c:v>
                </c:pt>
                <c:pt idx="2">
                  <c:v>0.49999792061506604</c:v>
                </c:pt>
                <c:pt idx="3">
                  <c:v>0.49899135912239934</c:v>
                </c:pt>
                <c:pt idx="4">
                  <c:v>0.4964770387673537</c:v>
                </c:pt>
                <c:pt idx="5">
                  <c:v>0.4954846673093955</c:v>
                </c:pt>
                <c:pt idx="6">
                  <c:v>0.49348774013866104</c:v>
                </c:pt>
                <c:pt idx="7">
                  <c:v>0.5040532233520963</c:v>
                </c:pt>
                <c:pt idx="8">
                  <c:v>0.5206668978955385</c:v>
                </c:pt>
                <c:pt idx="9">
                  <c:v>0.5158765319570753</c:v>
                </c:pt>
                <c:pt idx="10">
                  <c:v>0.5941022353925358</c:v>
                </c:pt>
                <c:pt idx="11">
                  <c:v>0.6241420608378704</c:v>
                </c:pt>
                <c:pt idx="12">
                  <c:v>0.5608133060917089</c:v>
                </c:pt>
                <c:pt idx="13">
                  <c:v>0.5292765440813073</c:v>
                </c:pt>
                <c:pt idx="14">
                  <c:v>0.5140759912055397</c:v>
                </c:pt>
                <c:pt idx="15">
                  <c:v>0.5041884297104262</c:v>
                </c:pt>
                <c:pt idx="16">
                  <c:v>0.4996159168172984</c:v>
                </c:pt>
                <c:pt idx="17">
                  <c:v>0.4965945591976522</c:v>
                </c:pt>
                <c:pt idx="18">
                  <c:v>0.49459315888493266</c:v>
                </c:pt>
                <c:pt idx="19">
                  <c:v>0.4921010002049951</c:v>
                </c:pt>
                <c:pt idx="20">
                  <c:v>0.4906140210907771</c:v>
                </c:pt>
                <c:pt idx="21">
                  <c:v>0.48913153517386065</c:v>
                </c:pt>
                <c:pt idx="22">
                  <c:v>0.4866668965529729</c:v>
                </c:pt>
                <c:pt idx="23">
                  <c:v>0.5351448122363667</c:v>
                </c:pt>
                <c:pt idx="24">
                  <c:v>0.5164940223796556</c:v>
                </c:pt>
                <c:pt idx="25">
                  <c:v>0.5698542097747059</c:v>
                </c:pt>
                <c:pt idx="26">
                  <c:v>0.5517019609903653</c:v>
                </c:pt>
                <c:pt idx="27">
                  <c:v>0.5238535502295808</c:v>
                </c:pt>
                <c:pt idx="28">
                  <c:v>0.5103428094500779</c:v>
                </c:pt>
                <c:pt idx="29">
                  <c:v>0.5084201734641906</c:v>
                </c:pt>
                <c:pt idx="30">
                  <c:v>0.502416401755364</c:v>
                </c:pt>
                <c:pt idx="31">
                  <c:v>0.49836467922616695</c:v>
                </c:pt>
                <c:pt idx="32">
                  <c:v>0.4953508882914534</c:v>
                </c:pt>
                <c:pt idx="33">
                  <c:v>0.4933545002836304</c:v>
                </c:pt>
                <c:pt idx="34">
                  <c:v>0.4898734324521473</c:v>
                </c:pt>
                <c:pt idx="35">
                  <c:v>0.4864169267423037</c:v>
                </c:pt>
                <c:pt idx="36">
                  <c:v>0.4839933650638622</c:v>
                </c:pt>
                <c:pt idx="37">
                  <c:v>0.48061255755253285</c:v>
                </c:pt>
                <c:pt idx="38">
                  <c:v>0.47532351356136476</c:v>
                </c:pt>
                <c:pt idx="39">
                  <c:v>0.4700539981774734</c:v>
                </c:pt>
                <c:pt idx="40">
                  <c:v>0.5334122620926762</c:v>
                </c:pt>
                <c:pt idx="41">
                  <c:v>0.5307139567026768</c:v>
                </c:pt>
                <c:pt idx="42">
                  <c:v>0.5379528347560608</c:v>
                </c:pt>
                <c:pt idx="43">
                  <c:v>0.5466719789753871</c:v>
                </c:pt>
                <c:pt idx="44">
                  <c:v>0.5205814157678432</c:v>
                </c:pt>
                <c:pt idx="45">
                  <c:v>0.5084541185561101</c:v>
                </c:pt>
                <c:pt idx="46">
                  <c:v>0.5032024606260623</c:v>
                </c:pt>
                <c:pt idx="47">
                  <c:v>0.5000797069413156</c:v>
                </c:pt>
                <c:pt idx="48">
                  <c:v>0.5501757284746582</c:v>
                </c:pt>
                <c:pt idx="49">
                  <c:v>0.5293449507277174</c:v>
                </c:pt>
                <c:pt idx="50">
                  <c:v>0.5756048803935419</c:v>
                </c:pt>
                <c:pt idx="51">
                  <c:v>0.5742175665608009</c:v>
                </c:pt>
                <c:pt idx="52">
                  <c:v>0.5694129615880803</c:v>
                </c:pt>
                <c:pt idx="53">
                  <c:v>0.5848816741744424</c:v>
                </c:pt>
                <c:pt idx="54">
                  <c:v>0.5405867340304283</c:v>
                </c:pt>
                <c:pt idx="55">
                  <c:v>0.5688800996460686</c:v>
                </c:pt>
                <c:pt idx="56">
                  <c:v>0.5725836611752071</c:v>
                </c:pt>
                <c:pt idx="57">
                  <c:v>0.5336954340631713</c:v>
                </c:pt>
                <c:pt idx="58">
                  <c:v>0.5125448052212512</c:v>
                </c:pt>
                <c:pt idx="59">
                  <c:v>0.5021400174430752</c:v>
                </c:pt>
                <c:pt idx="60">
                  <c:v>0.5033328737239122</c:v>
                </c:pt>
                <c:pt idx="61">
                  <c:v>0.5074576158843533</c:v>
                </c:pt>
                <c:pt idx="62">
                  <c:v>0.5110170811729732</c:v>
                </c:pt>
                <c:pt idx="63">
                  <c:v>0.6259176905682357</c:v>
                </c:pt>
                <c:pt idx="64">
                  <c:v>0.5675562621266137</c:v>
                </c:pt>
                <c:pt idx="65">
                  <c:v>0.5312045314195785</c:v>
                </c:pt>
                <c:pt idx="66">
                  <c:v>0.5129256294482122</c:v>
                </c:pt>
                <c:pt idx="67">
                  <c:v>0.5043945777782411</c:v>
                </c:pt>
                <c:pt idx="68">
                  <c:v>0.5019207905751986</c:v>
                </c:pt>
                <c:pt idx="69">
                  <c:v>0.49433354700498916</c:v>
                </c:pt>
                <c:pt idx="70">
                  <c:v>0.48885328323432237</c:v>
                </c:pt>
                <c:pt idx="71">
                  <c:v>0.4819566090734406</c:v>
                </c:pt>
                <c:pt idx="72">
                  <c:v>0.4761274782385421</c:v>
                </c:pt>
                <c:pt idx="73">
                  <c:v>0.4708972034815464</c:v>
                </c:pt>
                <c:pt idx="74">
                  <c:v>0.46757459244621075</c:v>
                </c:pt>
                <c:pt idx="75">
                  <c:v>0.46245638851623716</c:v>
                </c:pt>
                <c:pt idx="76">
                  <c:v>0.4563966946092837</c:v>
                </c:pt>
                <c:pt idx="77">
                  <c:v>0.44995791348870173</c:v>
                </c:pt>
                <c:pt idx="78">
                  <c:v>0.44406199055529566</c:v>
                </c:pt>
                <c:pt idx="79">
                  <c:v>0.4373493646870707</c:v>
                </c:pt>
                <c:pt idx="80">
                  <c:v>0.43161865505430463</c:v>
                </c:pt>
                <c:pt idx="81">
                  <c:v>0.4272689702343948</c:v>
                </c:pt>
                <c:pt idx="82">
                  <c:v>0.4212411190000407</c:v>
                </c:pt>
                <c:pt idx="83">
                  <c:v>0.442879193829624</c:v>
                </c:pt>
                <c:pt idx="84">
                  <c:v>0.4400977202810981</c:v>
                </c:pt>
                <c:pt idx="85">
                  <c:v>0.43344501997227075</c:v>
                </c:pt>
                <c:pt idx="86">
                  <c:v>0.42689288465017133</c:v>
                </c:pt>
                <c:pt idx="87">
                  <c:v>0.4195866755265287</c:v>
                </c:pt>
                <c:pt idx="88">
                  <c:v>0.4118962171168341</c:v>
                </c:pt>
                <c:pt idx="89">
                  <c:v>0.40421951767493747</c:v>
                </c:pt>
                <c:pt idx="90">
                  <c:v>0.3961800884080375</c:v>
                </c:pt>
                <c:pt idx="91">
                  <c:v>0.38953906403058663</c:v>
                </c:pt>
                <c:pt idx="92">
                  <c:v>0.3834137987872477</c:v>
                </c:pt>
                <c:pt idx="93">
                  <c:v>0.37738112560266796</c:v>
                </c:pt>
                <c:pt idx="94">
                  <c:v>0.3714348760368316</c:v>
                </c:pt>
                <c:pt idx="95">
                  <c:v>0.36440631674900936</c:v>
                </c:pt>
                <c:pt idx="96">
                  <c:v>0.38403703112812293</c:v>
                </c:pt>
                <c:pt idx="97">
                  <c:v>0.3783936099951981</c:v>
                </c:pt>
                <c:pt idx="98">
                  <c:v>0.37401501561558953</c:v>
                </c:pt>
                <c:pt idx="99">
                  <c:v>0.3664959177978305</c:v>
                </c:pt>
                <c:pt idx="100">
                  <c:v>0.3590849508213454</c:v>
                </c:pt>
                <c:pt idx="101">
                  <c:v>0.35333632816477656</c:v>
                </c:pt>
                <c:pt idx="102">
                  <c:v>0.34853494940452645</c:v>
                </c:pt>
                <c:pt idx="103">
                  <c:v>0.3429162418169281</c:v>
                </c:pt>
                <c:pt idx="104">
                  <c:v>0.3373668735074734</c:v>
                </c:pt>
                <c:pt idx="105">
                  <c:v>0.3307951655497142</c:v>
                </c:pt>
                <c:pt idx="106">
                  <c:v>0.3249374795181376</c:v>
                </c:pt>
                <c:pt idx="107">
                  <c:v>0.3187409215739114</c:v>
                </c:pt>
                <c:pt idx="108">
                  <c:v>0.31607385254565373</c:v>
                </c:pt>
                <c:pt idx="109">
                  <c:v>0.3099946293322275</c:v>
                </c:pt>
                <c:pt idx="110">
                  <c:v>0.390883074963592</c:v>
                </c:pt>
                <c:pt idx="111">
                  <c:v>0.3829356111164674</c:v>
                </c:pt>
                <c:pt idx="112">
                  <c:v>0.3758624558320964</c:v>
                </c:pt>
                <c:pt idx="113">
                  <c:v>0.3673065961525748</c:v>
                </c:pt>
                <c:pt idx="114">
                  <c:v>0.35717482560845804</c:v>
                </c:pt>
                <c:pt idx="115">
                  <c:v>0.34656459140009216</c:v>
                </c:pt>
                <c:pt idx="116">
                  <c:v>0.338290428411414</c:v>
                </c:pt>
                <c:pt idx="117">
                  <c:v>0.33000021338208363</c:v>
                </c:pt>
                <c:pt idx="118">
                  <c:v>0.3207223158911657</c:v>
                </c:pt>
                <c:pt idx="119">
                  <c:v>0.31032666379697943</c:v>
                </c:pt>
                <c:pt idx="120">
                  <c:v>0.29974432324633266</c:v>
                </c:pt>
                <c:pt idx="121">
                  <c:v>0.2880100764820491</c:v>
                </c:pt>
                <c:pt idx="122">
                  <c:v>0.2726143301144214</c:v>
                </c:pt>
                <c:pt idx="123">
                  <c:v>0.25762414808664413</c:v>
                </c:pt>
                <c:pt idx="124">
                  <c:v>0.2445255139882386</c:v>
                </c:pt>
                <c:pt idx="125">
                  <c:v>0.2322551735948991</c:v>
                </c:pt>
                <c:pt idx="126">
                  <c:v>0.2191297245135715</c:v>
                </c:pt>
                <c:pt idx="127">
                  <c:v>0.20512009125346417</c:v>
                </c:pt>
                <c:pt idx="128">
                  <c:v>0.19091969992825364</c:v>
                </c:pt>
                <c:pt idx="129">
                  <c:v>0.17810766615238607</c:v>
                </c:pt>
                <c:pt idx="130">
                  <c:v>0.16422134448833958</c:v>
                </c:pt>
                <c:pt idx="131">
                  <c:v>0.1515774292327092</c:v>
                </c:pt>
                <c:pt idx="132">
                  <c:v>0.1412316191097262</c:v>
                </c:pt>
                <c:pt idx="133">
                  <c:v>0.13308759392633712</c:v>
                </c:pt>
                <c:pt idx="134">
                  <c:v>0.12159492322045655</c:v>
                </c:pt>
                <c:pt idx="135">
                  <c:v>0.1127004018368577</c:v>
                </c:pt>
                <c:pt idx="136">
                  <c:v>0.09996707277621307</c:v>
                </c:pt>
                <c:pt idx="137">
                  <c:v>0.0872155585112708</c:v>
                </c:pt>
                <c:pt idx="138">
                  <c:v>0.07334238716254571</c:v>
                </c:pt>
                <c:pt idx="139">
                  <c:v>0.06002278724497594</c:v>
                </c:pt>
                <c:pt idx="140">
                  <c:v>0.04609741017584885</c:v>
                </c:pt>
                <c:pt idx="141">
                  <c:v>0.0306044766350315</c:v>
                </c:pt>
                <c:pt idx="142">
                  <c:v>0.017475004960677745</c:v>
                </c:pt>
                <c:pt idx="143">
                  <c:v>0.0039176430962771895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yVal>
          <c:smooth val="0"/>
        </c:ser>
        <c:axId val="58547154"/>
        <c:axId val="57162339"/>
      </c:scatterChart>
      <c:scatterChart>
        <c:scatterStyle val="lineMarker"/>
        <c:varyColors val="0"/>
        <c:ser>
          <c:idx val="3"/>
          <c:order val="3"/>
          <c:tx>
            <c:strRef>
              <c:f>'DAILY WATER BALANCE'!$W$35</c:f>
              <c:strCache>
                <c:ptCount val="1"/>
                <c:pt idx="0">
                  <c:v>SWP (y2)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'DAILY WATER BALANCE'!$B$36:$B$400</c:f>
              <c:numCache/>
            </c:numRef>
          </c:xVal>
          <c:yVal>
            <c:numRef>
              <c:f>'DAILY WATER BALANCE'!$W$36:$W$400</c:f>
              <c:numCache>
                <c:ptCount val="365"/>
                <c:pt idx="0">
                  <c:v>0.14930102080601254</c:v>
                </c:pt>
                <c:pt idx="1">
                  <c:v>0.1500014450767226</c:v>
                </c:pt>
                <c:pt idx="2">
                  <c:v>0.15070287960755407</c:v>
                </c:pt>
                <c:pt idx="3">
                  <c:v>0.15247188483819485</c:v>
                </c:pt>
                <c:pt idx="4">
                  <c:v>0.15317678396963913</c:v>
                </c:pt>
                <c:pt idx="5">
                  <c:v>0.15460685283716333</c:v>
                </c:pt>
                <c:pt idx="6">
                  <c:v>0.14721396756888172</c:v>
                </c:pt>
                <c:pt idx="7">
                  <c:v>0.13641046677013466</c:v>
                </c:pt>
                <c:pt idx="8">
                  <c:v>0.13942718992179454</c:v>
                </c:pt>
                <c:pt idx="9">
                  <c:v>0.0985230379871042</c:v>
                </c:pt>
                <c:pt idx="10">
                  <c:v>0.08668534400357836</c:v>
                </c:pt>
                <c:pt idx="11">
                  <c:v>0.11392340972609288</c:v>
                </c:pt>
                <c:pt idx="12">
                  <c:v>0.13117877648317783</c:v>
                </c:pt>
                <c:pt idx="13">
                  <c:v>0.1405812585791113</c:v>
                </c:pt>
                <c:pt idx="14">
                  <c:v>0.1471220828063385</c:v>
                </c:pt>
                <c:pt idx="15">
                  <c:v>0.1502671973229284</c:v>
                </c:pt>
                <c:pt idx="16">
                  <c:v>0.15238866015583555</c:v>
                </c:pt>
                <c:pt idx="17">
                  <c:v>0.15381329888662976</c:v>
                </c:pt>
                <c:pt idx="18">
                  <c:v>0.15560915993924204</c:v>
                </c:pt>
                <c:pt idx="19">
                  <c:v>0.15669239514638855</c:v>
                </c:pt>
                <c:pt idx="20">
                  <c:v>0.15778117037183775</c:v>
                </c:pt>
                <c:pt idx="21">
                  <c:v>0.1596109625599453</c:v>
                </c:pt>
                <c:pt idx="22">
                  <c:v>0.12774758868597016</c:v>
                </c:pt>
                <c:pt idx="23">
                  <c:v>0.1390339662753983</c:v>
                </c:pt>
                <c:pt idx="24">
                  <c:v>0.10947763188827633</c:v>
                </c:pt>
                <c:pt idx="25">
                  <c:v>0.11861955903307456</c:v>
                </c:pt>
                <c:pt idx="26">
                  <c:v>0.13444605305152663</c:v>
                </c:pt>
                <c:pt idx="27">
                  <c:v>0.14300995093332936</c:v>
                </c:pt>
                <c:pt idx="28">
                  <c:v>0.1442799391058677</c:v>
                </c:pt>
                <c:pt idx="29">
                  <c:v>0.14833168953772552</c:v>
                </c:pt>
                <c:pt idx="30">
                  <c:v>0.15114153195376326</c:v>
                </c:pt>
                <c:pt idx="31">
                  <c:v>0.15327210161228721</c:v>
                </c:pt>
                <c:pt idx="32">
                  <c:v>0.15470282642405728</c:v>
                </c:pt>
                <c:pt idx="33">
                  <c:v>0.15723519708863148</c:v>
                </c:pt>
                <c:pt idx="34">
                  <c:v>0.1597979308662351</c:v>
                </c:pt>
                <c:pt idx="35">
                  <c:v>0.16162404676446215</c:v>
                </c:pt>
                <c:pt idx="36">
                  <c:v>0.16421247523483276</c:v>
                </c:pt>
                <c:pt idx="37">
                  <c:v>0.1683600764352912</c:v>
                </c:pt>
                <c:pt idx="38">
                  <c:v>0.17261506028227477</c:v>
                </c:pt>
                <c:pt idx="39">
                  <c:v>0.1287495461406149</c:v>
                </c:pt>
                <c:pt idx="40">
                  <c:v>0.13032842674118908</c:v>
                </c:pt>
                <c:pt idx="41">
                  <c:v>0.12614302239922437</c:v>
                </c:pt>
                <c:pt idx="42">
                  <c:v>0.12130924659236818</c:v>
                </c:pt>
                <c:pt idx="43">
                  <c:v>0.13646362405982038</c:v>
                </c:pt>
                <c:pt idx="44">
                  <c:v>0.14425740243289856</c:v>
                </c:pt>
                <c:pt idx="45">
                  <c:v>0.1477936830248779</c:v>
                </c:pt>
                <c:pt idx="46">
                  <c:v>0.14994461965291234</c:v>
                </c:pt>
                <c:pt idx="47">
                  <c:v>0.11942822405468558</c:v>
                </c:pt>
                <c:pt idx="48">
                  <c:v>0.13113816106779483</c:v>
                </c:pt>
                <c:pt idx="49">
                  <c:v>0.10675562024286135</c:v>
                </c:pt>
                <c:pt idx="50">
                  <c:v>0.10740495475784184</c:v>
                </c:pt>
                <c:pt idx="51">
                  <c:v>0.10968983309227871</c:v>
                </c:pt>
                <c:pt idx="52">
                  <c:v>0.10252999230785134</c:v>
                </c:pt>
                <c:pt idx="53">
                  <c:v>0.12465939624355782</c:v>
                </c:pt>
                <c:pt idx="54">
                  <c:v>0.10994673565666821</c:v>
                </c:pt>
                <c:pt idx="55">
                  <c:v>0.1081756555263817</c:v>
                </c:pt>
                <c:pt idx="56">
                  <c:v>0.12858515561458334</c:v>
                </c:pt>
                <c:pt idx="57">
                  <c:v>0.14157150383056588</c:v>
                </c:pt>
                <c:pt idx="58">
                  <c:v>0.1485214022362881</c:v>
                </c:pt>
                <c:pt idx="59">
                  <c:v>0.14770464516581192</c:v>
                </c:pt>
                <c:pt idx="60">
                  <c:v>0.14492071781916246</c:v>
                </c:pt>
                <c:pt idx="61">
                  <c:v>0.14256767199569023</c:v>
                </c:pt>
                <c:pt idx="62">
                  <c:v>0.08603948843622776</c:v>
                </c:pt>
                <c:pt idx="63">
                  <c:v>0.11058804210165364</c:v>
                </c:pt>
                <c:pt idx="64">
                  <c:v>0.13003969149695915</c:v>
                </c:pt>
                <c:pt idx="65">
                  <c:v>0.14132445589357479</c:v>
                </c:pt>
                <c:pt idx="66">
                  <c:v>0.14698211624309387</c:v>
                </c:pt>
                <c:pt idx="67">
                  <c:v>0.14867208392251874</c:v>
                </c:pt>
                <c:pt idx="68">
                  <c:v>0.15399923811346306</c:v>
                </c:pt>
                <c:pt idx="69">
                  <c:v>0.15798651317858575</c:v>
                </c:pt>
                <c:pt idx="70">
                  <c:v>0.16317765723368105</c:v>
                </c:pt>
                <c:pt idx="71">
                  <c:v>0.16772176795968652</c:v>
                </c:pt>
                <c:pt idx="72">
                  <c:v>0.17192579451365597</c:v>
                </c:pt>
                <c:pt idx="73">
                  <c:v>0.17466066602382457</c:v>
                </c:pt>
                <c:pt idx="74">
                  <c:v>0.17897398932053335</c:v>
                </c:pt>
                <c:pt idx="75">
                  <c:v>0.18424325882751108</c:v>
                </c:pt>
                <c:pt idx="76">
                  <c:v>0.19004270017628636</c:v>
                </c:pt>
                <c:pt idx="77">
                  <c:v>0.1955417454095781</c:v>
                </c:pt>
                <c:pt idx="78">
                  <c:v>0.20203122334124252</c:v>
                </c:pt>
                <c:pt idx="79">
                  <c:v>0.20777198222386573</c:v>
                </c:pt>
                <c:pt idx="80">
                  <c:v>0.21225722885575568</c:v>
                </c:pt>
                <c:pt idx="81">
                  <c:v>0.2186620544375337</c:v>
                </c:pt>
                <c:pt idx="82">
                  <c:v>0.19666727555333996</c:v>
                </c:pt>
                <c:pt idx="83">
                  <c:v>0.1993441544005932</c:v>
                </c:pt>
                <c:pt idx="84">
                  <c:v>0.20592189028408836</c:v>
                </c:pt>
                <c:pt idx="85">
                  <c:v>0.2126503415155755</c:v>
                </c:pt>
                <c:pt idx="86">
                  <c:v>0.2204594228580293</c:v>
                </c:pt>
                <c:pt idx="87">
                  <c:v>0.22904511156597432</c:v>
                </c:pt>
                <c:pt idx="88">
                  <c:v>0.2380091180000489</c:v>
                </c:pt>
                <c:pt idx="89">
                  <c:v>0.24784105489704417</c:v>
                </c:pt>
                <c:pt idx="90">
                  <c:v>0.25632342075589426</c:v>
                </c:pt>
                <c:pt idx="91">
                  <c:v>0.2644502587758458</c:v>
                </c:pt>
                <c:pt idx="92">
                  <c:v>0.2727511465880742</c:v>
                </c:pt>
                <c:pt idx="93">
                  <c:v>0.2812336974925381</c:v>
                </c:pt>
                <c:pt idx="94">
                  <c:v>0.2916623195767627</c:v>
                </c:pt>
                <c:pt idx="95">
                  <c:v>0.2636097015232832</c:v>
                </c:pt>
                <c:pt idx="96">
                  <c:v>0.2713368739565013</c:v>
                </c:pt>
                <c:pt idx="97">
                  <c:v>0.2775155817693383</c:v>
                </c:pt>
                <c:pt idx="98">
                  <c:v>0.2885152095704064</c:v>
                </c:pt>
                <c:pt idx="99">
                  <c:v>0.2998602523496962</c:v>
                </c:pt>
                <c:pt idx="100">
                  <c:v>0.3090218174823408</c:v>
                </c:pt>
                <c:pt idx="101">
                  <c:v>0.3169260944872161</c:v>
                </c:pt>
                <c:pt idx="102">
                  <c:v>0.32647888816886655</c:v>
                </c:pt>
                <c:pt idx="103">
                  <c:v>0.3362469034371266</c:v>
                </c:pt>
                <c:pt idx="104">
                  <c:v>0.3482610819149704</c:v>
                </c:pt>
                <c:pt idx="105">
                  <c:v>0.3593961187303567</c:v>
                </c:pt>
                <c:pt idx="106">
                  <c:v>0.37163264953406183</c:v>
                </c:pt>
                <c:pt idx="107">
                  <c:v>0.37704936995901756</c:v>
                </c:pt>
                <c:pt idx="108">
                  <c:v>0.389745870989918</c:v>
                </c:pt>
                <c:pt idx="109">
                  <c:v>0.25457962057677513</c:v>
                </c:pt>
                <c:pt idx="110">
                  <c:v>0.26509732480696774</c:v>
                </c:pt>
                <c:pt idx="111">
                  <c:v>0.2748887170166156</c:v>
                </c:pt>
                <c:pt idx="112">
                  <c:v>0.28730499495262385</c:v>
                </c:pt>
                <c:pt idx="113">
                  <c:v>0.30286862746909604</c:v>
                </c:pt>
                <c:pt idx="114">
                  <c:v>0.3202382514317446</c:v>
                </c:pt>
                <c:pt idx="115">
                  <c:v>0.334597732601382</c:v>
                </c:pt>
                <c:pt idx="116">
                  <c:v>0.3497482506974199</c:v>
                </c:pt>
                <c:pt idx="117">
                  <c:v>0.3676675401236183</c:v>
                </c:pt>
                <c:pt idx="118">
                  <c:v>0.38903959973843627</c:v>
                </c:pt>
                <c:pt idx="119">
                  <c:v>0.4123076104896932</c:v>
                </c:pt>
                <c:pt idx="120">
                  <c:v>0.44004190165832957</c:v>
                </c:pt>
                <c:pt idx="121">
                  <c:v>0.4798190426426649</c:v>
                </c:pt>
                <c:pt idx="122">
                  <c:v>0.5226591356056156</c:v>
                </c:pt>
                <c:pt idx="123">
                  <c:v>0.563803960135722</c:v>
                </c:pt>
                <c:pt idx="124">
                  <c:v>0.6058320572670138</c:v>
                </c:pt>
                <c:pt idx="125">
                  <c:v>0.6549182782991746</c:v>
                </c:pt>
                <c:pt idx="126">
                  <c:v>0.7125422015022046</c:v>
                </c:pt>
                <c:pt idx="127">
                  <c:v>0.7771146578856387</c:v>
                </c:pt>
                <c:pt idx="128">
                  <c:v>0.8413319268366007</c:v>
                </c:pt>
                <c:pt idx="129">
                  <c:v>0.9180846005838695</c:v>
                </c:pt>
                <c:pt idx="130">
                  <c:v>0.9951993191570371</c:v>
                </c:pt>
                <c:pt idx="131">
                  <c:v>1.0639920689465514</c:v>
                </c:pt>
                <c:pt idx="132">
                  <c:v>1.122088108871148</c:v>
                </c:pt>
                <c:pt idx="133">
                  <c:v>1.2105254157306653</c:v>
                </c:pt>
                <c:pt idx="134">
                  <c:v>1.2846125040313274</c:v>
                </c:pt>
                <c:pt idx="135">
                  <c:v>1.400139959064925</c:v>
                </c:pt>
                <c:pt idx="136">
                  <c:v>1.5282341956775687</c:v>
                </c:pt>
                <c:pt idx="137">
                  <c:v>1.6835109688093346</c:v>
                </c:pt>
                <c:pt idx="138">
                  <c:v>1.850277004035257</c:v>
                </c:pt>
                <c:pt idx="139">
                  <c:v>2.0457417190678995</c:v>
                </c:pt>
                <c:pt idx="140">
                  <c:v>2.292345769069446</c:v>
                </c:pt>
                <c:pt idx="141">
                  <c:v>2.5289665792442064</c:v>
                </c:pt>
                <c:pt idx="142">
                  <c:v>2.8039437498813875</c:v>
                </c:pt>
                <c:pt idx="143">
                  <c:v>3.1098068385974496</c:v>
                </c:pt>
                <c:pt idx="144">
                  <c:v>3.354438542850411</c:v>
                </c:pt>
                <c:pt idx="145">
                  <c:v>3.623745463407064</c:v>
                </c:pt>
                <c:pt idx="146">
                  <c:v>3.955673592897016</c:v>
                </c:pt>
                <c:pt idx="147">
                  <c:v>4.387333581645513</c:v>
                </c:pt>
                <c:pt idx="148">
                  <c:v>4.929139044201143</c:v>
                </c:pt>
                <c:pt idx="149">
                  <c:v>5.614408393327642</c:v>
                </c:pt>
                <c:pt idx="150">
                  <c:v>6.461022747330969</c:v>
                </c:pt>
                <c:pt idx="151">
                  <c:v>7.0594530218244</c:v>
                </c:pt>
                <c:pt idx="152">
                  <c:v>7.708157631041064</c:v>
                </c:pt>
                <c:pt idx="153">
                  <c:v>8.386414663080917</c:v>
                </c:pt>
                <c:pt idx="154">
                  <c:v>9.014904135411676</c:v>
                </c:pt>
                <c:pt idx="155">
                  <c:v>9.578985399440073</c:v>
                </c:pt>
                <c:pt idx="156">
                  <c:v>10.070023401850587</c:v>
                </c:pt>
                <c:pt idx="157">
                  <c:v>10.258803909339944</c:v>
                </c:pt>
                <c:pt idx="158">
                  <c:v>10.389196297786757</c:v>
                </c:pt>
                <c:pt idx="159">
                  <c:v>10.498146327684337</c:v>
                </c:pt>
                <c:pt idx="160">
                  <c:v>10.601178499935212</c:v>
                </c:pt>
                <c:pt idx="161">
                  <c:v>10.75976623498482</c:v>
                </c:pt>
                <c:pt idx="162">
                  <c:v>11.059860041900373</c:v>
                </c:pt>
                <c:pt idx="163">
                  <c:v>7.781126052953757</c:v>
                </c:pt>
                <c:pt idx="164">
                  <c:v>8.564891656314423</c:v>
                </c:pt>
                <c:pt idx="165">
                  <c:v>9.247901422455918</c:v>
                </c:pt>
                <c:pt idx="166">
                  <c:v>9.842256560534269</c:v>
                </c:pt>
                <c:pt idx="167">
                  <c:v>10.322079851502005</c:v>
                </c:pt>
                <c:pt idx="168">
                  <c:v>10.640053667067956</c:v>
                </c:pt>
                <c:pt idx="169">
                  <c:v>10.993566181724548</c:v>
                </c:pt>
                <c:pt idx="170">
                  <c:v>7.674016441100268</c:v>
                </c:pt>
                <c:pt idx="171">
                  <c:v>8.443235484081297</c:v>
                </c:pt>
                <c:pt idx="172">
                  <c:v>9.118017164024966</c:v>
                </c:pt>
                <c:pt idx="173">
                  <c:v>9.575877067476917</c:v>
                </c:pt>
                <c:pt idx="174">
                  <c:v>9.982073208157209</c:v>
                </c:pt>
                <c:pt idx="175">
                  <c:v>10.051056248537058</c:v>
                </c:pt>
                <c:pt idx="176">
                  <c:v>10.295500210557215</c:v>
                </c:pt>
                <c:pt idx="177">
                  <c:v>10.140538743404516</c:v>
                </c:pt>
                <c:pt idx="178">
                  <c:v>10.488330925060204</c:v>
                </c:pt>
                <c:pt idx="179">
                  <c:v>10.808561045958601</c:v>
                </c:pt>
                <c:pt idx="180">
                  <c:v>11.091153029785863</c:v>
                </c:pt>
                <c:pt idx="181">
                  <c:v>7.770135180356878</c:v>
                </c:pt>
                <c:pt idx="182">
                  <c:v>8.534171954957412</c:v>
                </c:pt>
                <c:pt idx="183">
                  <c:v>9.226524595595592</c:v>
                </c:pt>
                <c:pt idx="184">
                  <c:v>9.629972897230774</c:v>
                </c:pt>
                <c:pt idx="185">
                  <c:v>10.108599840021379</c:v>
                </c:pt>
                <c:pt idx="186">
                  <c:v>10.49422825811349</c:v>
                </c:pt>
                <c:pt idx="187">
                  <c:v>10.827178904638403</c:v>
                </c:pt>
                <c:pt idx="188">
                  <c:v>11.095116004821998</c:v>
                </c:pt>
                <c:pt idx="189">
                  <c:v>7.761123004764504</c:v>
                </c:pt>
                <c:pt idx="190">
                  <c:v>8.354943269199195</c:v>
                </c:pt>
                <c:pt idx="191">
                  <c:v>8.934738616740546</c:v>
                </c:pt>
                <c:pt idx="192">
                  <c:v>9.459096242659829</c:v>
                </c:pt>
                <c:pt idx="193">
                  <c:v>9.921267653244342</c:v>
                </c:pt>
                <c:pt idx="194">
                  <c:v>10.28380106075916</c:v>
                </c:pt>
                <c:pt idx="195">
                  <c:v>10.579785829850971</c:v>
                </c:pt>
                <c:pt idx="196">
                  <c:v>10.857957997108207</c:v>
                </c:pt>
                <c:pt idx="197">
                  <c:v>11.08788209620806</c:v>
                </c:pt>
                <c:pt idx="198">
                  <c:v>7.757431565289461</c:v>
                </c:pt>
                <c:pt idx="199">
                  <c:v>8.32333561454719</c:v>
                </c:pt>
                <c:pt idx="200">
                  <c:v>8.853237121173125</c:v>
                </c:pt>
                <c:pt idx="201">
                  <c:v>9.33840471885669</c:v>
                </c:pt>
                <c:pt idx="202">
                  <c:v>9.858723445075391</c:v>
                </c:pt>
                <c:pt idx="203">
                  <c:v>10.265842731832459</c:v>
                </c:pt>
                <c:pt idx="204">
                  <c:v>10.579574100006035</c:v>
                </c:pt>
                <c:pt idx="205">
                  <c:v>10.857787462772935</c:v>
                </c:pt>
                <c:pt idx="206">
                  <c:v>11.077162448488819</c:v>
                </c:pt>
                <c:pt idx="207">
                  <c:v>7.729516136456222</c:v>
                </c:pt>
                <c:pt idx="208">
                  <c:v>8.296889288203795</c:v>
                </c:pt>
                <c:pt idx="209">
                  <c:v>8.802513226604935</c:v>
                </c:pt>
                <c:pt idx="210">
                  <c:v>9.340770597142876</c:v>
                </c:pt>
                <c:pt idx="211">
                  <c:v>9.796643659217947</c:v>
                </c:pt>
                <c:pt idx="212">
                  <c:v>10.194224063909719</c:v>
                </c:pt>
                <c:pt idx="213">
                  <c:v>10.5342246882824</c:v>
                </c:pt>
                <c:pt idx="214">
                  <c:v>10.820015136227171</c:v>
                </c:pt>
                <c:pt idx="215">
                  <c:v>11.05670468296749</c:v>
                </c:pt>
                <c:pt idx="216">
                  <c:v>7.741470542191872</c:v>
                </c:pt>
                <c:pt idx="217">
                  <c:v>8.421590103719739</c:v>
                </c:pt>
                <c:pt idx="218">
                  <c:v>9.04775203270859</c:v>
                </c:pt>
                <c:pt idx="219">
                  <c:v>9.582639316174586</c:v>
                </c:pt>
                <c:pt idx="220">
                  <c:v>10.008614284848043</c:v>
                </c:pt>
                <c:pt idx="221">
                  <c:v>10.359212753045602</c:v>
                </c:pt>
                <c:pt idx="222">
                  <c:v>10.68803774112507</c:v>
                </c:pt>
                <c:pt idx="223">
                  <c:v>10.911922058773248</c:v>
                </c:pt>
                <c:pt idx="224">
                  <c:v>7.640855973427003</c:v>
                </c:pt>
                <c:pt idx="225">
                  <c:v>8.184314677587823</c:v>
                </c:pt>
                <c:pt idx="226">
                  <c:v>8.697535012329137</c:v>
                </c:pt>
                <c:pt idx="227">
                  <c:v>9.246291947305993</c:v>
                </c:pt>
                <c:pt idx="228">
                  <c:v>9.735100043810663</c:v>
                </c:pt>
                <c:pt idx="229">
                  <c:v>10.122142516312062</c:v>
                </c:pt>
                <c:pt idx="230">
                  <c:v>10.456779787356805</c:v>
                </c:pt>
                <c:pt idx="231">
                  <c:v>10.686606939745609</c:v>
                </c:pt>
                <c:pt idx="232">
                  <c:v>10.922659470980363</c:v>
                </c:pt>
                <c:pt idx="233">
                  <c:v>7.653102151955984</c:v>
                </c:pt>
                <c:pt idx="234">
                  <c:v>8.224328447907519</c:v>
                </c:pt>
                <c:pt idx="235">
                  <c:v>8.734901462085833</c:v>
                </c:pt>
                <c:pt idx="236">
                  <c:v>9.25544384740402</c:v>
                </c:pt>
                <c:pt idx="237">
                  <c:v>9.699530292609525</c:v>
                </c:pt>
                <c:pt idx="238">
                  <c:v>10.110221733983964</c:v>
                </c:pt>
                <c:pt idx="239">
                  <c:v>10.462910797705431</c:v>
                </c:pt>
                <c:pt idx="240">
                  <c:v>10.719269020663829</c:v>
                </c:pt>
                <c:pt idx="241">
                  <c:v>10.880307173650083</c:v>
                </c:pt>
                <c:pt idx="242">
                  <c:v>7.610470402873724</c:v>
                </c:pt>
                <c:pt idx="243">
                  <c:v>8.126978157056595</c:v>
                </c:pt>
                <c:pt idx="244">
                  <c:v>8.670754167540705</c:v>
                </c:pt>
                <c:pt idx="245">
                  <c:v>9.172537226904295</c:v>
                </c:pt>
                <c:pt idx="246">
                  <c:v>9.603418933258324</c:v>
                </c:pt>
                <c:pt idx="247">
                  <c:v>9.967682510995902</c:v>
                </c:pt>
                <c:pt idx="248">
                  <c:v>10.323915696982935</c:v>
                </c:pt>
                <c:pt idx="249">
                  <c:v>10.614202937663357</c:v>
                </c:pt>
                <c:pt idx="250">
                  <c:v>10.823965824437511</c:v>
                </c:pt>
                <c:pt idx="251">
                  <c:v>11.005798798389133</c:v>
                </c:pt>
                <c:pt idx="252">
                  <c:v>7.679343332026106</c:v>
                </c:pt>
                <c:pt idx="253">
                  <c:v>8.164937641954005</c:v>
                </c:pt>
                <c:pt idx="254">
                  <c:v>8.573570171037288</c:v>
                </c:pt>
                <c:pt idx="255">
                  <c:v>8.934375228185667</c:v>
                </c:pt>
                <c:pt idx="256">
                  <c:v>9.341797896192524</c:v>
                </c:pt>
                <c:pt idx="257">
                  <c:v>9.649743038361393</c:v>
                </c:pt>
                <c:pt idx="258">
                  <c:v>9.893829654738887</c:v>
                </c:pt>
                <c:pt idx="259">
                  <c:v>10.118737590466468</c:v>
                </c:pt>
                <c:pt idx="260">
                  <c:v>10.324712393081972</c:v>
                </c:pt>
                <c:pt idx="261">
                  <c:v>10.51228469985589</c:v>
                </c:pt>
                <c:pt idx="262">
                  <c:v>10.695373378029135</c:v>
                </c:pt>
                <c:pt idx="263">
                  <c:v>10.847264582666618</c:v>
                </c:pt>
                <c:pt idx="264">
                  <c:v>10.994113950681331</c:v>
                </c:pt>
                <c:pt idx="265">
                  <c:v>7.6307155732635</c:v>
                </c:pt>
                <c:pt idx="266">
                  <c:v>7.870033224260125</c:v>
                </c:pt>
                <c:pt idx="267">
                  <c:v>8.18436713628538</c:v>
                </c:pt>
                <c:pt idx="268">
                  <c:v>8.565825052008258</c:v>
                </c:pt>
                <c:pt idx="269">
                  <c:v>8.902429219156224</c:v>
                </c:pt>
                <c:pt idx="270">
                  <c:v>9.242577053544514</c:v>
                </c:pt>
                <c:pt idx="271">
                  <c:v>9.558255747662741</c:v>
                </c:pt>
                <c:pt idx="272">
                  <c:v>9.907700650923799</c:v>
                </c:pt>
                <c:pt idx="273">
                  <c:v>10.201491948086607</c:v>
                </c:pt>
                <c:pt idx="274">
                  <c:v>10.415615816796853</c:v>
                </c:pt>
                <c:pt idx="275">
                  <c:v>10.608624372094768</c:v>
                </c:pt>
                <c:pt idx="276">
                  <c:v>10.731841017940871</c:v>
                </c:pt>
                <c:pt idx="277">
                  <c:v>10.868551359303469</c:v>
                </c:pt>
                <c:pt idx="278">
                  <c:v>10.981872711568077</c:v>
                </c:pt>
                <c:pt idx="279">
                  <c:v>7.623542091789967</c:v>
                </c:pt>
                <c:pt idx="280">
                  <c:v>7.917445648677166</c:v>
                </c:pt>
                <c:pt idx="281">
                  <c:v>8.283760265720842</c:v>
                </c:pt>
                <c:pt idx="282">
                  <c:v>8.634592793645716</c:v>
                </c:pt>
                <c:pt idx="283">
                  <c:v>8.632396097063904</c:v>
                </c:pt>
                <c:pt idx="284">
                  <c:v>8.632396097063904</c:v>
                </c:pt>
                <c:pt idx="285">
                  <c:v>8.632396097063904</c:v>
                </c:pt>
                <c:pt idx="286">
                  <c:v>8.632396097063904</c:v>
                </c:pt>
                <c:pt idx="287">
                  <c:v>8.632396097063904</c:v>
                </c:pt>
                <c:pt idx="288">
                  <c:v>8.632396097063904</c:v>
                </c:pt>
                <c:pt idx="289">
                  <c:v>8.632396097063904</c:v>
                </c:pt>
                <c:pt idx="290">
                  <c:v>8.632396097063904</c:v>
                </c:pt>
                <c:pt idx="291">
                  <c:v>8.632396097063904</c:v>
                </c:pt>
                <c:pt idx="292">
                  <c:v>8.632396097063904</c:v>
                </c:pt>
                <c:pt idx="293">
                  <c:v>8.632396097063904</c:v>
                </c:pt>
                <c:pt idx="294">
                  <c:v>8.632396097063904</c:v>
                </c:pt>
                <c:pt idx="295">
                  <c:v>8.632396097063904</c:v>
                </c:pt>
                <c:pt idx="296">
                  <c:v>8.632396097063904</c:v>
                </c:pt>
                <c:pt idx="297">
                  <c:v>8.632396097063904</c:v>
                </c:pt>
                <c:pt idx="298">
                  <c:v>8.632396097063904</c:v>
                </c:pt>
                <c:pt idx="299">
                  <c:v>8.632396097063904</c:v>
                </c:pt>
                <c:pt idx="300">
                  <c:v>8.632396097063904</c:v>
                </c:pt>
                <c:pt idx="301">
                  <c:v>8.314911896631912</c:v>
                </c:pt>
                <c:pt idx="302">
                  <c:v>4.050488837422351</c:v>
                </c:pt>
                <c:pt idx="303">
                  <c:v>4.050488837422351</c:v>
                </c:pt>
                <c:pt idx="304">
                  <c:v>4.0172122528359315</c:v>
                </c:pt>
                <c:pt idx="305">
                  <c:v>3.9842558019946495</c:v>
                </c:pt>
                <c:pt idx="306">
                  <c:v>3.9842558019946495</c:v>
                </c:pt>
                <c:pt idx="307">
                  <c:v>3.9516159565907594</c:v>
                </c:pt>
                <c:pt idx="308">
                  <c:v>3.919289232132276</c:v>
                </c:pt>
                <c:pt idx="309">
                  <c:v>3.919289232132276</c:v>
                </c:pt>
                <c:pt idx="310">
                  <c:v>3.919289232132276</c:v>
                </c:pt>
                <c:pt idx="311">
                  <c:v>3.919289232132276</c:v>
                </c:pt>
                <c:pt idx="312">
                  <c:v>3.4147896660022554</c:v>
                </c:pt>
                <c:pt idx="313">
                  <c:v>2.7615620721996224</c:v>
                </c:pt>
                <c:pt idx="314">
                  <c:v>2.20049810545857</c:v>
                </c:pt>
                <c:pt idx="315">
                  <c:v>0.459679358304857</c:v>
                </c:pt>
                <c:pt idx="316">
                  <c:v>0.4393929914230693</c:v>
                </c:pt>
                <c:pt idx="317">
                  <c:v>0.42723528652462955</c:v>
                </c:pt>
                <c:pt idx="318">
                  <c:v>0.4248887515252532</c:v>
                </c:pt>
                <c:pt idx="319">
                  <c:v>0.4248887515252532</c:v>
                </c:pt>
                <c:pt idx="320">
                  <c:v>0.4248887515252532</c:v>
                </c:pt>
                <c:pt idx="321">
                  <c:v>0.42255731567660854</c:v>
                </c:pt>
                <c:pt idx="322">
                  <c:v>0.41556132758687275</c:v>
                </c:pt>
                <c:pt idx="323">
                  <c:v>0.4132897680933204</c:v>
                </c:pt>
                <c:pt idx="324">
                  <c:v>0.21638784591158622</c:v>
                </c:pt>
                <c:pt idx="325">
                  <c:v>0.21638784591158622</c:v>
                </c:pt>
                <c:pt idx="326">
                  <c:v>0.21638784591158622</c:v>
                </c:pt>
                <c:pt idx="327">
                  <c:v>0.12823346993437493</c:v>
                </c:pt>
                <c:pt idx="328">
                  <c:v>0.138302793910696</c:v>
                </c:pt>
                <c:pt idx="329">
                  <c:v>0.14368381154677423</c:v>
                </c:pt>
                <c:pt idx="330">
                  <c:v>0.14680207727776198</c:v>
                </c:pt>
                <c:pt idx="331">
                  <c:v>0.09767179716959745</c:v>
                </c:pt>
                <c:pt idx="332">
                  <c:v>0.11248944692088213</c:v>
                </c:pt>
                <c:pt idx="333">
                  <c:v>0.12675066722950473</c:v>
                </c:pt>
                <c:pt idx="334">
                  <c:v>0.068313124776447</c:v>
                </c:pt>
                <c:pt idx="335">
                  <c:v>0.06616736089121157</c:v>
                </c:pt>
                <c:pt idx="336">
                  <c:v>0.09403780818126739</c:v>
                </c:pt>
                <c:pt idx="337">
                  <c:v>0.11794930031706684</c:v>
                </c:pt>
                <c:pt idx="338">
                  <c:v>0.10923294858981754</c:v>
                </c:pt>
                <c:pt idx="339">
                  <c:v>0.12744081685179365</c:v>
                </c:pt>
                <c:pt idx="340">
                  <c:v>0.13786895359184112</c:v>
                </c:pt>
                <c:pt idx="341">
                  <c:v>0.14345675376233985</c:v>
                </c:pt>
                <c:pt idx="342">
                  <c:v>0.14499026293819578</c:v>
                </c:pt>
                <c:pt idx="343">
                  <c:v>0.14747018733173994</c:v>
                </c:pt>
                <c:pt idx="344">
                  <c:v>0.1487287861560216</c:v>
                </c:pt>
                <c:pt idx="345">
                  <c:v>0.1490200578569753</c:v>
                </c:pt>
                <c:pt idx="346">
                  <c:v>0.12440058642507612</c:v>
                </c:pt>
                <c:pt idx="347">
                  <c:v>0.12717066831724488</c:v>
                </c:pt>
                <c:pt idx="348">
                  <c:v>0.1380332087621515</c:v>
                </c:pt>
                <c:pt idx="349">
                  <c:v>0.14089864544570044</c:v>
                </c:pt>
                <c:pt idx="350">
                  <c:v>0.1304563925283896</c:v>
                </c:pt>
                <c:pt idx="351">
                  <c:v>0.13570806513640396</c:v>
                </c:pt>
                <c:pt idx="352">
                  <c:v>0.13011811524206107</c:v>
                </c:pt>
                <c:pt idx="353">
                  <c:v>0.09657659337196334</c:v>
                </c:pt>
                <c:pt idx="354">
                  <c:v>0.11985737103210868</c:v>
                </c:pt>
                <c:pt idx="355">
                  <c:v>0.11059159983992578</c:v>
                </c:pt>
                <c:pt idx="356">
                  <c:v>0.1276678753434534</c:v>
                </c:pt>
                <c:pt idx="357">
                  <c:v>0.13830658482715144</c:v>
                </c:pt>
                <c:pt idx="358">
                  <c:v>0.14334518478588318</c:v>
                </c:pt>
                <c:pt idx="359">
                  <c:v>0.14425974250286513</c:v>
                </c:pt>
                <c:pt idx="360">
                  <c:v>0.1420630100854283</c:v>
                </c:pt>
                <c:pt idx="361">
                  <c:v>0.09659800759148009</c:v>
                </c:pt>
                <c:pt idx="362">
                  <c:v>0.11061980507941623</c:v>
                </c:pt>
                <c:pt idx="363">
                  <c:v>0.1015087966117238</c:v>
                </c:pt>
                <c:pt idx="364">
                  <c:v>0.12243357181146011</c:v>
                </c:pt>
              </c:numCache>
            </c:numRef>
          </c:yVal>
          <c:smooth val="0"/>
        </c:ser>
        <c:axId val="44699004"/>
        <c:axId val="66746717"/>
      </c:scatterChart>
      <c:valAx>
        <c:axId val="58547154"/>
        <c:scaling>
          <c:orientation val="minMax"/>
          <c:max val="3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m/d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162339"/>
        <c:crosses val="autoZero"/>
        <c:crossBetween val="midCat"/>
        <c:dispUnits/>
        <c:majorUnit val="30"/>
      </c:valAx>
      <c:valAx>
        <c:axId val="571623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LAI, Crop Kc, Kcc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47154"/>
        <c:crosses val="autoZero"/>
        <c:crossBetween val="midCat"/>
        <c:dispUnits/>
      </c:valAx>
      <c:valAx>
        <c:axId val="44699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Plant Canopy Dynamics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6746717"/>
        <c:crosses val="max"/>
        <c:crossBetween val="midCat"/>
        <c:dispUnits/>
      </c:valAx>
      <c:valAx>
        <c:axId val="66746717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Stem Water Potential (bars)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4469900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4875"/>
          <c:y val="0.01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3925"/>
          <c:w val="0.90175"/>
          <c:h val="0.89925"/>
        </c:manualLayout>
      </c:layout>
      <c:scatterChart>
        <c:scatterStyle val="line"/>
        <c:varyColors val="0"/>
        <c:ser>
          <c:idx val="0"/>
          <c:order val="0"/>
          <c:tx>
            <c:strRef>
              <c:f>Oak2001!$B$7</c:f>
              <c:strCache>
                <c:ptCount val="1"/>
                <c:pt idx="0">
                  <c:v>Avg Air Temp (°C)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Oak2001!$A$8:$A$372</c:f>
              <c:strCache/>
            </c:strRef>
          </c:xVal>
          <c:yVal>
            <c:numRef>
              <c:f>Oak2001!$B$8:$B$372</c:f>
              <c:numCache/>
            </c:numRef>
          </c:yVal>
          <c:smooth val="0"/>
        </c:ser>
        <c:ser>
          <c:idx val="1"/>
          <c:order val="1"/>
          <c:tx>
            <c:strRef>
              <c:f>Oak2001!$C$7</c:f>
              <c:strCache>
                <c:ptCount val="1"/>
                <c:pt idx="0">
                  <c:v>CIMIS ETo (mm/day)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Oak2001!$A$8:$A$372</c:f>
              <c:strCache/>
            </c:strRef>
          </c:xVal>
          <c:yVal>
            <c:numRef>
              <c:f>Oak2001!$C$8:$C$372</c:f>
              <c:numCache/>
            </c:numRef>
          </c:yVal>
          <c:smooth val="0"/>
        </c:ser>
        <c:axId val="63849542"/>
        <c:axId val="37774967"/>
      </c:scatterChart>
      <c:scatterChart>
        <c:scatterStyle val="lineMarker"/>
        <c:varyColors val="0"/>
        <c:ser>
          <c:idx val="2"/>
          <c:order val="2"/>
          <c:tx>
            <c:strRef>
              <c:f>Oak2001!$D$7</c:f>
              <c:strCache>
                <c:ptCount val="1"/>
                <c:pt idx="0">
                  <c:v>Precip (mm/day)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Oak2001!$A$8:$A$372</c:f>
              <c:strCache/>
            </c:strRef>
          </c:xVal>
          <c:yVal>
            <c:numRef>
              <c:f>Oak2001!$D$8:$D$372</c:f>
              <c:numCache/>
            </c:numRef>
          </c:yVal>
          <c:smooth val="0"/>
        </c:ser>
        <c:axId val="4430384"/>
        <c:axId val="39873457"/>
      </c:scatterChart>
      <c:valAx>
        <c:axId val="63849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74967"/>
        <c:crosses val="autoZero"/>
        <c:crossBetween val="midCat"/>
        <c:dispUnits/>
      </c:valAx>
      <c:valAx>
        <c:axId val="37774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Tavg, 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849542"/>
        <c:crosses val="autoZero"/>
        <c:crossBetween val="midCat"/>
        <c:dispUnits/>
      </c:valAx>
      <c:valAx>
        <c:axId val="4430384"/>
        <c:scaling>
          <c:orientation val="minMax"/>
        </c:scaling>
        <c:axPos val="b"/>
        <c:delete val="1"/>
        <c:majorTickMark val="in"/>
        <c:minorTickMark val="none"/>
        <c:tickLblPos val="nextTo"/>
        <c:crossAx val="39873457"/>
        <c:crosses val="max"/>
        <c:crossBetween val="midCat"/>
        <c:dispUnits/>
      </c:valAx>
      <c:valAx>
        <c:axId val="39873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43038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5"/>
          <c:y val="0.01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3775"/>
          <c:w val="0.87775"/>
          <c:h val="0.88425"/>
        </c:manualLayout>
      </c:layout>
      <c:scatterChart>
        <c:scatterStyle val="line"/>
        <c:varyColors val="0"/>
        <c:ser>
          <c:idx val="0"/>
          <c:order val="0"/>
          <c:tx>
            <c:strRef>
              <c:f>Med2005!$F$7</c:f>
              <c:strCache>
                <c:ptCount val="1"/>
                <c:pt idx="0">
                  <c:v> Agrimet ETo (in/day)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Med2005!$A$8:$A$372</c:f>
              <c:strCache/>
            </c:strRef>
          </c:xVal>
          <c:yVal>
            <c:numRef>
              <c:f>Med2005!$F$8:$F$372</c:f>
              <c:numCache/>
            </c:numRef>
          </c:yVal>
          <c:smooth val="0"/>
        </c:ser>
        <c:ser>
          <c:idx val="2"/>
          <c:order val="2"/>
          <c:tx>
            <c:strRef>
              <c:f>Med2005!$H$7</c:f>
              <c:strCache>
                <c:ptCount val="1"/>
                <c:pt idx="0">
                  <c:v>Precip (in/day)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Med2005!$A$8:$A$372</c:f>
              <c:strCache/>
            </c:strRef>
          </c:xVal>
          <c:yVal>
            <c:numRef>
              <c:f>Med2005!$H$8:$H$372</c:f>
              <c:numCache/>
            </c:numRef>
          </c:yVal>
          <c:smooth val="0"/>
        </c:ser>
        <c:axId val="23316794"/>
        <c:axId val="8524555"/>
      </c:scatterChart>
      <c:scatterChart>
        <c:scatterStyle val="lineMarker"/>
        <c:varyColors val="0"/>
        <c:ser>
          <c:idx val="1"/>
          <c:order val="1"/>
          <c:tx>
            <c:strRef>
              <c:f>Med2005!$G$7</c:f>
              <c:strCache>
                <c:ptCount val="1"/>
                <c:pt idx="0">
                  <c:v>Avg Air Temp (F)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Med2005!$A$8:$A$372</c:f>
              <c:strCache/>
            </c:strRef>
          </c:xVal>
          <c:yVal>
            <c:numRef>
              <c:f>Med2005!$G$8:$G$372</c:f>
              <c:numCache/>
            </c:numRef>
          </c:yVal>
          <c:smooth val="0"/>
        </c:ser>
        <c:axId val="9612132"/>
        <c:axId val="19400325"/>
      </c:scatterChart>
      <c:valAx>
        <c:axId val="2331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crossAx val="8524555"/>
        <c:crosses val="autoZero"/>
        <c:crossBetween val="midCat"/>
        <c:dispUnits/>
      </c:valAx>
      <c:valAx>
        <c:axId val="8524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PPT, 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16794"/>
        <c:crosses val="autoZero"/>
        <c:crossBetween val="midCat"/>
        <c:dispUnits/>
      </c:valAx>
      <c:valAx>
        <c:axId val="9612132"/>
        <c:scaling>
          <c:orientation val="minMax"/>
        </c:scaling>
        <c:axPos val="b"/>
        <c:delete val="1"/>
        <c:majorTickMark val="in"/>
        <c:minorTickMark val="none"/>
        <c:tickLblPos val="nextTo"/>
        <c:crossAx val="19400325"/>
        <c:crosses val="max"/>
        <c:crossBetween val="midCat"/>
        <c:dispUnits/>
      </c:valAx>
      <c:valAx>
        <c:axId val="19400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Tavg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61213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225"/>
          <c:y val="0.0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'[1]VSIMworksheet'!$J$13</c:f>
              <c:strCache>
                <c:ptCount val="1"/>
                <c:pt idx="0">
                  <c:v>correction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'[1]VSIMworksheet'!$A$14:$A$378</c:f>
              <c:numCache>
                <c:ptCount val="365"/>
                <c:pt idx="0">
                  <c:v>38718</c:v>
                </c:pt>
                <c:pt idx="1">
                  <c:v>38719</c:v>
                </c:pt>
                <c:pt idx="2">
                  <c:v>38720</c:v>
                </c:pt>
                <c:pt idx="3">
                  <c:v>38721</c:v>
                </c:pt>
                <c:pt idx="4">
                  <c:v>38722</c:v>
                </c:pt>
                <c:pt idx="5">
                  <c:v>38723</c:v>
                </c:pt>
                <c:pt idx="6">
                  <c:v>38724</c:v>
                </c:pt>
                <c:pt idx="7">
                  <c:v>38725</c:v>
                </c:pt>
                <c:pt idx="8">
                  <c:v>38726</c:v>
                </c:pt>
                <c:pt idx="9">
                  <c:v>38727</c:v>
                </c:pt>
                <c:pt idx="10">
                  <c:v>38728</c:v>
                </c:pt>
                <c:pt idx="11">
                  <c:v>38729</c:v>
                </c:pt>
                <c:pt idx="12">
                  <c:v>38730</c:v>
                </c:pt>
                <c:pt idx="13">
                  <c:v>38731</c:v>
                </c:pt>
                <c:pt idx="14">
                  <c:v>38732</c:v>
                </c:pt>
                <c:pt idx="15">
                  <c:v>38733</c:v>
                </c:pt>
                <c:pt idx="16">
                  <c:v>38734</c:v>
                </c:pt>
                <c:pt idx="17">
                  <c:v>38735</c:v>
                </c:pt>
                <c:pt idx="18">
                  <c:v>38736</c:v>
                </c:pt>
                <c:pt idx="19">
                  <c:v>38737</c:v>
                </c:pt>
                <c:pt idx="20">
                  <c:v>38738</c:v>
                </c:pt>
                <c:pt idx="21">
                  <c:v>38739</c:v>
                </c:pt>
                <c:pt idx="22">
                  <c:v>38740</c:v>
                </c:pt>
                <c:pt idx="23">
                  <c:v>38741</c:v>
                </c:pt>
                <c:pt idx="24">
                  <c:v>38742</c:v>
                </c:pt>
                <c:pt idx="25">
                  <c:v>38743</c:v>
                </c:pt>
                <c:pt idx="26">
                  <c:v>38744</c:v>
                </c:pt>
                <c:pt idx="27">
                  <c:v>38745</c:v>
                </c:pt>
                <c:pt idx="28">
                  <c:v>38746</c:v>
                </c:pt>
                <c:pt idx="29">
                  <c:v>38747</c:v>
                </c:pt>
                <c:pt idx="30">
                  <c:v>38748</c:v>
                </c:pt>
                <c:pt idx="31">
                  <c:v>38749</c:v>
                </c:pt>
                <c:pt idx="32">
                  <c:v>38750</c:v>
                </c:pt>
                <c:pt idx="33">
                  <c:v>38751</c:v>
                </c:pt>
                <c:pt idx="34">
                  <c:v>38752</c:v>
                </c:pt>
                <c:pt idx="35">
                  <c:v>38753</c:v>
                </c:pt>
                <c:pt idx="36">
                  <c:v>38754</c:v>
                </c:pt>
                <c:pt idx="37">
                  <c:v>38755</c:v>
                </c:pt>
                <c:pt idx="38">
                  <c:v>38756</c:v>
                </c:pt>
                <c:pt idx="39">
                  <c:v>38757</c:v>
                </c:pt>
                <c:pt idx="40">
                  <c:v>38758</c:v>
                </c:pt>
                <c:pt idx="41">
                  <c:v>38759</c:v>
                </c:pt>
                <c:pt idx="42">
                  <c:v>38760</c:v>
                </c:pt>
                <c:pt idx="43">
                  <c:v>38761</c:v>
                </c:pt>
                <c:pt idx="44">
                  <c:v>38762</c:v>
                </c:pt>
                <c:pt idx="45">
                  <c:v>38763</c:v>
                </c:pt>
                <c:pt idx="46">
                  <c:v>38764</c:v>
                </c:pt>
                <c:pt idx="47">
                  <c:v>38765</c:v>
                </c:pt>
                <c:pt idx="48">
                  <c:v>38766</c:v>
                </c:pt>
                <c:pt idx="49">
                  <c:v>38767</c:v>
                </c:pt>
                <c:pt idx="50">
                  <c:v>38768</c:v>
                </c:pt>
                <c:pt idx="51">
                  <c:v>38769</c:v>
                </c:pt>
                <c:pt idx="52">
                  <c:v>38770</c:v>
                </c:pt>
                <c:pt idx="53">
                  <c:v>38771</c:v>
                </c:pt>
                <c:pt idx="54">
                  <c:v>38772</c:v>
                </c:pt>
                <c:pt idx="55">
                  <c:v>38773</c:v>
                </c:pt>
                <c:pt idx="56">
                  <c:v>38774</c:v>
                </c:pt>
                <c:pt idx="57">
                  <c:v>38775</c:v>
                </c:pt>
                <c:pt idx="58">
                  <c:v>38776</c:v>
                </c:pt>
                <c:pt idx="59">
                  <c:v>38777</c:v>
                </c:pt>
                <c:pt idx="60">
                  <c:v>38778</c:v>
                </c:pt>
                <c:pt idx="61">
                  <c:v>38779</c:v>
                </c:pt>
                <c:pt idx="62">
                  <c:v>38780</c:v>
                </c:pt>
                <c:pt idx="63">
                  <c:v>38781</c:v>
                </c:pt>
                <c:pt idx="64">
                  <c:v>38782</c:v>
                </c:pt>
                <c:pt idx="65">
                  <c:v>38783</c:v>
                </c:pt>
                <c:pt idx="66">
                  <c:v>38784</c:v>
                </c:pt>
                <c:pt idx="67">
                  <c:v>38785</c:v>
                </c:pt>
                <c:pt idx="68">
                  <c:v>38786</c:v>
                </c:pt>
                <c:pt idx="69">
                  <c:v>38787</c:v>
                </c:pt>
                <c:pt idx="70">
                  <c:v>38788</c:v>
                </c:pt>
                <c:pt idx="71">
                  <c:v>38789</c:v>
                </c:pt>
                <c:pt idx="72">
                  <c:v>38790</c:v>
                </c:pt>
                <c:pt idx="73">
                  <c:v>38791</c:v>
                </c:pt>
                <c:pt idx="74">
                  <c:v>38792</c:v>
                </c:pt>
                <c:pt idx="75">
                  <c:v>38793</c:v>
                </c:pt>
                <c:pt idx="76">
                  <c:v>38794</c:v>
                </c:pt>
                <c:pt idx="77">
                  <c:v>38795</c:v>
                </c:pt>
                <c:pt idx="78">
                  <c:v>38796</c:v>
                </c:pt>
                <c:pt idx="79">
                  <c:v>38797</c:v>
                </c:pt>
                <c:pt idx="80">
                  <c:v>38798</c:v>
                </c:pt>
                <c:pt idx="81">
                  <c:v>38799</c:v>
                </c:pt>
                <c:pt idx="82">
                  <c:v>38800</c:v>
                </c:pt>
                <c:pt idx="83">
                  <c:v>38801</c:v>
                </c:pt>
                <c:pt idx="84">
                  <c:v>38802</c:v>
                </c:pt>
                <c:pt idx="85">
                  <c:v>38803</c:v>
                </c:pt>
                <c:pt idx="86">
                  <c:v>38804</c:v>
                </c:pt>
                <c:pt idx="87">
                  <c:v>38805</c:v>
                </c:pt>
                <c:pt idx="88">
                  <c:v>38806</c:v>
                </c:pt>
                <c:pt idx="89">
                  <c:v>38807</c:v>
                </c:pt>
                <c:pt idx="90">
                  <c:v>38808</c:v>
                </c:pt>
                <c:pt idx="91">
                  <c:v>38809</c:v>
                </c:pt>
                <c:pt idx="92">
                  <c:v>38810</c:v>
                </c:pt>
                <c:pt idx="93">
                  <c:v>38811</c:v>
                </c:pt>
                <c:pt idx="94">
                  <c:v>38812</c:v>
                </c:pt>
                <c:pt idx="95">
                  <c:v>38813</c:v>
                </c:pt>
                <c:pt idx="96">
                  <c:v>38814</c:v>
                </c:pt>
                <c:pt idx="97">
                  <c:v>38815</c:v>
                </c:pt>
                <c:pt idx="98">
                  <c:v>38816</c:v>
                </c:pt>
                <c:pt idx="99">
                  <c:v>38817</c:v>
                </c:pt>
                <c:pt idx="100">
                  <c:v>38818</c:v>
                </c:pt>
                <c:pt idx="101">
                  <c:v>38819</c:v>
                </c:pt>
                <c:pt idx="102">
                  <c:v>38820</c:v>
                </c:pt>
                <c:pt idx="103">
                  <c:v>38821</c:v>
                </c:pt>
                <c:pt idx="104">
                  <c:v>38822</c:v>
                </c:pt>
                <c:pt idx="105">
                  <c:v>38823</c:v>
                </c:pt>
                <c:pt idx="106">
                  <c:v>38824</c:v>
                </c:pt>
                <c:pt idx="107">
                  <c:v>38825</c:v>
                </c:pt>
                <c:pt idx="108">
                  <c:v>38826</c:v>
                </c:pt>
                <c:pt idx="109">
                  <c:v>38827</c:v>
                </c:pt>
                <c:pt idx="110">
                  <c:v>38828</c:v>
                </c:pt>
                <c:pt idx="111">
                  <c:v>38829</c:v>
                </c:pt>
                <c:pt idx="112">
                  <c:v>38830</c:v>
                </c:pt>
                <c:pt idx="113">
                  <c:v>38831</c:v>
                </c:pt>
                <c:pt idx="114">
                  <c:v>38832</c:v>
                </c:pt>
                <c:pt idx="115">
                  <c:v>38833</c:v>
                </c:pt>
                <c:pt idx="116">
                  <c:v>38834</c:v>
                </c:pt>
                <c:pt idx="117">
                  <c:v>38835</c:v>
                </c:pt>
                <c:pt idx="118">
                  <c:v>38836</c:v>
                </c:pt>
                <c:pt idx="119">
                  <c:v>38837</c:v>
                </c:pt>
                <c:pt idx="120">
                  <c:v>38838</c:v>
                </c:pt>
                <c:pt idx="121">
                  <c:v>38839</c:v>
                </c:pt>
                <c:pt idx="122">
                  <c:v>38840</c:v>
                </c:pt>
                <c:pt idx="123">
                  <c:v>38841</c:v>
                </c:pt>
                <c:pt idx="124">
                  <c:v>38842</c:v>
                </c:pt>
                <c:pt idx="125">
                  <c:v>38843</c:v>
                </c:pt>
                <c:pt idx="126">
                  <c:v>38844</c:v>
                </c:pt>
                <c:pt idx="127">
                  <c:v>38845</c:v>
                </c:pt>
                <c:pt idx="128">
                  <c:v>38846</c:v>
                </c:pt>
                <c:pt idx="129">
                  <c:v>38847</c:v>
                </c:pt>
                <c:pt idx="130">
                  <c:v>38848</c:v>
                </c:pt>
                <c:pt idx="131">
                  <c:v>38849</c:v>
                </c:pt>
                <c:pt idx="132">
                  <c:v>38850</c:v>
                </c:pt>
                <c:pt idx="133">
                  <c:v>38851</c:v>
                </c:pt>
                <c:pt idx="134">
                  <c:v>38852</c:v>
                </c:pt>
                <c:pt idx="135">
                  <c:v>38853</c:v>
                </c:pt>
                <c:pt idx="136">
                  <c:v>38854</c:v>
                </c:pt>
                <c:pt idx="137">
                  <c:v>38855</c:v>
                </c:pt>
                <c:pt idx="138">
                  <c:v>38856</c:v>
                </c:pt>
                <c:pt idx="139">
                  <c:v>38857</c:v>
                </c:pt>
                <c:pt idx="140">
                  <c:v>38858</c:v>
                </c:pt>
                <c:pt idx="141">
                  <c:v>38859</c:v>
                </c:pt>
                <c:pt idx="142">
                  <c:v>38860</c:v>
                </c:pt>
                <c:pt idx="143">
                  <c:v>38861</c:v>
                </c:pt>
                <c:pt idx="144">
                  <c:v>38862</c:v>
                </c:pt>
                <c:pt idx="145">
                  <c:v>38863</c:v>
                </c:pt>
                <c:pt idx="146">
                  <c:v>38864</c:v>
                </c:pt>
                <c:pt idx="147">
                  <c:v>38865</c:v>
                </c:pt>
                <c:pt idx="148">
                  <c:v>38866</c:v>
                </c:pt>
                <c:pt idx="149">
                  <c:v>38867</c:v>
                </c:pt>
                <c:pt idx="150">
                  <c:v>38868</c:v>
                </c:pt>
                <c:pt idx="151">
                  <c:v>38869</c:v>
                </c:pt>
                <c:pt idx="152">
                  <c:v>38870</c:v>
                </c:pt>
                <c:pt idx="153">
                  <c:v>38871</c:v>
                </c:pt>
                <c:pt idx="154">
                  <c:v>38872</c:v>
                </c:pt>
                <c:pt idx="155">
                  <c:v>38873</c:v>
                </c:pt>
                <c:pt idx="156">
                  <c:v>38874</c:v>
                </c:pt>
                <c:pt idx="157">
                  <c:v>38875</c:v>
                </c:pt>
                <c:pt idx="158">
                  <c:v>38876</c:v>
                </c:pt>
                <c:pt idx="159">
                  <c:v>38877</c:v>
                </c:pt>
                <c:pt idx="160">
                  <c:v>38878</c:v>
                </c:pt>
                <c:pt idx="161">
                  <c:v>38879</c:v>
                </c:pt>
                <c:pt idx="162">
                  <c:v>38880</c:v>
                </c:pt>
                <c:pt idx="163">
                  <c:v>38881</c:v>
                </c:pt>
                <c:pt idx="164">
                  <c:v>38882</c:v>
                </c:pt>
                <c:pt idx="165">
                  <c:v>38883</c:v>
                </c:pt>
                <c:pt idx="166">
                  <c:v>38884</c:v>
                </c:pt>
                <c:pt idx="167">
                  <c:v>38885</c:v>
                </c:pt>
                <c:pt idx="168">
                  <c:v>38886</c:v>
                </c:pt>
                <c:pt idx="169">
                  <c:v>38887</c:v>
                </c:pt>
                <c:pt idx="170">
                  <c:v>38888</c:v>
                </c:pt>
                <c:pt idx="171">
                  <c:v>38889</c:v>
                </c:pt>
                <c:pt idx="172">
                  <c:v>38890</c:v>
                </c:pt>
                <c:pt idx="173">
                  <c:v>38891</c:v>
                </c:pt>
                <c:pt idx="174">
                  <c:v>38892</c:v>
                </c:pt>
                <c:pt idx="175">
                  <c:v>38893</c:v>
                </c:pt>
                <c:pt idx="176">
                  <c:v>38894</c:v>
                </c:pt>
                <c:pt idx="177">
                  <c:v>38895</c:v>
                </c:pt>
                <c:pt idx="178">
                  <c:v>38896</c:v>
                </c:pt>
                <c:pt idx="179">
                  <c:v>38897</c:v>
                </c:pt>
                <c:pt idx="180">
                  <c:v>38898</c:v>
                </c:pt>
                <c:pt idx="181">
                  <c:v>38899</c:v>
                </c:pt>
                <c:pt idx="182">
                  <c:v>38900</c:v>
                </c:pt>
                <c:pt idx="183">
                  <c:v>38901</c:v>
                </c:pt>
                <c:pt idx="184">
                  <c:v>38902</c:v>
                </c:pt>
                <c:pt idx="185">
                  <c:v>38903</c:v>
                </c:pt>
                <c:pt idx="186">
                  <c:v>38904</c:v>
                </c:pt>
                <c:pt idx="187">
                  <c:v>38905</c:v>
                </c:pt>
                <c:pt idx="188">
                  <c:v>38906</c:v>
                </c:pt>
                <c:pt idx="189">
                  <c:v>38907</c:v>
                </c:pt>
                <c:pt idx="190">
                  <c:v>38908</c:v>
                </c:pt>
                <c:pt idx="191">
                  <c:v>38909</c:v>
                </c:pt>
                <c:pt idx="192">
                  <c:v>38910</c:v>
                </c:pt>
                <c:pt idx="193">
                  <c:v>38911</c:v>
                </c:pt>
                <c:pt idx="194">
                  <c:v>38912</c:v>
                </c:pt>
                <c:pt idx="195">
                  <c:v>38913</c:v>
                </c:pt>
                <c:pt idx="196">
                  <c:v>38914</c:v>
                </c:pt>
                <c:pt idx="197">
                  <c:v>38915</c:v>
                </c:pt>
                <c:pt idx="198">
                  <c:v>38916</c:v>
                </c:pt>
                <c:pt idx="199">
                  <c:v>38917</c:v>
                </c:pt>
                <c:pt idx="200">
                  <c:v>38918</c:v>
                </c:pt>
                <c:pt idx="201">
                  <c:v>38919</c:v>
                </c:pt>
                <c:pt idx="202">
                  <c:v>38920</c:v>
                </c:pt>
                <c:pt idx="203">
                  <c:v>38921</c:v>
                </c:pt>
                <c:pt idx="204">
                  <c:v>38922</c:v>
                </c:pt>
                <c:pt idx="205">
                  <c:v>38923</c:v>
                </c:pt>
                <c:pt idx="206">
                  <c:v>38924</c:v>
                </c:pt>
                <c:pt idx="207">
                  <c:v>38925</c:v>
                </c:pt>
                <c:pt idx="208">
                  <c:v>38926</c:v>
                </c:pt>
                <c:pt idx="209">
                  <c:v>38927</c:v>
                </c:pt>
                <c:pt idx="210">
                  <c:v>38928</c:v>
                </c:pt>
                <c:pt idx="211">
                  <c:v>38929</c:v>
                </c:pt>
                <c:pt idx="212">
                  <c:v>38930</c:v>
                </c:pt>
                <c:pt idx="213">
                  <c:v>38931</c:v>
                </c:pt>
                <c:pt idx="214">
                  <c:v>38932</c:v>
                </c:pt>
                <c:pt idx="215">
                  <c:v>38933</c:v>
                </c:pt>
                <c:pt idx="216">
                  <c:v>38934</c:v>
                </c:pt>
                <c:pt idx="217">
                  <c:v>38935</c:v>
                </c:pt>
                <c:pt idx="218">
                  <c:v>38936</c:v>
                </c:pt>
                <c:pt idx="219">
                  <c:v>38937</c:v>
                </c:pt>
                <c:pt idx="220">
                  <c:v>38938</c:v>
                </c:pt>
                <c:pt idx="221">
                  <c:v>38939</c:v>
                </c:pt>
                <c:pt idx="222">
                  <c:v>38940</c:v>
                </c:pt>
                <c:pt idx="223">
                  <c:v>38941</c:v>
                </c:pt>
                <c:pt idx="224">
                  <c:v>38942</c:v>
                </c:pt>
                <c:pt idx="225">
                  <c:v>38943</c:v>
                </c:pt>
                <c:pt idx="226">
                  <c:v>38944</c:v>
                </c:pt>
                <c:pt idx="227">
                  <c:v>38945</c:v>
                </c:pt>
                <c:pt idx="228">
                  <c:v>38946</c:v>
                </c:pt>
                <c:pt idx="229">
                  <c:v>38947</c:v>
                </c:pt>
                <c:pt idx="230">
                  <c:v>38948</c:v>
                </c:pt>
                <c:pt idx="231">
                  <c:v>38949</c:v>
                </c:pt>
                <c:pt idx="232">
                  <c:v>38950</c:v>
                </c:pt>
                <c:pt idx="233">
                  <c:v>38951</c:v>
                </c:pt>
                <c:pt idx="234">
                  <c:v>38952</c:v>
                </c:pt>
                <c:pt idx="235">
                  <c:v>38953</c:v>
                </c:pt>
                <c:pt idx="236">
                  <c:v>38954</c:v>
                </c:pt>
                <c:pt idx="237">
                  <c:v>38955</c:v>
                </c:pt>
                <c:pt idx="238">
                  <c:v>38956</c:v>
                </c:pt>
                <c:pt idx="239">
                  <c:v>38957</c:v>
                </c:pt>
                <c:pt idx="240">
                  <c:v>38958</c:v>
                </c:pt>
                <c:pt idx="241">
                  <c:v>38959</c:v>
                </c:pt>
                <c:pt idx="242">
                  <c:v>38960</c:v>
                </c:pt>
                <c:pt idx="243">
                  <c:v>38961</c:v>
                </c:pt>
                <c:pt idx="244">
                  <c:v>38962</c:v>
                </c:pt>
                <c:pt idx="245">
                  <c:v>38963</c:v>
                </c:pt>
                <c:pt idx="246">
                  <c:v>38964</c:v>
                </c:pt>
                <c:pt idx="247">
                  <c:v>38965</c:v>
                </c:pt>
                <c:pt idx="248">
                  <c:v>38966</c:v>
                </c:pt>
                <c:pt idx="249">
                  <c:v>38967</c:v>
                </c:pt>
                <c:pt idx="250">
                  <c:v>38968</c:v>
                </c:pt>
                <c:pt idx="251">
                  <c:v>38969</c:v>
                </c:pt>
                <c:pt idx="252">
                  <c:v>38970</c:v>
                </c:pt>
                <c:pt idx="253">
                  <c:v>38971</c:v>
                </c:pt>
                <c:pt idx="254">
                  <c:v>38972</c:v>
                </c:pt>
                <c:pt idx="255">
                  <c:v>38973</c:v>
                </c:pt>
                <c:pt idx="256">
                  <c:v>38974</c:v>
                </c:pt>
                <c:pt idx="257">
                  <c:v>38975</c:v>
                </c:pt>
                <c:pt idx="258">
                  <c:v>38976</c:v>
                </c:pt>
                <c:pt idx="259">
                  <c:v>38977</c:v>
                </c:pt>
                <c:pt idx="260">
                  <c:v>38978</c:v>
                </c:pt>
                <c:pt idx="261">
                  <c:v>38979</c:v>
                </c:pt>
                <c:pt idx="262">
                  <c:v>38980</c:v>
                </c:pt>
                <c:pt idx="263">
                  <c:v>38981</c:v>
                </c:pt>
                <c:pt idx="264">
                  <c:v>38982</c:v>
                </c:pt>
                <c:pt idx="265">
                  <c:v>38983</c:v>
                </c:pt>
                <c:pt idx="266">
                  <c:v>38984</c:v>
                </c:pt>
                <c:pt idx="267">
                  <c:v>38985</c:v>
                </c:pt>
                <c:pt idx="268">
                  <c:v>38986</c:v>
                </c:pt>
                <c:pt idx="269">
                  <c:v>38987</c:v>
                </c:pt>
                <c:pt idx="270">
                  <c:v>38988</c:v>
                </c:pt>
                <c:pt idx="271">
                  <c:v>38989</c:v>
                </c:pt>
                <c:pt idx="272">
                  <c:v>38990</c:v>
                </c:pt>
                <c:pt idx="273">
                  <c:v>38991</c:v>
                </c:pt>
                <c:pt idx="274">
                  <c:v>38992</c:v>
                </c:pt>
                <c:pt idx="275">
                  <c:v>38993</c:v>
                </c:pt>
                <c:pt idx="276">
                  <c:v>38994</c:v>
                </c:pt>
                <c:pt idx="277">
                  <c:v>38995</c:v>
                </c:pt>
                <c:pt idx="278">
                  <c:v>38996</c:v>
                </c:pt>
                <c:pt idx="279">
                  <c:v>38997</c:v>
                </c:pt>
                <c:pt idx="280">
                  <c:v>38998</c:v>
                </c:pt>
                <c:pt idx="281">
                  <c:v>38999</c:v>
                </c:pt>
                <c:pt idx="282">
                  <c:v>39000</c:v>
                </c:pt>
                <c:pt idx="283">
                  <c:v>39001</c:v>
                </c:pt>
                <c:pt idx="284">
                  <c:v>39002</c:v>
                </c:pt>
                <c:pt idx="285">
                  <c:v>39003</c:v>
                </c:pt>
                <c:pt idx="286">
                  <c:v>39004</c:v>
                </c:pt>
                <c:pt idx="287">
                  <c:v>39005</c:v>
                </c:pt>
                <c:pt idx="288">
                  <c:v>39006</c:v>
                </c:pt>
                <c:pt idx="289">
                  <c:v>39007</c:v>
                </c:pt>
                <c:pt idx="290">
                  <c:v>39008</c:v>
                </c:pt>
                <c:pt idx="291">
                  <c:v>39009</c:v>
                </c:pt>
                <c:pt idx="292">
                  <c:v>39010</c:v>
                </c:pt>
                <c:pt idx="293">
                  <c:v>39011</c:v>
                </c:pt>
                <c:pt idx="294">
                  <c:v>39012</c:v>
                </c:pt>
                <c:pt idx="295">
                  <c:v>39013</c:v>
                </c:pt>
                <c:pt idx="296">
                  <c:v>39014</c:v>
                </c:pt>
                <c:pt idx="297">
                  <c:v>39015</c:v>
                </c:pt>
                <c:pt idx="298">
                  <c:v>39016</c:v>
                </c:pt>
                <c:pt idx="299">
                  <c:v>39017</c:v>
                </c:pt>
                <c:pt idx="300">
                  <c:v>39018</c:v>
                </c:pt>
                <c:pt idx="301">
                  <c:v>39019</c:v>
                </c:pt>
                <c:pt idx="302">
                  <c:v>39020</c:v>
                </c:pt>
                <c:pt idx="303">
                  <c:v>39021</c:v>
                </c:pt>
                <c:pt idx="304">
                  <c:v>39022</c:v>
                </c:pt>
                <c:pt idx="305">
                  <c:v>39023</c:v>
                </c:pt>
                <c:pt idx="306">
                  <c:v>39024</c:v>
                </c:pt>
                <c:pt idx="307">
                  <c:v>39025</c:v>
                </c:pt>
                <c:pt idx="308">
                  <c:v>39026</c:v>
                </c:pt>
                <c:pt idx="309">
                  <c:v>39027</c:v>
                </c:pt>
                <c:pt idx="310">
                  <c:v>39028</c:v>
                </c:pt>
                <c:pt idx="311">
                  <c:v>39029</c:v>
                </c:pt>
                <c:pt idx="312">
                  <c:v>39030</c:v>
                </c:pt>
                <c:pt idx="313">
                  <c:v>39031</c:v>
                </c:pt>
                <c:pt idx="314">
                  <c:v>39032</c:v>
                </c:pt>
                <c:pt idx="315">
                  <c:v>39033</c:v>
                </c:pt>
                <c:pt idx="316">
                  <c:v>39034</c:v>
                </c:pt>
                <c:pt idx="317">
                  <c:v>39035</c:v>
                </c:pt>
                <c:pt idx="318">
                  <c:v>39036</c:v>
                </c:pt>
                <c:pt idx="319">
                  <c:v>39037</c:v>
                </c:pt>
                <c:pt idx="320">
                  <c:v>39038</c:v>
                </c:pt>
                <c:pt idx="321">
                  <c:v>39039</c:v>
                </c:pt>
                <c:pt idx="322">
                  <c:v>39040</c:v>
                </c:pt>
                <c:pt idx="323">
                  <c:v>39041</c:v>
                </c:pt>
                <c:pt idx="324">
                  <c:v>39042</c:v>
                </c:pt>
                <c:pt idx="325">
                  <c:v>39043</c:v>
                </c:pt>
                <c:pt idx="326">
                  <c:v>39044</c:v>
                </c:pt>
                <c:pt idx="327">
                  <c:v>39045</c:v>
                </c:pt>
                <c:pt idx="328">
                  <c:v>39046</c:v>
                </c:pt>
                <c:pt idx="329">
                  <c:v>39047</c:v>
                </c:pt>
                <c:pt idx="330">
                  <c:v>39048</c:v>
                </c:pt>
                <c:pt idx="331">
                  <c:v>39049</c:v>
                </c:pt>
                <c:pt idx="332">
                  <c:v>39050</c:v>
                </c:pt>
                <c:pt idx="333">
                  <c:v>39051</c:v>
                </c:pt>
                <c:pt idx="334">
                  <c:v>39052</c:v>
                </c:pt>
                <c:pt idx="335">
                  <c:v>39053</c:v>
                </c:pt>
                <c:pt idx="336">
                  <c:v>39054</c:v>
                </c:pt>
                <c:pt idx="337">
                  <c:v>39055</c:v>
                </c:pt>
                <c:pt idx="338">
                  <c:v>39056</c:v>
                </c:pt>
                <c:pt idx="339">
                  <c:v>39057</c:v>
                </c:pt>
                <c:pt idx="340">
                  <c:v>39058</c:v>
                </c:pt>
                <c:pt idx="341">
                  <c:v>39059</c:v>
                </c:pt>
                <c:pt idx="342">
                  <c:v>39060</c:v>
                </c:pt>
                <c:pt idx="343">
                  <c:v>39061</c:v>
                </c:pt>
                <c:pt idx="344">
                  <c:v>39062</c:v>
                </c:pt>
                <c:pt idx="345">
                  <c:v>39063</c:v>
                </c:pt>
                <c:pt idx="346">
                  <c:v>39064</c:v>
                </c:pt>
                <c:pt idx="347">
                  <c:v>39065</c:v>
                </c:pt>
                <c:pt idx="348">
                  <c:v>39066</c:v>
                </c:pt>
                <c:pt idx="349">
                  <c:v>39067</c:v>
                </c:pt>
                <c:pt idx="350">
                  <c:v>39068</c:v>
                </c:pt>
                <c:pt idx="351">
                  <c:v>39069</c:v>
                </c:pt>
                <c:pt idx="352">
                  <c:v>39070</c:v>
                </c:pt>
                <c:pt idx="353">
                  <c:v>39071</c:v>
                </c:pt>
                <c:pt idx="354">
                  <c:v>39072</c:v>
                </c:pt>
                <c:pt idx="355">
                  <c:v>39073</c:v>
                </c:pt>
                <c:pt idx="356">
                  <c:v>39074</c:v>
                </c:pt>
                <c:pt idx="357">
                  <c:v>39075</c:v>
                </c:pt>
                <c:pt idx="358">
                  <c:v>39076</c:v>
                </c:pt>
                <c:pt idx="359">
                  <c:v>39077</c:v>
                </c:pt>
                <c:pt idx="360">
                  <c:v>39078</c:v>
                </c:pt>
                <c:pt idx="361">
                  <c:v>39079</c:v>
                </c:pt>
                <c:pt idx="362">
                  <c:v>39080</c:v>
                </c:pt>
                <c:pt idx="363">
                  <c:v>39081</c:v>
                </c:pt>
                <c:pt idx="364">
                  <c:v>39082</c:v>
                </c:pt>
              </c:numCache>
            </c:numRef>
          </c:xVal>
          <c:yVal>
            <c:numRef>
              <c:f>'[1]VSIMworksheet'!$J$14:$J$378</c:f>
              <c:numCache>
                <c:ptCount val="365"/>
                <c:pt idx="0">
                  <c:v>0.6139281114959878</c:v>
                </c:pt>
                <c:pt idx="1">
                  <c:v>0.615558184551065</c:v>
                </c:pt>
                <c:pt idx="2">
                  <c:v>0.6172998211074299</c:v>
                </c:pt>
                <c:pt idx="3">
                  <c:v>0.6191496722977453</c:v>
                </c:pt>
                <c:pt idx="4">
                  <c:v>0.6211042367351494</c:v>
                </c:pt>
                <c:pt idx="5">
                  <c:v>0.6231598765367596</c:v>
                </c:pt>
                <c:pt idx="6">
                  <c:v>0.6253128335401467</c:v>
                </c:pt>
                <c:pt idx="7">
                  <c:v>0.627559245588223</c:v>
                </c:pt>
                <c:pt idx="8">
                  <c:v>0.6298951627628899</c:v>
                </c:pt>
                <c:pt idx="9">
                  <c:v>0.632316563453895</c:v>
                </c:pt>
                <c:pt idx="10">
                  <c:v>0.6348193701565018</c:v>
                </c:pt>
                <c:pt idx="11">
                  <c:v>0.6373994648996021</c:v>
                </c:pt>
                <c:pt idx="12">
                  <c:v>0.6400527042146391</c:v>
                </c:pt>
                <c:pt idx="13">
                  <c:v>0.6427749335649597</c:v>
                </c:pt>
                <c:pt idx="14">
                  <c:v>0.6455620011648213</c:v>
                </c:pt>
                <c:pt idx="15">
                  <c:v>0.6484097711270782</c:v>
                </c:pt>
                <c:pt idx="16">
                  <c:v>0.6513141358883937</c:v>
                </c:pt>
                <c:pt idx="17">
                  <c:v>0.6542710278705414</c:v>
                </c:pt>
                <c:pt idx="18">
                  <c:v>0.6572764303458265</c:v>
                </c:pt>
                <c:pt idx="19">
                  <c:v>0.6603263874837976</c:v>
                </c:pt>
                <c:pt idx="20">
                  <c:v>0.6634170135650604</c:v>
                </c:pt>
                <c:pt idx="21">
                  <c:v>0.6665445013561783</c:v>
                </c:pt>
                <c:pt idx="22">
                  <c:v>0.6697051296471573</c:v>
                </c:pt>
                <c:pt idx="23">
                  <c:v>0.6728952699599454</c:v>
                </c:pt>
                <c:pt idx="24">
                  <c:v>0.6761113924425834</c:v>
                </c:pt>
                <c:pt idx="25">
                  <c:v>0.6793500709691899</c:v>
                </c:pt>
                <c:pt idx="26">
                  <c:v>0.6826079874707996</c:v>
                </c:pt>
                <c:pt idx="27">
                  <c:v>0.6858819355262156</c:v>
                </c:pt>
                <c:pt idx="28">
                  <c:v>0.6891688232455075</c:v>
                </c:pt>
                <c:pt idx="29">
                  <c:v>0.6924656754816073</c:v>
                </c:pt>
                <c:pt idx="30">
                  <c:v>0.6957696354076488</c:v>
                </c:pt>
                <c:pt idx="31">
                  <c:v>0.6990779654993239</c:v>
                </c:pt>
                <c:pt idx="32">
                  <c:v>0.7023880479625981</c:v>
                </c:pt>
                <c:pt idx="33">
                  <c:v>0.7056973846477229</c:v>
                </c:pt>
                <c:pt idx="34">
                  <c:v>0.7090035964906128</c:v>
                </c:pt>
                <c:pt idx="35">
                  <c:v>0.7123044225224033</c:v>
                </c:pt>
                <c:pt idx="36">
                  <c:v>0.7155977184873814</c:v>
                </c:pt>
                <c:pt idx="37">
                  <c:v>0.7188814551085734</c:v>
                </c:pt>
                <c:pt idx="38">
                  <c:v>0.7221537160390934</c:v>
                </c:pt>
                <c:pt idx="39">
                  <c:v>0.7254126955359512</c:v>
                </c:pt>
                <c:pt idx="40">
                  <c:v>0.7286566958914684</c:v>
                </c:pt>
                <c:pt idx="41">
                  <c:v>0.7318841246557116</c:v>
                </c:pt>
                <c:pt idx="42">
                  <c:v>0.7350934916815671</c:v>
                </c:pt>
                <c:pt idx="43">
                  <c:v>0.7382834060221685</c:v>
                </c:pt>
                <c:pt idx="44">
                  <c:v>0.741452572708475</c:v>
                </c:pt>
                <c:pt idx="45">
                  <c:v>0.7445997894328378</c:v>
                </c:pt>
                <c:pt idx="46">
                  <c:v>0.7477239431624488</c:v>
                </c:pt>
                <c:pt idx="47">
                  <c:v>0.7508240067046421</c:v>
                </c:pt>
                <c:pt idx="48">
                  <c:v>0.753899035244128</c:v>
                </c:pt>
                <c:pt idx="49">
                  <c:v>0.7569481628704133</c:v>
                </c:pt>
                <c:pt idx="50">
                  <c:v>0.7599705991118855</c:v>
                </c:pt>
                <c:pt idx="51">
                  <c:v>0.7629656254913472</c:v>
                </c:pt>
                <c:pt idx="52">
                  <c:v>0.7659325921161675</c:v>
                </c:pt>
                <c:pt idx="53">
                  <c:v>0.7688709143146849</c:v>
                </c:pt>
                <c:pt idx="54">
                  <c:v>0.771780069329056</c:v>
                </c:pt>
                <c:pt idx="55">
                  <c:v>0.7746595930733892</c:v>
                </c:pt>
                <c:pt idx="56">
                  <c:v>0.7775090769647386</c:v>
                </c:pt>
                <c:pt idx="57">
                  <c:v>0.7803281648333679</c:v>
                </c:pt>
                <c:pt idx="58">
                  <c:v>0.7831165499176062</c:v>
                </c:pt>
                <c:pt idx="59">
                  <c:v>0.7858739719476276</c:v>
                </c:pt>
                <c:pt idx="60">
                  <c:v>0.7886002143215786</c:v>
                </c:pt>
                <c:pt idx="61">
                  <c:v>0.7912951013766416</c:v>
                </c:pt>
                <c:pt idx="62">
                  <c:v>0.7939584957568885</c:v>
                </c:pt>
                <c:pt idx="63">
                  <c:v>0.7965902958790851</c:v>
                </c:pt>
                <c:pt idx="64">
                  <c:v>0.7991904334970218</c:v>
                </c:pt>
                <c:pt idx="65">
                  <c:v>0.8017588713643914</c:v>
                </c:pt>
                <c:pt idx="66">
                  <c:v>0.8042956009957705</c:v>
                </c:pt>
                <c:pt idx="67">
                  <c:v>0.806800640524836</c:v>
                </c:pt>
                <c:pt idx="68">
                  <c:v>0.8092740326585883</c:v>
                </c:pt>
                <c:pt idx="69">
                  <c:v>0.811715842726033</c:v>
                </c:pt>
                <c:pt idx="70">
                  <c:v>0.8141261568195097</c:v>
                </c:pt>
                <c:pt idx="71">
                  <c:v>0.8165050800266244</c:v>
                </c:pt>
                <c:pt idx="72">
                  <c:v>0.818852734750554</c:v>
                </c:pt>
                <c:pt idx="73">
                  <c:v>0.8211692591163401</c:v>
                </c:pt>
                <c:pt idx="74">
                  <c:v>0.823454805460662</c:v>
                </c:pt>
                <c:pt idx="75">
                  <c:v>0.8257095389024863</c:v>
                </c:pt>
                <c:pt idx="76">
                  <c:v>0.827933635991923</c:v>
                </c:pt>
                <c:pt idx="77">
                  <c:v>0.8301272834345664</c:v>
                </c:pt>
                <c:pt idx="78">
                  <c:v>0.8322906768885814</c:v>
                </c:pt>
                <c:pt idx="79">
                  <c:v>0.8344240198317727</c:v>
                </c:pt>
                <c:pt idx="80">
                  <c:v>0.836527522495902</c:v>
                </c:pt>
                <c:pt idx="81">
                  <c:v>0.8386014008655159</c:v>
                </c:pt>
                <c:pt idx="82">
                  <c:v>0.8406458757385975</c:v>
                </c:pt>
                <c:pt idx="83">
                  <c:v>0.8426611718463893</c:v>
                </c:pt>
                <c:pt idx="84">
                  <c:v>0.8446475170297841</c:v>
                </c:pt>
                <c:pt idx="85">
                  <c:v>0.8466051414697449</c:v>
                </c:pt>
                <c:pt idx="86">
                  <c:v>0.848534276969273</c:v>
                </c:pt>
                <c:pt idx="87">
                  <c:v>0.8504351562845166</c:v>
                </c:pt>
                <c:pt idx="88">
                  <c:v>0.8523080125026813</c:v>
                </c:pt>
                <c:pt idx="89">
                  <c:v>0.8541530784644823</c:v>
                </c:pt>
                <c:pt idx="90">
                  <c:v>0.8559705862289542</c:v>
                </c:pt>
                <c:pt idx="91">
                  <c:v>0.8577607665785131</c:v>
                </c:pt>
                <c:pt idx="92">
                  <c:v>0.8595238485622462</c:v>
                </c:pt>
                <c:pt idx="93">
                  <c:v>0.8612600590754825</c:v>
                </c:pt>
                <c:pt idx="94">
                  <c:v>0.8629696224737802</c:v>
                </c:pt>
                <c:pt idx="95">
                  <c:v>0.8646527602195417</c:v>
                </c:pt>
                <c:pt idx="96">
                  <c:v>0.8663096905595494</c:v>
                </c:pt>
                <c:pt idx="97">
                  <c:v>0.8679406282317845</c:v>
                </c:pt>
                <c:pt idx="98">
                  <c:v>0.8695457841999749</c:v>
                </c:pt>
                <c:pt idx="99">
                  <c:v>0.8711253654143837</c:v>
                </c:pt>
                <c:pt idx="100">
                  <c:v>0.8726795745974221</c:v>
                </c:pt>
                <c:pt idx="101">
                  <c:v>0.8742086100527416</c:v>
                </c:pt>
                <c:pt idx="102">
                  <c:v>0.8757126654965229</c:v>
                </c:pt>
                <c:pt idx="103">
                  <c:v>0.8771919299097435</c:v>
                </c:pt>
                <c:pt idx="104">
                  <c:v>0.8786465874102701</c:v>
                </c:pt>
                <c:pt idx="105">
                  <c:v>0.8800768171436736</c:v>
                </c:pt>
                <c:pt idx="106">
                  <c:v>0.8814827931917285</c:v>
                </c:pt>
                <c:pt idx="107">
                  <c:v>0.8828646844976051</c:v>
                </c:pt>
                <c:pt idx="108">
                  <c:v>0.8842226548068178</c:v>
                </c:pt>
                <c:pt idx="109">
                  <c:v>0.8855568626230385</c:v>
                </c:pt>
                <c:pt idx="110">
                  <c:v>0.8868674611779315</c:v>
                </c:pt>
                <c:pt idx="111">
                  <c:v>0.8881545984142082</c:v>
                </c:pt>
                <c:pt idx="112">
                  <c:v>0.8894184169811407</c:v>
                </c:pt>
                <c:pt idx="113">
                  <c:v>0.8906590542418122</c:v>
                </c:pt>
                <c:pt idx="114">
                  <c:v>0.8918766422914167</c:v>
                </c:pt>
                <c:pt idx="115">
                  <c:v>0.8930713079859562</c:v>
                </c:pt>
                <c:pt idx="116">
                  <c:v>0.8942431729807137</c:v>
                </c:pt>
                <c:pt idx="117">
                  <c:v>0.8953923537779059</c:v>
                </c:pt>
                <c:pt idx="118">
                  <c:v>0.8965189617829593</c:v>
                </c:pt>
                <c:pt idx="119">
                  <c:v>0.897623103368857</c:v>
                </c:pt>
                <c:pt idx="120">
                  <c:v>0.8987048799480515</c:v>
                </c:pt>
                <c:pt idx="121">
                  <c:v>0.8997643880514412</c:v>
                </c:pt>
                <c:pt idx="122">
                  <c:v>0.9008017194139368</c:v>
                </c:pt>
                <c:pt idx="123">
                  <c:v>0.9018169610661607</c:v>
                </c:pt>
                <c:pt idx="124">
                  <c:v>0.9028101954318399</c:v>
                </c:pt>
                <c:pt idx="125">
                  <c:v>0.9037815004304642</c:v>
                </c:pt>
                <c:pt idx="126">
                  <c:v>0.9047309495847993</c:v>
                </c:pt>
                <c:pt idx="127">
                  <c:v>0.9056586121328568</c:v>
                </c:pt>
                <c:pt idx="128">
                  <c:v>0.90656455314393</c:v>
                </c:pt>
                <c:pt idx="129">
                  <c:v>0.9074488336383211</c:v>
                </c:pt>
                <c:pt idx="130">
                  <c:v>0.9083115107103877</c:v>
                </c:pt>
                <c:pt idx="131">
                  <c:v>0.9091526376545521</c:v>
                </c:pt>
                <c:pt idx="132">
                  <c:v>0.9099722640939166</c:v>
                </c:pt>
                <c:pt idx="133">
                  <c:v>0.9107704361111407</c:v>
                </c:pt>
                <c:pt idx="134">
                  <c:v>0.9115471963812412</c:v>
                </c:pt>
                <c:pt idx="135">
                  <c:v>0.9123025843059751</c:v>
                </c:pt>
                <c:pt idx="136">
                  <c:v>0.9130366361494827</c:v>
                </c:pt>
                <c:pt idx="137">
                  <c:v>0.9137493851748608</c:v>
                </c:pt>
                <c:pt idx="138">
                  <c:v>0.9144408617813441</c:v>
                </c:pt>
                <c:pt idx="139">
                  <c:v>0.915111093641782</c:v>
                </c:pt>
                <c:pt idx="140">
                  <c:v>0.9157601058400934</c:v>
                </c:pt>
                <c:pt idx="141">
                  <c:v>0.9163879210083921</c:v>
                </c:pt>
                <c:pt idx="142">
                  <c:v>0.9169945594634747</c:v>
                </c:pt>
                <c:pt idx="143">
                  <c:v>0.9175800393423715</c:v>
                </c:pt>
                <c:pt idx="144">
                  <c:v>0.9181443767366576</c:v>
                </c:pt>
                <c:pt idx="145">
                  <c:v>0.9186875858252334</c:v>
                </c:pt>
                <c:pt idx="146">
                  <c:v>0.9192096790052818</c:v>
                </c:pt>
                <c:pt idx="147">
                  <c:v>0.919710667021116</c:v>
                </c:pt>
                <c:pt idx="148">
                  <c:v>0.9201905590906365</c:v>
                </c:pt>
                <c:pt idx="149">
                  <c:v>0.9206493630291214</c:v>
                </c:pt>
                <c:pt idx="150">
                  <c:v>0.9210870853700778</c:v>
                </c:pt>
                <c:pt idx="151">
                  <c:v>0.9215037314828909</c:v>
                </c:pt>
                <c:pt idx="152">
                  <c:v>0.9218993056870103</c:v>
                </c:pt>
                <c:pt idx="153">
                  <c:v>0.922273811362423</c:v>
                </c:pt>
                <c:pt idx="154">
                  <c:v>0.9226272510561678</c:v>
                </c:pt>
                <c:pt idx="155">
                  <c:v>0.9229596265846552</c:v>
                </c:pt>
                <c:pt idx="156">
                  <c:v>0.923270939131565</c:v>
                </c:pt>
                <c:pt idx="157">
                  <c:v>0.9235611893411005</c:v>
                </c:pt>
                <c:pt idx="158">
                  <c:v>0.9238303774063935</c:v>
                </c:pt>
                <c:pt idx="159">
                  <c:v>0.9240785031528577</c:v>
                </c:pt>
                <c:pt idx="160">
                  <c:v>0.9243055661163022</c:v>
                </c:pt>
                <c:pt idx="161">
                  <c:v>0.9245115656156302</c:v>
                </c:pt>
                <c:pt idx="162">
                  <c:v>0.9246965008199535</c:v>
                </c:pt>
                <c:pt idx="163">
                  <c:v>0.9248603708099727</c:v>
                </c:pt>
                <c:pt idx="164">
                  <c:v>0.9250031746334796</c:v>
                </c:pt>
                <c:pt idx="165">
                  <c:v>0.9251249113548554</c:v>
                </c:pt>
                <c:pt idx="166">
                  <c:v>0.925225580098451</c:v>
                </c:pt>
                <c:pt idx="167">
                  <c:v>0.9253051800857478</c:v>
                </c:pt>
                <c:pt idx="168">
                  <c:v>0.9253637106662129</c:v>
                </c:pt>
                <c:pt idx="169">
                  <c:v>0.9254011713417791</c:v>
                </c:pt>
                <c:pt idx="170">
                  <c:v>0.9254175617848898</c:v>
                </c:pt>
                <c:pt idx="171">
                  <c:v>0.9254128818500684</c:v>
                </c:pt>
                <c:pt idx="172">
                  <c:v>0.925387131578987</c:v>
                </c:pt>
                <c:pt idx="173">
                  <c:v>0.9253403111990174</c:v>
                </c:pt>
                <c:pt idx="174">
                  <c:v>0.9252724211152744</c:v>
                </c:pt>
                <c:pt idx="175">
                  <c:v>0.9251834618961646</c:v>
                </c:pt>
                <c:pt idx="176">
                  <c:v>0.9250734342524766</c:v>
                </c:pt>
                <c:pt idx="177">
                  <c:v>0.9249423390100617</c:v>
                </c:pt>
                <c:pt idx="178">
                  <c:v>0.924790177076168</c:v>
                </c:pt>
                <c:pt idx="179">
                  <c:v>0.9246169493995041</c:v>
                </c:pt>
                <c:pt idx="180">
                  <c:v>0.9244226569241301</c:v>
                </c:pt>
                <c:pt idx="181">
                  <c:v>0.9242073005372748</c:v>
                </c:pt>
                <c:pt idx="182">
                  <c:v>0.9239708810112077</c:v>
                </c:pt>
                <c:pt idx="183">
                  <c:v>0.9237133989392922</c:v>
                </c:pt>
                <c:pt idx="184">
                  <c:v>0.923434854666371</c:v>
                </c:pt>
                <c:pt idx="185">
                  <c:v>0.9231352482136418</c:v>
                </c:pt>
                <c:pt idx="186">
                  <c:v>0.9228145791981921</c:v>
                </c:pt>
                <c:pt idx="187">
                  <c:v>0.922472846747379</c:v>
                </c:pt>
                <c:pt idx="188">
                  <c:v>0.9221100494082441</c:v>
                </c:pt>
                <c:pt idx="189">
                  <c:v>0.9217261850521706</c:v>
                </c:pt>
                <c:pt idx="190">
                  <c:v>0.9213212507749942</c:v>
                </c:pt>
                <c:pt idx="191">
                  <c:v>0.9208952427927896</c:v>
                </c:pt>
                <c:pt idx="192">
                  <c:v>0.9204481563335698</c:v>
                </c:pt>
                <c:pt idx="193">
                  <c:v>0.9199799855251316</c:v>
                </c:pt>
                <c:pt idx="194">
                  <c:v>0.9194907232793003</c:v>
                </c:pt>
                <c:pt idx="195">
                  <c:v>0.9189803611728251</c:v>
                </c:pt>
                <c:pt idx="196">
                  <c:v>0.9184488893251902</c:v>
                </c:pt>
                <c:pt idx="197">
                  <c:v>0.9178962962736052</c:v>
                </c:pt>
                <c:pt idx="198">
                  <c:v>0.9173225688454515</c:v>
                </c:pt>
                <c:pt idx="199">
                  <c:v>0.9167276920284633</c:v>
                </c:pt>
                <c:pt idx="200">
                  <c:v>0.9161116488389236</c:v>
                </c:pt>
                <c:pt idx="201">
                  <c:v>0.9154744201881693</c:v>
                </c:pt>
                <c:pt idx="202">
                  <c:v>0.9148159847476913</c:v>
                </c:pt>
                <c:pt idx="203">
                  <c:v>0.9141363188131304</c:v>
                </c:pt>
                <c:pt idx="204">
                  <c:v>0.9134353961674699</c:v>
                </c:pt>
                <c:pt idx="205">
                  <c:v>0.9127131879437239</c:v>
                </c:pt>
                <c:pt idx="206">
                  <c:v>0.9119696624874369</c:v>
                </c:pt>
                <c:pt idx="207">
                  <c:v>0.9112047852192964</c:v>
                </c:pt>
                <c:pt idx="208">
                  <c:v>0.910418518498184</c:v>
                </c:pt>
                <c:pt idx="209">
                  <c:v>0.909610821484976</c:v>
                </c:pt>
                <c:pt idx="210">
                  <c:v>0.9087816500074175</c:v>
                </c:pt>
                <c:pt idx="211">
                  <c:v>0.9079309564264041</c:v>
                </c:pt>
                <c:pt idx="212">
                  <c:v>0.9070586895039928</c:v>
                </c:pt>
                <c:pt idx="213">
                  <c:v>0.9061647942734873</c:v>
                </c:pt>
                <c:pt idx="214">
                  <c:v>0.905249211911938</c:v>
                </c:pt>
                <c:pt idx="215">
                  <c:v>0.9043118796154042</c:v>
                </c:pt>
                <c:pt idx="216">
                  <c:v>0.9033527304773372</c:v>
                </c:pt>
                <c:pt idx="217">
                  <c:v>0.9023716933704473</c:v>
                </c:pt>
                <c:pt idx="218">
                  <c:v>0.9013686928324263</c:v>
                </c:pt>
                <c:pt idx="219">
                  <c:v>0.9003436489559092</c:v>
                </c:pt>
                <c:pt idx="220">
                  <c:v>0.8992964772830674</c:v>
                </c:pt>
                <c:pt idx="221">
                  <c:v>0.8982270887052384</c:v>
                </c:pt>
                <c:pt idx="222">
                  <c:v>0.8971353893680075</c:v>
                </c:pt>
                <c:pt idx="223">
                  <c:v>0.8960212805821794</c:v>
                </c:pt>
                <c:pt idx="224">
                  <c:v>0.8948846587410794</c:v>
                </c:pt>
                <c:pt idx="225">
                  <c:v>0.8937254152446568</c:v>
                </c:pt>
                <c:pt idx="226">
                  <c:v>0.8925434364308691</c:v>
                </c:pt>
                <c:pt idx="227">
                  <c:v>0.8913386035148567</c:v>
                </c:pt>
                <c:pt idx="228">
                  <c:v>0.8901107925364287</c:v>
                </c:pt>
                <c:pt idx="229">
                  <c:v>0.8888598743164159</c:v>
                </c:pt>
                <c:pt idx="230">
                  <c:v>0.8875857144224673</c:v>
                </c:pt>
                <c:pt idx="231">
                  <c:v>0.8862881731448913</c:v>
                </c:pt>
                <c:pt idx="232">
                  <c:v>0.8849671054831831</c:v>
                </c:pt>
                <c:pt idx="233">
                  <c:v>0.8836223611439004</c:v>
                </c:pt>
                <c:pt idx="234">
                  <c:v>0.8822537845505933</c:v>
                </c:pt>
                <c:pt idx="235">
                  <c:v>0.8808612148665255</c:v>
                </c:pt>
                <c:pt idx="236">
                  <c:v>0.8794444860309666</c:v>
                </c:pt>
                <c:pt idx="237">
                  <c:v>0.8780034268098756</c:v>
                </c:pt>
                <c:pt idx="238">
                  <c:v>0.8765378608618392</c:v>
                </c:pt>
                <c:pt idx="239">
                  <c:v>0.8750476068201748</c:v>
                </c:pt>
                <c:pt idx="240">
                  <c:v>0.873532478392163</c:v>
                </c:pt>
                <c:pt idx="241">
                  <c:v>0.8719922844764172</c:v>
                </c:pt>
                <c:pt idx="242">
                  <c:v>0.8704268292994586</c:v>
                </c:pt>
                <c:pt idx="243">
                  <c:v>0.8688359125726222</c:v>
                </c:pt>
                <c:pt idx="244">
                  <c:v>0.8672193296704722</c:v>
                </c:pt>
                <c:pt idx="245">
                  <c:v>0.8655768718319805</c:v>
                </c:pt>
                <c:pt idx="246">
                  <c:v>0.8639083263857683</c:v>
                </c:pt>
                <c:pt idx="247">
                  <c:v>0.8622134770007966</c:v>
                </c:pt>
                <c:pt idx="248">
                  <c:v>0.8604921039639492</c:v>
                </c:pt>
                <c:pt idx="249">
                  <c:v>0.8587439844860225</c:v>
                </c:pt>
                <c:pt idx="250">
                  <c:v>0.8569688930377223</c:v>
                </c:pt>
                <c:pt idx="251">
                  <c:v>0.8551666017173251</c:v>
                </c:pt>
                <c:pt idx="252">
                  <c:v>0.8533368806517542</c:v>
                </c:pt>
                <c:pt idx="253">
                  <c:v>0.851479498432891</c:v>
                </c:pt>
                <c:pt idx="254">
                  <c:v>0.8495942225910219</c:v>
                </c:pt>
                <c:pt idx="255">
                  <c:v>0.8476808201074023</c:v>
                </c:pt>
                <c:pt idx="256">
                  <c:v>0.845739057967998</c:v>
                </c:pt>
                <c:pt idx="257">
                  <c:v>0.8437687037605451</c:v>
                </c:pt>
                <c:pt idx="258">
                  <c:v>0.8417695263171467</c:v>
                </c:pt>
                <c:pt idx="259">
                  <c:v>0.8397412964046997</c:v>
                </c:pt>
                <c:pt idx="260">
                  <c:v>0.8376837874655246</c:v>
                </c:pt>
                <c:pt idx="261">
                  <c:v>0.8355967764106353</c:v>
                </c:pt>
                <c:pt idx="262">
                  <c:v>0.8334800444681605</c:v>
                </c:pt>
                <c:pt idx="263">
                  <c:v>0.8313333780894814</c:v>
                </c:pt>
                <c:pt idx="264">
                  <c:v>0.8291565699157126</c:v>
                </c:pt>
                <c:pt idx="265">
                  <c:v>0.826949419807197</c:v>
                </c:pt>
                <c:pt idx="266">
                  <c:v>0.8247117359387236</c:v>
                </c:pt>
                <c:pt idx="267">
                  <c:v>0.8224433359632052</c:v>
                </c:pt>
                <c:pt idx="268">
                  <c:v>0.8201440482465688</c:v>
                </c:pt>
                <c:pt idx="269">
                  <c:v>0.8178137131766068</c:v>
                </c:pt>
                <c:pt idx="270">
                  <c:v>0.8154521845485307</c:v>
                </c:pt>
                <c:pt idx="271">
                  <c:v>0.8130593310299201</c:v>
                </c:pt>
                <c:pt idx="272">
                  <c:v>0.810635037707718</c:v>
                </c:pt>
                <c:pt idx="273">
                  <c:v>0.8081792077198307</c:v>
                </c:pt>
                <c:pt idx="274">
                  <c:v>0.8056917639737949</c:v>
                </c:pt>
                <c:pt idx="275">
                  <c:v>0.8031726509548285</c:v>
                </c:pt>
                <c:pt idx="276">
                  <c:v>0.8006218366254161</c:v>
                </c:pt>
                <c:pt idx="277">
                  <c:v>0.7980393144183805</c:v>
                </c:pt>
                <c:pt idx="278">
                  <c:v>0.7954251053251333</c:v>
                </c:pt>
                <c:pt idx="279">
                  <c:v>0.7927792600805217</c:v>
                </c:pt>
                <c:pt idx="280">
                  <c:v>0.7901018614453408</c:v>
                </c:pt>
                <c:pt idx="281">
                  <c:v>0.7873930265872076</c:v>
                </c:pt>
                <c:pt idx="282">
                  <c:v>0.7846529095600275</c:v>
                </c:pt>
                <c:pt idx="283">
                  <c:v>0.78188170388181</c:v>
                </c:pt>
                <c:pt idx="284">
                  <c:v>0.7790796452099901</c:v>
                </c:pt>
                <c:pt idx="285">
                  <c:v>0.7762470141128096</c:v>
                </c:pt>
                <c:pt idx="286">
                  <c:v>0.7733841389345807</c:v>
                </c:pt>
                <c:pt idx="287">
                  <c:v>0.7704913987518808</c:v>
                </c:pt>
                <c:pt idx="288">
                  <c:v>0.7675692264168666</c:v>
                </c:pt>
                <c:pt idx="289">
                  <c:v>0.7646181116829436</c:v>
                </c:pt>
                <c:pt idx="290">
                  <c:v>0.7616386044069946</c:v>
                </c:pt>
                <c:pt idx="291">
                  <c:v>0.7586313178212575</c:v>
                </c:pt>
                <c:pt idx="292">
                  <c:v>0.7555969318667184</c:v>
                </c:pt>
                <c:pt idx="293">
                  <c:v>0.7525361965785977</c:v>
                </c:pt>
                <c:pt idx="294">
                  <c:v>0.7494499355130999</c:v>
                </c:pt>
                <c:pt idx="295">
                  <c:v>0.7463390492031302</c:v>
                </c:pt>
                <c:pt idx="296">
                  <c:v>0.743204518629092</c:v>
                </c:pt>
                <c:pt idx="297">
                  <c:v>0.7400474086892459</c:v>
                </c:pt>
                <c:pt idx="298">
                  <c:v>0.736868871652369</c:v>
                </c:pt>
                <c:pt idx="299">
                  <c:v>0.7336701505736543</c:v>
                </c:pt>
                <c:pt idx="300">
                  <c:v>0.7304525826529402</c:v>
                </c:pt>
                <c:pt idx="301">
                  <c:v>0.727217602512449</c:v>
                </c:pt>
                <c:pt idx="302">
                  <c:v>0.7239667453692717</c:v>
                </c:pt>
                <c:pt idx="303">
                  <c:v>0.720701650075902</c:v>
                </c:pt>
                <c:pt idx="304">
                  <c:v>0.7174240620001571</c:v>
                </c:pt>
                <c:pt idx="305">
                  <c:v>0.7141358357139214</c:v>
                </c:pt>
                <c:pt idx="306">
                  <c:v>0.7108389374582864</c:v>
                </c:pt>
                <c:pt idx="307">
                  <c:v>0.7075354473508897</c:v>
                </c:pt>
                <c:pt idx="308">
                  <c:v>0.7042275612995914</c:v>
                </c:pt>
                <c:pt idx="309">
                  <c:v>0.7009175925851502</c:v>
                </c:pt>
                <c:pt idx="310">
                  <c:v>0.6976079730742328</c:v>
                </c:pt>
                <c:pt idx="311">
                  <c:v>0.6943012540230418</c:v>
                </c:pt>
                <c:pt idx="312">
                  <c:v>0.691000106431045</c:v>
                </c:pt>
                <c:pt idx="313">
                  <c:v>0.6877073209038393</c:v>
                </c:pt>
                <c:pt idx="314">
                  <c:v>0.6844258069840821</c:v>
                </c:pt>
                <c:pt idx="315">
                  <c:v>0.68115859190976</c:v>
                </c:pt>
                <c:pt idx="316">
                  <c:v>0.6779088187598654</c:v>
                </c:pt>
                <c:pt idx="317">
                  <c:v>0.6746797439488592</c:v>
                </c:pt>
                <c:pt idx="318">
                  <c:v>0.6714747340331758</c:v>
                </c:pt>
                <c:pt idx="319">
                  <c:v>0.6682972617954923</c:v>
                </c:pt>
                <c:pt idx="320">
                  <c:v>0.665150901575591</c:v>
                </c:pt>
                <c:pt idx="321">
                  <c:v>0.6620393238204061</c:v>
                </c:pt>
                <c:pt idx="322">
                  <c:v>0.6589662888303037</c:v>
                </c:pt>
                <c:pt idx="323">
                  <c:v>0.6559356396837833</c:v>
                </c:pt>
                <c:pt idx="324">
                  <c:v>0.6529512943286424</c:v>
                </c:pt>
                <c:pt idx="325">
                  <c:v>0.6500172368341657</c:v>
                </c:pt>
                <c:pt idx="326">
                  <c:v>0.6471375078061097</c:v>
                </c:pt>
                <c:pt idx="327">
                  <c:v>0.6443161939740483</c:v>
                </c:pt>
                <c:pt idx="328">
                  <c:v>0.6415574169690561</c:v>
                </c:pt>
                <c:pt idx="329">
                  <c:v>0.6388653213185607</c:v>
                </c:pt>
                <c:pt idx="330">
                  <c:v>0.6362440616945046</c:v>
                </c:pt>
                <c:pt idx="331">
                  <c:v>0.633697789460551</c:v>
                </c:pt>
                <c:pt idx="332">
                  <c:v>0.6312306385738344</c:v>
                </c:pt>
                <c:pt idx="333">
                  <c:v>0.6288467109066092</c:v>
                </c:pt>
                <c:pt idx="334">
                  <c:v>0.6265500610628629</c:v>
                </c:pt>
                <c:pt idx="335">
                  <c:v>0.6243446807744422</c:v>
                </c:pt>
                <c:pt idx="336">
                  <c:v>0.6222344829702766</c:v>
                </c:pt>
                <c:pt idx="337">
                  <c:v>0.6202232856207379</c:v>
                </c:pt>
                <c:pt idx="338">
                  <c:v>0.6183147954668249</c:v>
                </c:pt>
                <c:pt idx="339">
                  <c:v>0.616512591750573</c:v>
                </c:pt>
                <c:pt idx="340">
                  <c:v>0.6148201100686859</c:v>
                </c:pt>
                <c:pt idx="341">
                  <c:v>0.6132406264756737</c:v>
                </c:pt>
                <c:pt idx="342">
                  <c:v>0.611777241965689</c:v>
                </c:pt>
                <c:pt idx="343">
                  <c:v>0.6104328674635664</c:v>
                </c:pt>
                <c:pt idx="344">
                  <c:v>0.6092102094552758</c:v>
                </c:pt>
                <c:pt idx="345">
                  <c:v>0.6081117563859797</c:v>
                </c:pt>
                <c:pt idx="346">
                  <c:v>0.6071397659500759</c:v>
                </c:pt>
                <c:pt idx="347">
                  <c:v>0.60629625339209</c:v>
                </c:pt>
                <c:pt idx="348">
                  <c:v>0.6055829809299677</c:v>
                </c:pt>
                <c:pt idx="349">
                  <c:v>0.605001448403371</c:v>
                </c:pt>
                <c:pt idx="350">
                  <c:v>0.6045528852390378</c:v>
                </c:pt>
                <c:pt idx="351">
                  <c:v>0.6042382438132975</c:v>
                </c:pt>
                <c:pt idx="352">
                  <c:v>0.6040581942785848</c:v>
                </c:pt>
                <c:pt idx="353">
                  <c:v>0.6040131209064673</c:v>
                </c:pt>
                <c:pt idx="354">
                  <c:v>0.6041031199845408</c:v>
                </c:pt>
                <c:pt idx="355">
                  <c:v>0.6043279992887488</c:v>
                </c:pt>
                <c:pt idx="356">
                  <c:v>0.6046872791365397</c:v>
                </c:pt>
                <c:pt idx="357">
                  <c:v>0.6051801950100594</c:v>
                </c:pt>
                <c:pt idx="358">
                  <c:v>0.6058057017225104</c:v>
                </c:pt>
                <c:pt idx="359">
                  <c:v>0.6065624790852033</c:v>
                </c:pt>
                <c:pt idx="360">
                  <c:v>0.6074489390179125</c:v>
                </c:pt>
                <c:pt idx="361">
                  <c:v>0.608463234031155</c:v>
                </c:pt>
                <c:pt idx="362">
                  <c:v>0.6096032669961683</c:v>
                </c:pt>
                <c:pt idx="363">
                  <c:v>0.61086670210686</c:v>
                </c:pt>
                <c:pt idx="364">
                  <c:v>0.6122509769279556</c:v>
                </c:pt>
              </c:numCache>
            </c:numRef>
          </c:yVal>
          <c:smooth val="0"/>
        </c:ser>
        <c:axId val="40385198"/>
        <c:axId val="27922463"/>
      </c:scatterChart>
      <c:valAx>
        <c:axId val="40385198"/>
        <c:scaling>
          <c:orientation val="minMax"/>
          <c:max val="39082"/>
          <c:min val="38718"/>
        </c:scaling>
        <c:axPos val="b"/>
        <c:delete val="0"/>
        <c:numFmt formatCode="General" sourceLinked="1"/>
        <c:majorTickMark val="out"/>
        <c:minorTickMark val="none"/>
        <c:tickLblPos val="nextTo"/>
        <c:crossAx val="27922463"/>
        <c:crosses val="autoZero"/>
        <c:crossBetween val="midCat"/>
        <c:dispUnits/>
        <c:majorUnit val="60"/>
      </c:valAx>
      <c:valAx>
        <c:axId val="27922463"/>
        <c:scaling>
          <c:orientation val="minMax"/>
          <c:max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85198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'Irrig converter'!$H$7</c:f>
              <c:strCache>
                <c:ptCount val="1"/>
                <c:pt idx="0">
                  <c:v>mm/day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'Irrig converter'!$E$8:$E$372</c:f>
              <c:strCache/>
            </c:strRef>
          </c:xVal>
          <c:yVal>
            <c:numRef>
              <c:f>'Irrig converter'!$H$8:$H$372</c:f>
              <c:numCache/>
            </c:numRef>
          </c:yVal>
          <c:smooth val="0"/>
        </c:ser>
        <c:axId val="49975576"/>
        <c:axId val="47127001"/>
      </c:scatterChart>
      <c:valAx>
        <c:axId val="49975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27001"/>
        <c:crosses val="autoZero"/>
        <c:crossBetween val="midCat"/>
        <c:dispUnits/>
      </c:valAx>
      <c:valAx>
        <c:axId val="47127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Irrig (mm/day)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755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47625</xdr:rowOff>
    </xdr:from>
    <xdr:to>
      <xdr:col>11</xdr:col>
      <xdr:colOff>371475</xdr:colOff>
      <xdr:row>21</xdr:row>
      <xdr:rowOff>123825</xdr:rowOff>
    </xdr:to>
    <xdr:graphicFrame>
      <xdr:nvGraphicFramePr>
        <xdr:cNvPr id="1" name="Chart 3"/>
        <xdr:cNvGraphicFramePr/>
      </xdr:nvGraphicFramePr>
      <xdr:xfrm>
        <a:off x="4429125" y="47625"/>
        <a:ext cx="53530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485775</xdr:colOff>
      <xdr:row>0</xdr:row>
      <xdr:rowOff>66675</xdr:rowOff>
    </xdr:from>
    <xdr:to>
      <xdr:col>19</xdr:col>
      <xdr:colOff>285750</xdr:colOff>
      <xdr:row>21</xdr:row>
      <xdr:rowOff>133350</xdr:rowOff>
    </xdr:to>
    <xdr:graphicFrame>
      <xdr:nvGraphicFramePr>
        <xdr:cNvPr id="2" name="Chart 4"/>
        <xdr:cNvGraphicFramePr/>
      </xdr:nvGraphicFramePr>
      <xdr:xfrm>
        <a:off x="9896475" y="66675"/>
        <a:ext cx="49053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4</xdr:row>
      <xdr:rowOff>142875</xdr:rowOff>
    </xdr:from>
    <xdr:to>
      <xdr:col>15</xdr:col>
      <xdr:colOff>28575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4943475" y="790575"/>
        <a:ext cx="49911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6</xdr:row>
      <xdr:rowOff>200025</xdr:rowOff>
    </xdr:from>
    <xdr:to>
      <xdr:col>17</xdr:col>
      <xdr:colOff>171450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6553200" y="1171575"/>
        <a:ext cx="50577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0</xdr:row>
      <xdr:rowOff>19050</xdr:rowOff>
    </xdr:from>
    <xdr:to>
      <xdr:col>11</xdr:col>
      <xdr:colOff>895350</xdr:colOff>
      <xdr:row>10</xdr:row>
      <xdr:rowOff>142875</xdr:rowOff>
    </xdr:to>
    <xdr:graphicFrame>
      <xdr:nvGraphicFramePr>
        <xdr:cNvPr id="1" name="Chart 1"/>
        <xdr:cNvGraphicFramePr/>
      </xdr:nvGraphicFramePr>
      <xdr:xfrm>
        <a:off x="5543550" y="19050"/>
        <a:ext cx="3438525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5</xdr:row>
      <xdr:rowOff>66675</xdr:rowOff>
    </xdr:from>
    <xdr:to>
      <xdr:col>16</xdr:col>
      <xdr:colOff>466725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6496050" y="876300"/>
        <a:ext cx="40671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rs%20Pierce\Desktop\VSIM\CosineCo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SIMworksheet"/>
      <sheetName val="CosCorr"/>
      <sheetName val="RadvsETo"/>
    </sheetNames>
    <sheetDataSet>
      <sheetData sheetId="0">
        <row r="13">
          <cell r="J13" t="str">
            <v>correction</v>
          </cell>
        </row>
        <row r="14">
          <cell r="A14">
            <v>38718</v>
          </cell>
          <cell r="J14">
            <v>0.6139281114959878</v>
          </cell>
        </row>
        <row r="15">
          <cell r="A15">
            <v>38719</v>
          </cell>
          <cell r="J15">
            <v>0.615558184551065</v>
          </cell>
        </row>
        <row r="16">
          <cell r="A16">
            <v>38720</v>
          </cell>
          <cell r="J16">
            <v>0.6172998211074299</v>
          </cell>
        </row>
        <row r="17">
          <cell r="A17">
            <v>38721</v>
          </cell>
          <cell r="J17">
            <v>0.6191496722977453</v>
          </cell>
        </row>
        <row r="18">
          <cell r="A18">
            <v>38722</v>
          </cell>
          <cell r="J18">
            <v>0.6211042367351494</v>
          </cell>
        </row>
        <row r="19">
          <cell r="A19">
            <v>38723</v>
          </cell>
          <cell r="J19">
            <v>0.6231598765367596</v>
          </cell>
        </row>
        <row r="20">
          <cell r="A20">
            <v>38724</v>
          </cell>
          <cell r="J20">
            <v>0.6253128335401467</v>
          </cell>
        </row>
        <row r="21">
          <cell r="A21">
            <v>38725</v>
          </cell>
          <cell r="J21">
            <v>0.627559245588223</v>
          </cell>
        </row>
        <row r="22">
          <cell r="A22">
            <v>38726</v>
          </cell>
          <cell r="J22">
            <v>0.6298951627628899</v>
          </cell>
        </row>
        <row r="23">
          <cell r="A23">
            <v>38727</v>
          </cell>
          <cell r="J23">
            <v>0.632316563453895</v>
          </cell>
        </row>
        <row r="24">
          <cell r="A24">
            <v>38728</v>
          </cell>
          <cell r="J24">
            <v>0.6348193701565018</v>
          </cell>
        </row>
        <row r="25">
          <cell r="A25">
            <v>38729</v>
          </cell>
          <cell r="J25">
            <v>0.6373994648996021</v>
          </cell>
        </row>
        <row r="26">
          <cell r="A26">
            <v>38730</v>
          </cell>
          <cell r="J26">
            <v>0.6400527042146391</v>
          </cell>
        </row>
        <row r="27">
          <cell r="A27">
            <v>38731</v>
          </cell>
          <cell r="J27">
            <v>0.6427749335649597</v>
          </cell>
        </row>
        <row r="28">
          <cell r="A28">
            <v>38732</v>
          </cell>
          <cell r="J28">
            <v>0.6455620011648213</v>
          </cell>
        </row>
        <row r="29">
          <cell r="A29">
            <v>38733</v>
          </cell>
          <cell r="J29">
            <v>0.6484097711270782</v>
          </cell>
        </row>
        <row r="30">
          <cell r="A30">
            <v>38734</v>
          </cell>
          <cell r="J30">
            <v>0.6513141358883937</v>
          </cell>
        </row>
        <row r="31">
          <cell r="A31">
            <v>38735</v>
          </cell>
          <cell r="J31">
            <v>0.6542710278705414</v>
          </cell>
        </row>
        <row r="32">
          <cell r="A32">
            <v>38736</v>
          </cell>
          <cell r="J32">
            <v>0.6572764303458265</v>
          </cell>
        </row>
        <row r="33">
          <cell r="A33">
            <v>38737</v>
          </cell>
          <cell r="J33">
            <v>0.6603263874837976</v>
          </cell>
        </row>
        <row r="34">
          <cell r="A34">
            <v>38738</v>
          </cell>
          <cell r="J34">
            <v>0.6634170135650604</v>
          </cell>
        </row>
        <row r="35">
          <cell r="A35">
            <v>38739</v>
          </cell>
          <cell r="J35">
            <v>0.6665445013561783</v>
          </cell>
        </row>
        <row r="36">
          <cell r="A36">
            <v>38740</v>
          </cell>
          <cell r="J36">
            <v>0.6697051296471573</v>
          </cell>
        </row>
        <row r="37">
          <cell r="A37">
            <v>38741</v>
          </cell>
          <cell r="J37">
            <v>0.6728952699599454</v>
          </cell>
        </row>
        <row r="38">
          <cell r="A38">
            <v>38742</v>
          </cell>
          <cell r="J38">
            <v>0.6761113924425834</v>
          </cell>
        </row>
        <row r="39">
          <cell r="A39">
            <v>38743</v>
          </cell>
          <cell r="J39">
            <v>0.6793500709691899</v>
          </cell>
        </row>
        <row r="40">
          <cell r="A40">
            <v>38744</v>
          </cell>
          <cell r="J40">
            <v>0.6826079874707996</v>
          </cell>
        </row>
        <row r="41">
          <cell r="A41">
            <v>38745</v>
          </cell>
          <cell r="J41">
            <v>0.6858819355262156</v>
          </cell>
        </row>
        <row r="42">
          <cell r="A42">
            <v>38746</v>
          </cell>
          <cell r="J42">
            <v>0.6891688232455075</v>
          </cell>
        </row>
        <row r="43">
          <cell r="A43">
            <v>38747</v>
          </cell>
          <cell r="J43">
            <v>0.6924656754816073</v>
          </cell>
        </row>
        <row r="44">
          <cell r="A44">
            <v>38748</v>
          </cell>
          <cell r="J44">
            <v>0.6957696354076488</v>
          </cell>
        </row>
        <row r="45">
          <cell r="A45">
            <v>38749</v>
          </cell>
          <cell r="J45">
            <v>0.6990779654993239</v>
          </cell>
        </row>
        <row r="46">
          <cell r="A46">
            <v>38750</v>
          </cell>
          <cell r="J46">
            <v>0.7023880479625981</v>
          </cell>
        </row>
        <row r="47">
          <cell r="A47">
            <v>38751</v>
          </cell>
          <cell r="J47">
            <v>0.7056973846477229</v>
          </cell>
        </row>
        <row r="48">
          <cell r="A48">
            <v>38752</v>
          </cell>
          <cell r="J48">
            <v>0.7090035964906128</v>
          </cell>
        </row>
        <row r="49">
          <cell r="A49">
            <v>38753</v>
          </cell>
          <cell r="J49">
            <v>0.7123044225224033</v>
          </cell>
        </row>
        <row r="50">
          <cell r="A50">
            <v>38754</v>
          </cell>
          <cell r="J50">
            <v>0.7155977184873814</v>
          </cell>
        </row>
        <row r="51">
          <cell r="A51">
            <v>38755</v>
          </cell>
          <cell r="J51">
            <v>0.7188814551085734</v>
          </cell>
        </row>
        <row r="52">
          <cell r="A52">
            <v>38756</v>
          </cell>
          <cell r="J52">
            <v>0.7221537160390934</v>
          </cell>
        </row>
        <row r="53">
          <cell r="A53">
            <v>38757</v>
          </cell>
          <cell r="J53">
            <v>0.7254126955359512</v>
          </cell>
        </row>
        <row r="54">
          <cell r="A54">
            <v>38758</v>
          </cell>
          <cell r="J54">
            <v>0.7286566958914684</v>
          </cell>
        </row>
        <row r="55">
          <cell r="A55">
            <v>38759</v>
          </cell>
          <cell r="J55">
            <v>0.7318841246557116</v>
          </cell>
        </row>
        <row r="56">
          <cell r="A56">
            <v>38760</v>
          </cell>
          <cell r="J56">
            <v>0.7350934916815671</v>
          </cell>
        </row>
        <row r="57">
          <cell r="A57">
            <v>38761</v>
          </cell>
          <cell r="J57">
            <v>0.7382834060221685</v>
          </cell>
        </row>
        <row r="58">
          <cell r="A58">
            <v>38762</v>
          </cell>
          <cell r="J58">
            <v>0.741452572708475</v>
          </cell>
        </row>
        <row r="59">
          <cell r="A59">
            <v>38763</v>
          </cell>
          <cell r="J59">
            <v>0.7445997894328378</v>
          </cell>
        </row>
        <row r="60">
          <cell r="A60">
            <v>38764</v>
          </cell>
          <cell r="J60">
            <v>0.7477239431624488</v>
          </cell>
        </row>
        <row r="61">
          <cell r="A61">
            <v>38765</v>
          </cell>
          <cell r="J61">
            <v>0.7508240067046421</v>
          </cell>
        </row>
        <row r="62">
          <cell r="A62">
            <v>38766</v>
          </cell>
          <cell r="J62">
            <v>0.753899035244128</v>
          </cell>
        </row>
        <row r="63">
          <cell r="A63">
            <v>38767</v>
          </cell>
          <cell r="J63">
            <v>0.7569481628704133</v>
          </cell>
        </row>
        <row r="64">
          <cell r="A64">
            <v>38768</v>
          </cell>
          <cell r="J64">
            <v>0.7599705991118855</v>
          </cell>
        </row>
        <row r="65">
          <cell r="A65">
            <v>38769</v>
          </cell>
          <cell r="J65">
            <v>0.7629656254913472</v>
          </cell>
        </row>
        <row r="66">
          <cell r="A66">
            <v>38770</v>
          </cell>
          <cell r="J66">
            <v>0.7659325921161675</v>
          </cell>
        </row>
        <row r="67">
          <cell r="A67">
            <v>38771</v>
          </cell>
          <cell r="J67">
            <v>0.7688709143146849</v>
          </cell>
        </row>
        <row r="68">
          <cell r="A68">
            <v>38772</v>
          </cell>
          <cell r="J68">
            <v>0.771780069329056</v>
          </cell>
        </row>
        <row r="69">
          <cell r="A69">
            <v>38773</v>
          </cell>
          <cell r="J69">
            <v>0.7746595930733892</v>
          </cell>
        </row>
        <row r="70">
          <cell r="A70">
            <v>38774</v>
          </cell>
          <cell r="J70">
            <v>0.7775090769647386</v>
          </cell>
        </row>
        <row r="71">
          <cell r="A71">
            <v>38775</v>
          </cell>
          <cell r="J71">
            <v>0.7803281648333679</v>
          </cell>
        </row>
        <row r="72">
          <cell r="A72">
            <v>38776</v>
          </cell>
          <cell r="J72">
            <v>0.7831165499176062</v>
          </cell>
        </row>
        <row r="73">
          <cell r="A73">
            <v>38777</v>
          </cell>
          <cell r="J73">
            <v>0.7858739719476276</v>
          </cell>
        </row>
        <row r="74">
          <cell r="A74">
            <v>38778</v>
          </cell>
          <cell r="J74">
            <v>0.7886002143215786</v>
          </cell>
        </row>
        <row r="75">
          <cell r="A75">
            <v>38779</v>
          </cell>
          <cell r="J75">
            <v>0.7912951013766416</v>
          </cell>
        </row>
        <row r="76">
          <cell r="A76">
            <v>38780</v>
          </cell>
          <cell r="J76">
            <v>0.7939584957568885</v>
          </cell>
        </row>
        <row r="77">
          <cell r="A77">
            <v>38781</v>
          </cell>
          <cell r="J77">
            <v>0.7965902958790851</v>
          </cell>
        </row>
        <row r="78">
          <cell r="A78">
            <v>38782</v>
          </cell>
          <cell r="J78">
            <v>0.7991904334970218</v>
          </cell>
        </row>
        <row r="79">
          <cell r="A79">
            <v>38783</v>
          </cell>
          <cell r="J79">
            <v>0.8017588713643914</v>
          </cell>
        </row>
        <row r="80">
          <cell r="A80">
            <v>38784</v>
          </cell>
          <cell r="J80">
            <v>0.8042956009957705</v>
          </cell>
        </row>
        <row r="81">
          <cell r="A81">
            <v>38785</v>
          </cell>
          <cell r="J81">
            <v>0.806800640524836</v>
          </cell>
        </row>
        <row r="82">
          <cell r="A82">
            <v>38786</v>
          </cell>
          <cell r="J82">
            <v>0.8092740326585883</v>
          </cell>
        </row>
        <row r="83">
          <cell r="A83">
            <v>38787</v>
          </cell>
          <cell r="J83">
            <v>0.811715842726033</v>
          </cell>
        </row>
        <row r="84">
          <cell r="A84">
            <v>38788</v>
          </cell>
          <cell r="J84">
            <v>0.8141261568195097</v>
          </cell>
        </row>
        <row r="85">
          <cell r="A85">
            <v>38789</v>
          </cell>
          <cell r="J85">
            <v>0.8165050800266244</v>
          </cell>
        </row>
        <row r="86">
          <cell r="A86">
            <v>38790</v>
          </cell>
          <cell r="J86">
            <v>0.818852734750554</v>
          </cell>
        </row>
        <row r="87">
          <cell r="A87">
            <v>38791</v>
          </cell>
          <cell r="J87">
            <v>0.8211692591163401</v>
          </cell>
        </row>
        <row r="88">
          <cell r="A88">
            <v>38792</v>
          </cell>
          <cell r="J88">
            <v>0.823454805460662</v>
          </cell>
        </row>
        <row r="89">
          <cell r="A89">
            <v>38793</v>
          </cell>
          <cell r="J89">
            <v>0.8257095389024863</v>
          </cell>
        </row>
        <row r="90">
          <cell r="A90">
            <v>38794</v>
          </cell>
          <cell r="J90">
            <v>0.827933635991923</v>
          </cell>
        </row>
        <row r="91">
          <cell r="A91">
            <v>38795</v>
          </cell>
          <cell r="J91">
            <v>0.8301272834345664</v>
          </cell>
        </row>
        <row r="92">
          <cell r="A92">
            <v>38796</v>
          </cell>
          <cell r="J92">
            <v>0.8322906768885814</v>
          </cell>
        </row>
        <row r="93">
          <cell r="A93">
            <v>38797</v>
          </cell>
          <cell r="J93">
            <v>0.8344240198317727</v>
          </cell>
        </row>
        <row r="94">
          <cell r="A94">
            <v>38798</v>
          </cell>
          <cell r="J94">
            <v>0.836527522495902</v>
          </cell>
        </row>
        <row r="95">
          <cell r="A95">
            <v>38799</v>
          </cell>
          <cell r="J95">
            <v>0.8386014008655159</v>
          </cell>
        </row>
        <row r="96">
          <cell r="A96">
            <v>38800</v>
          </cell>
          <cell r="J96">
            <v>0.8406458757385975</v>
          </cell>
        </row>
        <row r="97">
          <cell r="A97">
            <v>38801</v>
          </cell>
          <cell r="J97">
            <v>0.8426611718463893</v>
          </cell>
        </row>
        <row r="98">
          <cell r="A98">
            <v>38802</v>
          </cell>
          <cell r="J98">
            <v>0.8446475170297841</v>
          </cell>
        </row>
        <row r="99">
          <cell r="A99">
            <v>38803</v>
          </cell>
          <cell r="J99">
            <v>0.8466051414697449</v>
          </cell>
        </row>
        <row r="100">
          <cell r="A100">
            <v>38804</v>
          </cell>
          <cell r="J100">
            <v>0.848534276969273</v>
          </cell>
        </row>
        <row r="101">
          <cell r="A101">
            <v>38805</v>
          </cell>
          <cell r="J101">
            <v>0.8504351562845166</v>
          </cell>
        </row>
        <row r="102">
          <cell r="A102">
            <v>38806</v>
          </cell>
          <cell r="J102">
            <v>0.8523080125026813</v>
          </cell>
        </row>
        <row r="103">
          <cell r="A103">
            <v>38807</v>
          </cell>
          <cell r="J103">
            <v>0.8541530784644823</v>
          </cell>
        </row>
        <row r="104">
          <cell r="A104">
            <v>38808</v>
          </cell>
          <cell r="J104">
            <v>0.8559705862289542</v>
          </cell>
        </row>
        <row r="105">
          <cell r="A105">
            <v>38809</v>
          </cell>
          <cell r="J105">
            <v>0.8577607665785131</v>
          </cell>
        </row>
        <row r="106">
          <cell r="A106">
            <v>38810</v>
          </cell>
          <cell r="J106">
            <v>0.8595238485622462</v>
          </cell>
        </row>
        <row r="107">
          <cell r="A107">
            <v>38811</v>
          </cell>
          <cell r="J107">
            <v>0.8612600590754825</v>
          </cell>
        </row>
        <row r="108">
          <cell r="A108">
            <v>38812</v>
          </cell>
          <cell r="J108">
            <v>0.8629696224737802</v>
          </cell>
        </row>
        <row r="109">
          <cell r="A109">
            <v>38813</v>
          </cell>
          <cell r="J109">
            <v>0.8646527602195417</v>
          </cell>
        </row>
        <row r="110">
          <cell r="A110">
            <v>38814</v>
          </cell>
          <cell r="J110">
            <v>0.8663096905595494</v>
          </cell>
        </row>
        <row r="111">
          <cell r="A111">
            <v>38815</v>
          </cell>
          <cell r="J111">
            <v>0.8679406282317845</v>
          </cell>
        </row>
        <row r="112">
          <cell r="A112">
            <v>38816</v>
          </cell>
          <cell r="J112">
            <v>0.8695457841999749</v>
          </cell>
        </row>
        <row r="113">
          <cell r="A113">
            <v>38817</v>
          </cell>
          <cell r="J113">
            <v>0.8711253654143837</v>
          </cell>
        </row>
        <row r="114">
          <cell r="A114">
            <v>38818</v>
          </cell>
          <cell r="J114">
            <v>0.8726795745974221</v>
          </cell>
        </row>
        <row r="115">
          <cell r="A115">
            <v>38819</v>
          </cell>
          <cell r="J115">
            <v>0.8742086100527416</v>
          </cell>
        </row>
        <row r="116">
          <cell r="A116">
            <v>38820</v>
          </cell>
          <cell r="J116">
            <v>0.8757126654965229</v>
          </cell>
        </row>
        <row r="117">
          <cell r="A117">
            <v>38821</v>
          </cell>
          <cell r="J117">
            <v>0.8771919299097435</v>
          </cell>
        </row>
        <row r="118">
          <cell r="A118">
            <v>38822</v>
          </cell>
          <cell r="J118">
            <v>0.8786465874102701</v>
          </cell>
        </row>
        <row r="119">
          <cell r="A119">
            <v>38823</v>
          </cell>
          <cell r="J119">
            <v>0.8800768171436736</v>
          </cell>
        </row>
        <row r="120">
          <cell r="A120">
            <v>38824</v>
          </cell>
          <cell r="J120">
            <v>0.8814827931917285</v>
          </cell>
        </row>
        <row r="121">
          <cell r="A121">
            <v>38825</v>
          </cell>
          <cell r="J121">
            <v>0.8828646844976051</v>
          </cell>
        </row>
        <row r="122">
          <cell r="A122">
            <v>38826</v>
          </cell>
          <cell r="J122">
            <v>0.8842226548068178</v>
          </cell>
        </row>
        <row r="123">
          <cell r="A123">
            <v>38827</v>
          </cell>
          <cell r="J123">
            <v>0.8855568626230385</v>
          </cell>
        </row>
        <row r="124">
          <cell r="A124">
            <v>38828</v>
          </cell>
          <cell r="J124">
            <v>0.8868674611779315</v>
          </cell>
        </row>
        <row r="125">
          <cell r="A125">
            <v>38829</v>
          </cell>
          <cell r="J125">
            <v>0.8881545984142082</v>
          </cell>
        </row>
        <row r="126">
          <cell r="A126">
            <v>38830</v>
          </cell>
          <cell r="J126">
            <v>0.8894184169811407</v>
          </cell>
        </row>
        <row r="127">
          <cell r="A127">
            <v>38831</v>
          </cell>
          <cell r="J127">
            <v>0.8906590542418122</v>
          </cell>
        </row>
        <row r="128">
          <cell r="A128">
            <v>38832</v>
          </cell>
          <cell r="J128">
            <v>0.8918766422914167</v>
          </cell>
        </row>
        <row r="129">
          <cell r="A129">
            <v>38833</v>
          </cell>
          <cell r="J129">
            <v>0.8930713079859562</v>
          </cell>
        </row>
        <row r="130">
          <cell r="A130">
            <v>38834</v>
          </cell>
          <cell r="J130">
            <v>0.8942431729807137</v>
          </cell>
        </row>
        <row r="131">
          <cell r="A131">
            <v>38835</v>
          </cell>
          <cell r="J131">
            <v>0.8953923537779059</v>
          </cell>
        </row>
        <row r="132">
          <cell r="A132">
            <v>38836</v>
          </cell>
          <cell r="J132">
            <v>0.8965189617829593</v>
          </cell>
        </row>
        <row r="133">
          <cell r="A133">
            <v>38837</v>
          </cell>
          <cell r="J133">
            <v>0.897623103368857</v>
          </cell>
        </row>
        <row r="134">
          <cell r="A134">
            <v>38838</v>
          </cell>
          <cell r="J134">
            <v>0.8987048799480515</v>
          </cell>
        </row>
        <row r="135">
          <cell r="A135">
            <v>38839</v>
          </cell>
          <cell r="J135">
            <v>0.8997643880514412</v>
          </cell>
        </row>
        <row r="136">
          <cell r="A136">
            <v>38840</v>
          </cell>
          <cell r="J136">
            <v>0.9008017194139368</v>
          </cell>
        </row>
        <row r="137">
          <cell r="A137">
            <v>38841</v>
          </cell>
          <cell r="J137">
            <v>0.9018169610661607</v>
          </cell>
        </row>
        <row r="138">
          <cell r="A138">
            <v>38842</v>
          </cell>
          <cell r="J138">
            <v>0.9028101954318399</v>
          </cell>
        </row>
        <row r="139">
          <cell r="A139">
            <v>38843</v>
          </cell>
          <cell r="J139">
            <v>0.9037815004304642</v>
          </cell>
        </row>
        <row r="140">
          <cell r="A140">
            <v>38844</v>
          </cell>
          <cell r="J140">
            <v>0.9047309495847993</v>
          </cell>
        </row>
        <row r="141">
          <cell r="A141">
            <v>38845</v>
          </cell>
          <cell r="J141">
            <v>0.9056586121328568</v>
          </cell>
        </row>
        <row r="142">
          <cell r="A142">
            <v>38846</v>
          </cell>
          <cell r="J142">
            <v>0.90656455314393</v>
          </cell>
        </row>
        <row r="143">
          <cell r="A143">
            <v>38847</v>
          </cell>
          <cell r="J143">
            <v>0.9074488336383211</v>
          </cell>
        </row>
        <row r="144">
          <cell r="A144">
            <v>38848</v>
          </cell>
          <cell r="J144">
            <v>0.9083115107103877</v>
          </cell>
        </row>
        <row r="145">
          <cell r="A145">
            <v>38849</v>
          </cell>
          <cell r="J145">
            <v>0.9091526376545521</v>
          </cell>
        </row>
        <row r="146">
          <cell r="A146">
            <v>38850</v>
          </cell>
          <cell r="J146">
            <v>0.9099722640939166</v>
          </cell>
        </row>
        <row r="147">
          <cell r="A147">
            <v>38851</v>
          </cell>
          <cell r="J147">
            <v>0.9107704361111407</v>
          </cell>
        </row>
        <row r="148">
          <cell r="A148">
            <v>38852</v>
          </cell>
          <cell r="J148">
            <v>0.9115471963812412</v>
          </cell>
        </row>
        <row r="149">
          <cell r="A149">
            <v>38853</v>
          </cell>
          <cell r="J149">
            <v>0.9123025843059751</v>
          </cell>
        </row>
        <row r="150">
          <cell r="A150">
            <v>38854</v>
          </cell>
          <cell r="J150">
            <v>0.9130366361494827</v>
          </cell>
        </row>
        <row r="151">
          <cell r="A151">
            <v>38855</v>
          </cell>
          <cell r="J151">
            <v>0.9137493851748608</v>
          </cell>
        </row>
        <row r="152">
          <cell r="A152">
            <v>38856</v>
          </cell>
          <cell r="J152">
            <v>0.9144408617813441</v>
          </cell>
        </row>
        <row r="153">
          <cell r="A153">
            <v>38857</v>
          </cell>
          <cell r="J153">
            <v>0.915111093641782</v>
          </cell>
        </row>
        <row r="154">
          <cell r="A154">
            <v>38858</v>
          </cell>
          <cell r="J154">
            <v>0.9157601058400934</v>
          </cell>
        </row>
        <row r="155">
          <cell r="A155">
            <v>38859</v>
          </cell>
          <cell r="J155">
            <v>0.9163879210083921</v>
          </cell>
        </row>
        <row r="156">
          <cell r="A156">
            <v>38860</v>
          </cell>
          <cell r="J156">
            <v>0.9169945594634747</v>
          </cell>
        </row>
        <row r="157">
          <cell r="A157">
            <v>38861</v>
          </cell>
          <cell r="J157">
            <v>0.9175800393423715</v>
          </cell>
        </row>
        <row r="158">
          <cell r="A158">
            <v>38862</v>
          </cell>
          <cell r="J158">
            <v>0.9181443767366576</v>
          </cell>
        </row>
        <row r="159">
          <cell r="A159">
            <v>38863</v>
          </cell>
          <cell r="J159">
            <v>0.9186875858252334</v>
          </cell>
        </row>
        <row r="160">
          <cell r="A160">
            <v>38864</v>
          </cell>
          <cell r="J160">
            <v>0.9192096790052818</v>
          </cell>
        </row>
        <row r="161">
          <cell r="A161">
            <v>38865</v>
          </cell>
          <cell r="J161">
            <v>0.919710667021116</v>
          </cell>
        </row>
        <row r="162">
          <cell r="A162">
            <v>38866</v>
          </cell>
          <cell r="J162">
            <v>0.9201905590906365</v>
          </cell>
        </row>
        <row r="163">
          <cell r="A163">
            <v>38867</v>
          </cell>
          <cell r="J163">
            <v>0.9206493630291214</v>
          </cell>
        </row>
        <row r="164">
          <cell r="A164">
            <v>38868</v>
          </cell>
          <cell r="J164">
            <v>0.9210870853700778</v>
          </cell>
        </row>
        <row r="165">
          <cell r="A165">
            <v>38869</v>
          </cell>
          <cell r="J165">
            <v>0.9215037314828909</v>
          </cell>
        </row>
        <row r="166">
          <cell r="A166">
            <v>38870</v>
          </cell>
          <cell r="J166">
            <v>0.9218993056870103</v>
          </cell>
        </row>
        <row r="167">
          <cell r="A167">
            <v>38871</v>
          </cell>
          <cell r="J167">
            <v>0.922273811362423</v>
          </cell>
        </row>
        <row r="168">
          <cell r="A168">
            <v>38872</v>
          </cell>
          <cell r="J168">
            <v>0.9226272510561678</v>
          </cell>
        </row>
        <row r="169">
          <cell r="A169">
            <v>38873</v>
          </cell>
          <cell r="J169">
            <v>0.9229596265846552</v>
          </cell>
        </row>
        <row r="170">
          <cell r="A170">
            <v>38874</v>
          </cell>
          <cell r="J170">
            <v>0.923270939131565</v>
          </cell>
        </row>
        <row r="171">
          <cell r="A171">
            <v>38875</v>
          </cell>
          <cell r="J171">
            <v>0.9235611893411005</v>
          </cell>
        </row>
        <row r="172">
          <cell r="A172">
            <v>38876</v>
          </cell>
          <cell r="J172">
            <v>0.9238303774063935</v>
          </cell>
        </row>
        <row r="173">
          <cell r="A173">
            <v>38877</v>
          </cell>
          <cell r="J173">
            <v>0.9240785031528577</v>
          </cell>
        </row>
        <row r="174">
          <cell r="A174">
            <v>38878</v>
          </cell>
          <cell r="J174">
            <v>0.9243055661163022</v>
          </cell>
        </row>
        <row r="175">
          <cell r="A175">
            <v>38879</v>
          </cell>
          <cell r="J175">
            <v>0.9245115656156302</v>
          </cell>
        </row>
        <row r="176">
          <cell r="A176">
            <v>38880</v>
          </cell>
          <cell r="J176">
            <v>0.9246965008199535</v>
          </cell>
        </row>
        <row r="177">
          <cell r="A177">
            <v>38881</v>
          </cell>
          <cell r="J177">
            <v>0.9248603708099727</v>
          </cell>
        </row>
        <row r="178">
          <cell r="A178">
            <v>38882</v>
          </cell>
          <cell r="J178">
            <v>0.9250031746334796</v>
          </cell>
        </row>
        <row r="179">
          <cell r="A179">
            <v>38883</v>
          </cell>
          <cell r="J179">
            <v>0.9251249113548554</v>
          </cell>
        </row>
        <row r="180">
          <cell r="A180">
            <v>38884</v>
          </cell>
          <cell r="J180">
            <v>0.925225580098451</v>
          </cell>
        </row>
        <row r="181">
          <cell r="A181">
            <v>38885</v>
          </cell>
          <cell r="J181">
            <v>0.9253051800857478</v>
          </cell>
        </row>
        <row r="182">
          <cell r="A182">
            <v>38886</v>
          </cell>
          <cell r="J182">
            <v>0.9253637106662129</v>
          </cell>
        </row>
        <row r="183">
          <cell r="A183">
            <v>38887</v>
          </cell>
          <cell r="J183">
            <v>0.9254011713417791</v>
          </cell>
        </row>
        <row r="184">
          <cell r="A184">
            <v>38888</v>
          </cell>
          <cell r="J184">
            <v>0.9254175617848898</v>
          </cell>
        </row>
        <row r="185">
          <cell r="A185">
            <v>38889</v>
          </cell>
          <cell r="J185">
            <v>0.9254128818500684</v>
          </cell>
        </row>
        <row r="186">
          <cell r="A186">
            <v>38890</v>
          </cell>
          <cell r="J186">
            <v>0.925387131578987</v>
          </cell>
        </row>
        <row r="187">
          <cell r="A187">
            <v>38891</v>
          </cell>
          <cell r="J187">
            <v>0.9253403111990174</v>
          </cell>
        </row>
        <row r="188">
          <cell r="A188">
            <v>38892</v>
          </cell>
          <cell r="J188">
            <v>0.9252724211152744</v>
          </cell>
        </row>
        <row r="189">
          <cell r="A189">
            <v>38893</v>
          </cell>
          <cell r="J189">
            <v>0.9251834618961646</v>
          </cell>
        </row>
        <row r="190">
          <cell r="A190">
            <v>38894</v>
          </cell>
          <cell r="J190">
            <v>0.9250734342524766</v>
          </cell>
        </row>
        <row r="191">
          <cell r="A191">
            <v>38895</v>
          </cell>
          <cell r="J191">
            <v>0.9249423390100617</v>
          </cell>
        </row>
        <row r="192">
          <cell r="A192">
            <v>38896</v>
          </cell>
          <cell r="J192">
            <v>0.924790177076168</v>
          </cell>
        </row>
        <row r="193">
          <cell r="A193">
            <v>38897</v>
          </cell>
          <cell r="J193">
            <v>0.9246169493995041</v>
          </cell>
        </row>
        <row r="194">
          <cell r="A194">
            <v>38898</v>
          </cell>
          <cell r="J194">
            <v>0.9244226569241301</v>
          </cell>
        </row>
        <row r="195">
          <cell r="A195">
            <v>38899</v>
          </cell>
          <cell r="J195">
            <v>0.9242073005372748</v>
          </cell>
        </row>
        <row r="196">
          <cell r="A196">
            <v>38900</v>
          </cell>
          <cell r="J196">
            <v>0.9239708810112077</v>
          </cell>
        </row>
        <row r="197">
          <cell r="A197">
            <v>38901</v>
          </cell>
          <cell r="J197">
            <v>0.9237133989392922</v>
          </cell>
        </row>
        <row r="198">
          <cell r="A198">
            <v>38902</v>
          </cell>
          <cell r="J198">
            <v>0.923434854666371</v>
          </cell>
        </row>
        <row r="199">
          <cell r="A199">
            <v>38903</v>
          </cell>
          <cell r="J199">
            <v>0.9231352482136418</v>
          </cell>
        </row>
        <row r="200">
          <cell r="A200">
            <v>38904</v>
          </cell>
          <cell r="J200">
            <v>0.9228145791981921</v>
          </cell>
        </row>
        <row r="201">
          <cell r="A201">
            <v>38905</v>
          </cell>
          <cell r="J201">
            <v>0.922472846747379</v>
          </cell>
        </row>
        <row r="202">
          <cell r="A202">
            <v>38906</v>
          </cell>
          <cell r="J202">
            <v>0.9221100494082441</v>
          </cell>
        </row>
        <row r="203">
          <cell r="A203">
            <v>38907</v>
          </cell>
          <cell r="J203">
            <v>0.9217261850521706</v>
          </cell>
        </row>
        <row r="204">
          <cell r="A204">
            <v>38908</v>
          </cell>
          <cell r="J204">
            <v>0.9213212507749942</v>
          </cell>
        </row>
        <row r="205">
          <cell r="A205">
            <v>38909</v>
          </cell>
          <cell r="J205">
            <v>0.9208952427927896</v>
          </cell>
        </row>
        <row r="206">
          <cell r="A206">
            <v>38910</v>
          </cell>
          <cell r="J206">
            <v>0.9204481563335698</v>
          </cell>
        </row>
        <row r="207">
          <cell r="A207">
            <v>38911</v>
          </cell>
          <cell r="J207">
            <v>0.9199799855251316</v>
          </cell>
        </row>
        <row r="208">
          <cell r="A208">
            <v>38912</v>
          </cell>
          <cell r="J208">
            <v>0.9194907232793003</v>
          </cell>
        </row>
        <row r="209">
          <cell r="A209">
            <v>38913</v>
          </cell>
          <cell r="J209">
            <v>0.9189803611728251</v>
          </cell>
        </row>
        <row r="210">
          <cell r="A210">
            <v>38914</v>
          </cell>
          <cell r="J210">
            <v>0.9184488893251902</v>
          </cell>
        </row>
        <row r="211">
          <cell r="A211">
            <v>38915</v>
          </cell>
          <cell r="J211">
            <v>0.9178962962736052</v>
          </cell>
        </row>
        <row r="212">
          <cell r="A212">
            <v>38916</v>
          </cell>
          <cell r="J212">
            <v>0.9173225688454515</v>
          </cell>
        </row>
        <row r="213">
          <cell r="A213">
            <v>38917</v>
          </cell>
          <cell r="J213">
            <v>0.9167276920284633</v>
          </cell>
        </row>
        <row r="214">
          <cell r="A214">
            <v>38918</v>
          </cell>
          <cell r="J214">
            <v>0.9161116488389236</v>
          </cell>
        </row>
        <row r="215">
          <cell r="A215">
            <v>38919</v>
          </cell>
          <cell r="J215">
            <v>0.9154744201881693</v>
          </cell>
        </row>
        <row r="216">
          <cell r="A216">
            <v>38920</v>
          </cell>
          <cell r="J216">
            <v>0.9148159847476913</v>
          </cell>
        </row>
        <row r="217">
          <cell r="A217">
            <v>38921</v>
          </cell>
          <cell r="J217">
            <v>0.9141363188131304</v>
          </cell>
        </row>
        <row r="218">
          <cell r="A218">
            <v>38922</v>
          </cell>
          <cell r="J218">
            <v>0.9134353961674699</v>
          </cell>
        </row>
        <row r="219">
          <cell r="A219">
            <v>38923</v>
          </cell>
          <cell r="J219">
            <v>0.9127131879437239</v>
          </cell>
        </row>
        <row r="220">
          <cell r="A220">
            <v>38924</v>
          </cell>
          <cell r="J220">
            <v>0.9119696624874369</v>
          </cell>
        </row>
        <row r="221">
          <cell r="A221">
            <v>38925</v>
          </cell>
          <cell r="J221">
            <v>0.9112047852192964</v>
          </cell>
        </row>
        <row r="222">
          <cell r="A222">
            <v>38926</v>
          </cell>
          <cell r="J222">
            <v>0.910418518498184</v>
          </cell>
        </row>
        <row r="223">
          <cell r="A223">
            <v>38927</v>
          </cell>
          <cell r="J223">
            <v>0.909610821484976</v>
          </cell>
        </row>
        <row r="224">
          <cell r="A224">
            <v>38928</v>
          </cell>
          <cell r="J224">
            <v>0.9087816500074175</v>
          </cell>
        </row>
        <row r="225">
          <cell r="A225">
            <v>38929</v>
          </cell>
          <cell r="J225">
            <v>0.9079309564264041</v>
          </cell>
        </row>
        <row r="226">
          <cell r="A226">
            <v>38930</v>
          </cell>
          <cell r="J226">
            <v>0.9070586895039928</v>
          </cell>
        </row>
        <row r="227">
          <cell r="A227">
            <v>38931</v>
          </cell>
          <cell r="J227">
            <v>0.9061647942734873</v>
          </cell>
        </row>
        <row r="228">
          <cell r="A228">
            <v>38932</v>
          </cell>
          <cell r="J228">
            <v>0.905249211911938</v>
          </cell>
        </row>
        <row r="229">
          <cell r="A229">
            <v>38933</v>
          </cell>
          <cell r="J229">
            <v>0.9043118796154042</v>
          </cell>
        </row>
        <row r="230">
          <cell r="A230">
            <v>38934</v>
          </cell>
          <cell r="J230">
            <v>0.9033527304773372</v>
          </cell>
        </row>
        <row r="231">
          <cell r="A231">
            <v>38935</v>
          </cell>
          <cell r="J231">
            <v>0.9023716933704473</v>
          </cell>
        </row>
        <row r="232">
          <cell r="A232">
            <v>38936</v>
          </cell>
          <cell r="J232">
            <v>0.9013686928324263</v>
          </cell>
        </row>
        <row r="233">
          <cell r="A233">
            <v>38937</v>
          </cell>
          <cell r="J233">
            <v>0.9003436489559092</v>
          </cell>
        </row>
        <row r="234">
          <cell r="A234">
            <v>38938</v>
          </cell>
          <cell r="J234">
            <v>0.8992964772830674</v>
          </cell>
        </row>
        <row r="235">
          <cell r="A235">
            <v>38939</v>
          </cell>
          <cell r="J235">
            <v>0.8982270887052384</v>
          </cell>
        </row>
        <row r="236">
          <cell r="A236">
            <v>38940</v>
          </cell>
          <cell r="J236">
            <v>0.8971353893680075</v>
          </cell>
        </row>
        <row r="237">
          <cell r="A237">
            <v>38941</v>
          </cell>
          <cell r="J237">
            <v>0.8960212805821794</v>
          </cell>
        </row>
        <row r="238">
          <cell r="A238">
            <v>38942</v>
          </cell>
          <cell r="J238">
            <v>0.8948846587410794</v>
          </cell>
        </row>
        <row r="239">
          <cell r="A239">
            <v>38943</v>
          </cell>
          <cell r="J239">
            <v>0.8937254152446568</v>
          </cell>
        </row>
        <row r="240">
          <cell r="A240">
            <v>38944</v>
          </cell>
          <cell r="J240">
            <v>0.8925434364308691</v>
          </cell>
        </row>
        <row r="241">
          <cell r="A241">
            <v>38945</v>
          </cell>
          <cell r="J241">
            <v>0.8913386035148567</v>
          </cell>
        </row>
        <row r="242">
          <cell r="A242">
            <v>38946</v>
          </cell>
          <cell r="J242">
            <v>0.8901107925364287</v>
          </cell>
        </row>
        <row r="243">
          <cell r="A243">
            <v>38947</v>
          </cell>
          <cell r="J243">
            <v>0.8888598743164159</v>
          </cell>
        </row>
        <row r="244">
          <cell r="A244">
            <v>38948</v>
          </cell>
          <cell r="J244">
            <v>0.8875857144224673</v>
          </cell>
        </row>
        <row r="245">
          <cell r="A245">
            <v>38949</v>
          </cell>
          <cell r="J245">
            <v>0.8862881731448913</v>
          </cell>
        </row>
        <row r="246">
          <cell r="A246">
            <v>38950</v>
          </cell>
          <cell r="J246">
            <v>0.8849671054831831</v>
          </cell>
        </row>
        <row r="247">
          <cell r="A247">
            <v>38951</v>
          </cell>
          <cell r="J247">
            <v>0.8836223611439004</v>
          </cell>
        </row>
        <row r="248">
          <cell r="A248">
            <v>38952</v>
          </cell>
          <cell r="J248">
            <v>0.8822537845505933</v>
          </cell>
        </row>
        <row r="249">
          <cell r="A249">
            <v>38953</v>
          </cell>
          <cell r="J249">
            <v>0.8808612148665255</v>
          </cell>
        </row>
        <row r="250">
          <cell r="A250">
            <v>38954</v>
          </cell>
          <cell r="J250">
            <v>0.8794444860309666</v>
          </cell>
        </row>
        <row r="251">
          <cell r="A251">
            <v>38955</v>
          </cell>
          <cell r="J251">
            <v>0.8780034268098756</v>
          </cell>
        </row>
        <row r="252">
          <cell r="A252">
            <v>38956</v>
          </cell>
          <cell r="J252">
            <v>0.8765378608618392</v>
          </cell>
        </row>
        <row r="253">
          <cell r="A253">
            <v>38957</v>
          </cell>
          <cell r="J253">
            <v>0.8750476068201748</v>
          </cell>
        </row>
        <row r="254">
          <cell r="A254">
            <v>38958</v>
          </cell>
          <cell r="J254">
            <v>0.873532478392163</v>
          </cell>
        </row>
        <row r="255">
          <cell r="A255">
            <v>38959</v>
          </cell>
          <cell r="J255">
            <v>0.8719922844764172</v>
          </cell>
        </row>
        <row r="256">
          <cell r="A256">
            <v>38960</v>
          </cell>
          <cell r="J256">
            <v>0.8704268292994586</v>
          </cell>
        </row>
        <row r="257">
          <cell r="A257">
            <v>38961</v>
          </cell>
          <cell r="J257">
            <v>0.8688359125726222</v>
          </cell>
        </row>
        <row r="258">
          <cell r="A258">
            <v>38962</v>
          </cell>
          <cell r="J258">
            <v>0.8672193296704722</v>
          </cell>
        </row>
        <row r="259">
          <cell r="A259">
            <v>38963</v>
          </cell>
          <cell r="J259">
            <v>0.8655768718319805</v>
          </cell>
        </row>
        <row r="260">
          <cell r="A260">
            <v>38964</v>
          </cell>
          <cell r="J260">
            <v>0.8639083263857683</v>
          </cell>
        </row>
        <row r="261">
          <cell r="A261">
            <v>38965</v>
          </cell>
          <cell r="J261">
            <v>0.8622134770007966</v>
          </cell>
        </row>
        <row r="262">
          <cell r="A262">
            <v>38966</v>
          </cell>
          <cell r="J262">
            <v>0.8604921039639492</v>
          </cell>
        </row>
        <row r="263">
          <cell r="A263">
            <v>38967</v>
          </cell>
          <cell r="J263">
            <v>0.8587439844860225</v>
          </cell>
        </row>
        <row r="264">
          <cell r="A264">
            <v>38968</v>
          </cell>
          <cell r="J264">
            <v>0.8569688930377223</v>
          </cell>
        </row>
        <row r="265">
          <cell r="A265">
            <v>38969</v>
          </cell>
          <cell r="J265">
            <v>0.8551666017173251</v>
          </cell>
        </row>
        <row r="266">
          <cell r="A266">
            <v>38970</v>
          </cell>
          <cell r="J266">
            <v>0.8533368806517542</v>
          </cell>
        </row>
        <row r="267">
          <cell r="A267">
            <v>38971</v>
          </cell>
          <cell r="J267">
            <v>0.851479498432891</v>
          </cell>
        </row>
        <row r="268">
          <cell r="A268">
            <v>38972</v>
          </cell>
          <cell r="J268">
            <v>0.8495942225910219</v>
          </cell>
        </row>
        <row r="269">
          <cell r="A269">
            <v>38973</v>
          </cell>
          <cell r="J269">
            <v>0.8476808201074023</v>
          </cell>
        </row>
        <row r="270">
          <cell r="A270">
            <v>38974</v>
          </cell>
          <cell r="J270">
            <v>0.845739057967998</v>
          </cell>
        </row>
        <row r="271">
          <cell r="A271">
            <v>38975</v>
          </cell>
          <cell r="J271">
            <v>0.8437687037605451</v>
          </cell>
        </row>
        <row r="272">
          <cell r="A272">
            <v>38976</v>
          </cell>
          <cell r="J272">
            <v>0.8417695263171467</v>
          </cell>
        </row>
        <row r="273">
          <cell r="A273">
            <v>38977</v>
          </cell>
          <cell r="J273">
            <v>0.8397412964046997</v>
          </cell>
        </row>
        <row r="274">
          <cell r="A274">
            <v>38978</v>
          </cell>
          <cell r="J274">
            <v>0.8376837874655246</v>
          </cell>
        </row>
        <row r="275">
          <cell r="A275">
            <v>38979</v>
          </cell>
          <cell r="J275">
            <v>0.8355967764106353</v>
          </cell>
        </row>
        <row r="276">
          <cell r="A276">
            <v>38980</v>
          </cell>
          <cell r="J276">
            <v>0.8334800444681605</v>
          </cell>
        </row>
        <row r="277">
          <cell r="A277">
            <v>38981</v>
          </cell>
          <cell r="J277">
            <v>0.8313333780894814</v>
          </cell>
        </row>
        <row r="278">
          <cell r="A278">
            <v>38982</v>
          </cell>
          <cell r="J278">
            <v>0.8291565699157126</v>
          </cell>
        </row>
        <row r="279">
          <cell r="A279">
            <v>38983</v>
          </cell>
          <cell r="J279">
            <v>0.826949419807197</v>
          </cell>
        </row>
        <row r="280">
          <cell r="A280">
            <v>38984</v>
          </cell>
          <cell r="J280">
            <v>0.8247117359387236</v>
          </cell>
        </row>
        <row r="281">
          <cell r="A281">
            <v>38985</v>
          </cell>
          <cell r="J281">
            <v>0.8224433359632052</v>
          </cell>
        </row>
        <row r="282">
          <cell r="A282">
            <v>38986</v>
          </cell>
          <cell r="J282">
            <v>0.8201440482465688</v>
          </cell>
        </row>
        <row r="283">
          <cell r="A283">
            <v>38987</v>
          </cell>
          <cell r="J283">
            <v>0.8178137131766068</v>
          </cell>
        </row>
        <row r="284">
          <cell r="A284">
            <v>38988</v>
          </cell>
          <cell r="J284">
            <v>0.8154521845485307</v>
          </cell>
        </row>
        <row r="285">
          <cell r="A285">
            <v>38989</v>
          </cell>
          <cell r="J285">
            <v>0.8130593310299201</v>
          </cell>
        </row>
        <row r="286">
          <cell r="A286">
            <v>38990</v>
          </cell>
          <cell r="J286">
            <v>0.810635037707718</v>
          </cell>
        </row>
        <row r="287">
          <cell r="A287">
            <v>38991</v>
          </cell>
          <cell r="J287">
            <v>0.8081792077198307</v>
          </cell>
        </row>
        <row r="288">
          <cell r="A288">
            <v>38992</v>
          </cell>
          <cell r="J288">
            <v>0.8056917639737949</v>
          </cell>
        </row>
        <row r="289">
          <cell r="A289">
            <v>38993</v>
          </cell>
          <cell r="J289">
            <v>0.8031726509548285</v>
          </cell>
        </row>
        <row r="290">
          <cell r="A290">
            <v>38994</v>
          </cell>
          <cell r="J290">
            <v>0.8006218366254161</v>
          </cell>
        </row>
        <row r="291">
          <cell r="A291">
            <v>38995</v>
          </cell>
          <cell r="J291">
            <v>0.7980393144183805</v>
          </cell>
        </row>
        <row r="292">
          <cell r="A292">
            <v>38996</v>
          </cell>
          <cell r="J292">
            <v>0.7954251053251333</v>
          </cell>
        </row>
        <row r="293">
          <cell r="A293">
            <v>38997</v>
          </cell>
          <cell r="J293">
            <v>0.7927792600805217</v>
          </cell>
        </row>
        <row r="294">
          <cell r="A294">
            <v>38998</v>
          </cell>
          <cell r="J294">
            <v>0.7901018614453408</v>
          </cell>
        </row>
        <row r="295">
          <cell r="A295">
            <v>38999</v>
          </cell>
          <cell r="J295">
            <v>0.7873930265872076</v>
          </cell>
        </row>
        <row r="296">
          <cell r="A296">
            <v>39000</v>
          </cell>
          <cell r="J296">
            <v>0.7846529095600275</v>
          </cell>
        </row>
        <row r="297">
          <cell r="A297">
            <v>39001</v>
          </cell>
          <cell r="J297">
            <v>0.78188170388181</v>
          </cell>
        </row>
        <row r="298">
          <cell r="A298">
            <v>39002</v>
          </cell>
          <cell r="J298">
            <v>0.7790796452099901</v>
          </cell>
        </row>
        <row r="299">
          <cell r="A299">
            <v>39003</v>
          </cell>
          <cell r="J299">
            <v>0.7762470141128096</v>
          </cell>
        </row>
        <row r="300">
          <cell r="A300">
            <v>39004</v>
          </cell>
          <cell r="J300">
            <v>0.7733841389345807</v>
          </cell>
        </row>
        <row r="301">
          <cell r="A301">
            <v>39005</v>
          </cell>
          <cell r="J301">
            <v>0.7704913987518808</v>
          </cell>
        </row>
        <row r="302">
          <cell r="A302">
            <v>39006</v>
          </cell>
          <cell r="J302">
            <v>0.7675692264168666</v>
          </cell>
        </row>
        <row r="303">
          <cell r="A303">
            <v>39007</v>
          </cell>
          <cell r="J303">
            <v>0.7646181116829436</v>
          </cell>
        </row>
        <row r="304">
          <cell r="A304">
            <v>39008</v>
          </cell>
          <cell r="J304">
            <v>0.7616386044069946</v>
          </cell>
        </row>
        <row r="305">
          <cell r="A305">
            <v>39009</v>
          </cell>
          <cell r="J305">
            <v>0.7586313178212575</v>
          </cell>
        </row>
        <row r="306">
          <cell r="A306">
            <v>39010</v>
          </cell>
          <cell r="J306">
            <v>0.7555969318667184</v>
          </cell>
        </row>
        <row r="307">
          <cell r="A307">
            <v>39011</v>
          </cell>
          <cell r="J307">
            <v>0.7525361965785977</v>
          </cell>
        </row>
        <row r="308">
          <cell r="A308">
            <v>39012</v>
          </cell>
          <cell r="J308">
            <v>0.7494499355130999</v>
          </cell>
        </row>
        <row r="309">
          <cell r="A309">
            <v>39013</v>
          </cell>
          <cell r="J309">
            <v>0.7463390492031302</v>
          </cell>
        </row>
        <row r="310">
          <cell r="A310">
            <v>39014</v>
          </cell>
          <cell r="J310">
            <v>0.743204518629092</v>
          </cell>
        </row>
        <row r="311">
          <cell r="A311">
            <v>39015</v>
          </cell>
          <cell r="J311">
            <v>0.7400474086892459</v>
          </cell>
        </row>
        <row r="312">
          <cell r="A312">
            <v>39016</v>
          </cell>
          <cell r="J312">
            <v>0.736868871652369</v>
          </cell>
        </row>
        <row r="313">
          <cell r="A313">
            <v>39017</v>
          </cell>
          <cell r="J313">
            <v>0.7336701505736543</v>
          </cell>
        </row>
        <row r="314">
          <cell r="A314">
            <v>39018</v>
          </cell>
          <cell r="J314">
            <v>0.7304525826529402</v>
          </cell>
        </row>
        <row r="315">
          <cell r="A315">
            <v>39019</v>
          </cell>
          <cell r="J315">
            <v>0.727217602512449</v>
          </cell>
        </row>
        <row r="316">
          <cell r="A316">
            <v>39020</v>
          </cell>
          <cell r="J316">
            <v>0.7239667453692717</v>
          </cell>
        </row>
        <row r="317">
          <cell r="A317">
            <v>39021</v>
          </cell>
          <cell r="J317">
            <v>0.720701650075902</v>
          </cell>
        </row>
        <row r="318">
          <cell r="A318">
            <v>39022</v>
          </cell>
          <cell r="J318">
            <v>0.7174240620001571</v>
          </cell>
        </row>
        <row r="319">
          <cell r="A319">
            <v>39023</v>
          </cell>
          <cell r="J319">
            <v>0.7141358357139214</v>
          </cell>
        </row>
        <row r="320">
          <cell r="A320">
            <v>39024</v>
          </cell>
          <cell r="J320">
            <v>0.7108389374582864</v>
          </cell>
        </row>
        <row r="321">
          <cell r="A321">
            <v>39025</v>
          </cell>
          <cell r="J321">
            <v>0.7075354473508897</v>
          </cell>
        </row>
        <row r="322">
          <cell r="A322">
            <v>39026</v>
          </cell>
          <cell r="J322">
            <v>0.7042275612995914</v>
          </cell>
        </row>
        <row r="323">
          <cell r="A323">
            <v>39027</v>
          </cell>
          <cell r="J323">
            <v>0.7009175925851502</v>
          </cell>
        </row>
        <row r="324">
          <cell r="A324">
            <v>39028</v>
          </cell>
          <cell r="J324">
            <v>0.6976079730742328</v>
          </cell>
        </row>
        <row r="325">
          <cell r="A325">
            <v>39029</v>
          </cell>
          <cell r="J325">
            <v>0.6943012540230418</v>
          </cell>
        </row>
        <row r="326">
          <cell r="A326">
            <v>39030</v>
          </cell>
          <cell r="J326">
            <v>0.691000106431045</v>
          </cell>
        </row>
        <row r="327">
          <cell r="A327">
            <v>39031</v>
          </cell>
          <cell r="J327">
            <v>0.6877073209038393</v>
          </cell>
        </row>
        <row r="328">
          <cell r="A328">
            <v>39032</v>
          </cell>
          <cell r="J328">
            <v>0.6844258069840821</v>
          </cell>
        </row>
        <row r="329">
          <cell r="A329">
            <v>39033</v>
          </cell>
          <cell r="J329">
            <v>0.68115859190976</v>
          </cell>
        </row>
        <row r="330">
          <cell r="A330">
            <v>39034</v>
          </cell>
          <cell r="J330">
            <v>0.6779088187598654</v>
          </cell>
        </row>
        <row r="331">
          <cell r="A331">
            <v>39035</v>
          </cell>
          <cell r="J331">
            <v>0.6746797439488592</v>
          </cell>
        </row>
        <row r="332">
          <cell r="A332">
            <v>39036</v>
          </cell>
          <cell r="J332">
            <v>0.6714747340331758</v>
          </cell>
        </row>
        <row r="333">
          <cell r="A333">
            <v>39037</v>
          </cell>
          <cell r="J333">
            <v>0.6682972617954923</v>
          </cell>
        </row>
        <row r="334">
          <cell r="A334">
            <v>39038</v>
          </cell>
          <cell r="J334">
            <v>0.665150901575591</v>
          </cell>
        </row>
        <row r="335">
          <cell r="A335">
            <v>39039</v>
          </cell>
          <cell r="J335">
            <v>0.6620393238204061</v>
          </cell>
        </row>
        <row r="336">
          <cell r="A336">
            <v>39040</v>
          </cell>
          <cell r="J336">
            <v>0.6589662888303037</v>
          </cell>
        </row>
        <row r="337">
          <cell r="A337">
            <v>39041</v>
          </cell>
          <cell r="J337">
            <v>0.6559356396837833</v>
          </cell>
        </row>
        <row r="338">
          <cell r="A338">
            <v>39042</v>
          </cell>
          <cell r="J338">
            <v>0.6529512943286424</v>
          </cell>
        </row>
        <row r="339">
          <cell r="A339">
            <v>39043</v>
          </cell>
          <cell r="J339">
            <v>0.6500172368341657</v>
          </cell>
        </row>
        <row r="340">
          <cell r="A340">
            <v>39044</v>
          </cell>
          <cell r="J340">
            <v>0.6471375078061097</v>
          </cell>
        </row>
        <row r="341">
          <cell r="A341">
            <v>39045</v>
          </cell>
          <cell r="J341">
            <v>0.6443161939740483</v>
          </cell>
        </row>
        <row r="342">
          <cell r="A342">
            <v>39046</v>
          </cell>
          <cell r="J342">
            <v>0.6415574169690561</v>
          </cell>
        </row>
        <row r="343">
          <cell r="A343">
            <v>39047</v>
          </cell>
          <cell r="J343">
            <v>0.6388653213185607</v>
          </cell>
        </row>
        <row r="344">
          <cell r="A344">
            <v>39048</v>
          </cell>
          <cell r="J344">
            <v>0.6362440616945046</v>
          </cell>
        </row>
        <row r="345">
          <cell r="A345">
            <v>39049</v>
          </cell>
          <cell r="J345">
            <v>0.633697789460551</v>
          </cell>
        </row>
        <row r="346">
          <cell r="A346">
            <v>39050</v>
          </cell>
          <cell r="J346">
            <v>0.6312306385738344</v>
          </cell>
        </row>
        <row r="347">
          <cell r="A347">
            <v>39051</v>
          </cell>
          <cell r="J347">
            <v>0.6288467109066092</v>
          </cell>
        </row>
        <row r="348">
          <cell r="A348">
            <v>39052</v>
          </cell>
          <cell r="J348">
            <v>0.6265500610628629</v>
          </cell>
        </row>
        <row r="349">
          <cell r="A349">
            <v>39053</v>
          </cell>
          <cell r="J349">
            <v>0.6243446807744422</v>
          </cell>
        </row>
        <row r="350">
          <cell r="A350">
            <v>39054</v>
          </cell>
          <cell r="J350">
            <v>0.6222344829702766</v>
          </cell>
        </row>
        <row r="351">
          <cell r="A351">
            <v>39055</v>
          </cell>
          <cell r="J351">
            <v>0.6202232856207379</v>
          </cell>
        </row>
        <row r="352">
          <cell r="A352">
            <v>39056</v>
          </cell>
          <cell r="J352">
            <v>0.6183147954668249</v>
          </cell>
        </row>
        <row r="353">
          <cell r="A353">
            <v>39057</v>
          </cell>
          <cell r="J353">
            <v>0.616512591750573</v>
          </cell>
        </row>
        <row r="354">
          <cell r="A354">
            <v>39058</v>
          </cell>
          <cell r="J354">
            <v>0.6148201100686859</v>
          </cell>
        </row>
        <row r="355">
          <cell r="A355">
            <v>39059</v>
          </cell>
          <cell r="J355">
            <v>0.6132406264756737</v>
          </cell>
        </row>
        <row r="356">
          <cell r="A356">
            <v>39060</v>
          </cell>
          <cell r="J356">
            <v>0.611777241965689</v>
          </cell>
        </row>
        <row r="357">
          <cell r="A357">
            <v>39061</v>
          </cell>
          <cell r="J357">
            <v>0.6104328674635664</v>
          </cell>
        </row>
        <row r="358">
          <cell r="A358">
            <v>39062</v>
          </cell>
          <cell r="J358">
            <v>0.6092102094552758</v>
          </cell>
        </row>
        <row r="359">
          <cell r="A359">
            <v>39063</v>
          </cell>
          <cell r="J359">
            <v>0.6081117563859797</v>
          </cell>
        </row>
        <row r="360">
          <cell r="A360">
            <v>39064</v>
          </cell>
          <cell r="J360">
            <v>0.6071397659500759</v>
          </cell>
        </row>
        <row r="361">
          <cell r="A361">
            <v>39065</v>
          </cell>
          <cell r="J361">
            <v>0.60629625339209</v>
          </cell>
        </row>
        <row r="362">
          <cell r="A362">
            <v>39066</v>
          </cell>
          <cell r="J362">
            <v>0.6055829809299677</v>
          </cell>
        </row>
        <row r="363">
          <cell r="A363">
            <v>39067</v>
          </cell>
          <cell r="J363">
            <v>0.605001448403371</v>
          </cell>
        </row>
        <row r="364">
          <cell r="A364">
            <v>39068</v>
          </cell>
          <cell r="J364">
            <v>0.6045528852390378</v>
          </cell>
        </row>
        <row r="365">
          <cell r="A365">
            <v>39069</v>
          </cell>
          <cell r="J365">
            <v>0.6042382438132975</v>
          </cell>
        </row>
        <row r="366">
          <cell r="A366">
            <v>39070</v>
          </cell>
          <cell r="J366">
            <v>0.6040581942785848</v>
          </cell>
        </row>
        <row r="367">
          <cell r="A367">
            <v>39071</v>
          </cell>
          <cell r="J367">
            <v>0.6040131209064673</v>
          </cell>
        </row>
        <row r="368">
          <cell r="A368">
            <v>39072</v>
          </cell>
          <cell r="J368">
            <v>0.6041031199845408</v>
          </cell>
        </row>
        <row r="369">
          <cell r="A369">
            <v>39073</v>
          </cell>
          <cell r="J369">
            <v>0.6043279992887488</v>
          </cell>
        </row>
        <row r="370">
          <cell r="A370">
            <v>39074</v>
          </cell>
          <cell r="J370">
            <v>0.6046872791365397</v>
          </cell>
        </row>
        <row r="371">
          <cell r="A371">
            <v>39075</v>
          </cell>
          <cell r="J371">
            <v>0.6051801950100594</v>
          </cell>
        </row>
        <row r="372">
          <cell r="A372">
            <v>39076</v>
          </cell>
          <cell r="J372">
            <v>0.6058057017225104</v>
          </cell>
        </row>
        <row r="373">
          <cell r="A373">
            <v>39077</v>
          </cell>
          <cell r="J373">
            <v>0.6065624790852033</v>
          </cell>
        </row>
        <row r="374">
          <cell r="A374">
            <v>39078</v>
          </cell>
          <cell r="J374">
            <v>0.6074489390179125</v>
          </cell>
        </row>
        <row r="375">
          <cell r="A375">
            <v>39079</v>
          </cell>
          <cell r="J375">
            <v>0.608463234031155</v>
          </cell>
        </row>
        <row r="376">
          <cell r="A376">
            <v>39080</v>
          </cell>
          <cell r="J376">
            <v>0.6096032669961683</v>
          </cell>
        </row>
        <row r="377">
          <cell r="A377">
            <v>39081</v>
          </cell>
          <cell r="J377">
            <v>0.61086670210686</v>
          </cell>
        </row>
        <row r="378">
          <cell r="A378">
            <v>39082</v>
          </cell>
          <cell r="J378">
            <v>0.6122509769279556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syse.wsu.edu/saxton/soilwater" TargetMode="External" /><Relationship Id="rId2" Type="http://schemas.openxmlformats.org/officeDocument/2006/relationships/hyperlink" Target="http://www.bsyse.wsu.edu/saxton/soilwater/article/article.ht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43.421875" style="0" customWidth="1"/>
    <col min="3" max="3" width="10.7109375" style="2" customWidth="1"/>
    <col min="4" max="4" width="8.8515625" style="0" customWidth="1"/>
    <col min="5" max="5" width="11.421875" style="0" customWidth="1"/>
    <col min="6" max="16384" width="8.8515625" style="0" customWidth="1"/>
  </cols>
  <sheetData>
    <row r="1" ht="12.75">
      <c r="A1" s="17" t="s">
        <v>1329</v>
      </c>
    </row>
    <row r="2" spans="1:3" ht="12.75">
      <c r="A2" s="18" t="s">
        <v>35</v>
      </c>
      <c r="C2" s="21"/>
    </row>
    <row r="3" spans="1:3" ht="12.75">
      <c r="A3" s="18" t="s">
        <v>1254</v>
      </c>
      <c r="C3" s="21"/>
    </row>
    <row r="4" spans="1:3" ht="12.75">
      <c r="A4" s="17" t="s">
        <v>1255</v>
      </c>
      <c r="C4" s="21"/>
    </row>
    <row r="5" spans="1:3" ht="12.75">
      <c r="A5" s="18" t="s">
        <v>56</v>
      </c>
      <c r="C5" s="21"/>
    </row>
    <row r="6" spans="1:3" ht="12.75">
      <c r="A6" s="18" t="s">
        <v>1330</v>
      </c>
      <c r="C6" s="21"/>
    </row>
    <row r="7" spans="1:3" ht="12.75">
      <c r="A7" s="18" t="s">
        <v>127</v>
      </c>
      <c r="C7" s="21"/>
    </row>
    <row r="8" spans="1:3" ht="12.75">
      <c r="A8" s="18" t="s">
        <v>1331</v>
      </c>
      <c r="C8" s="21"/>
    </row>
    <row r="9" spans="1:3" ht="12.75">
      <c r="A9" s="18" t="s">
        <v>1264</v>
      </c>
      <c r="C9" s="21"/>
    </row>
    <row r="10" spans="1:3" ht="12.75">
      <c r="A10" s="18"/>
      <c r="C10" s="21"/>
    </row>
    <row r="11" spans="1:3" ht="23.25">
      <c r="A11" s="52" t="s">
        <v>36</v>
      </c>
      <c r="B11" s="18"/>
      <c r="C11" s="21"/>
    </row>
    <row r="12" spans="1:9" ht="15">
      <c r="A12" s="8" t="s">
        <v>1256</v>
      </c>
      <c r="D12" s="17" t="s">
        <v>39</v>
      </c>
      <c r="E12" s="9"/>
      <c r="F12" s="9"/>
      <c r="G12" s="9"/>
      <c r="H12" s="9"/>
      <c r="I12" s="9"/>
    </row>
    <row r="13" spans="1:10" ht="14.25">
      <c r="A13" s="46" t="s">
        <v>44</v>
      </c>
      <c r="B13" s="12" t="s">
        <v>17</v>
      </c>
      <c r="C13" s="3" t="s">
        <v>59</v>
      </c>
      <c r="D13" s="17" t="s">
        <v>40</v>
      </c>
      <c r="E13" s="9"/>
      <c r="F13" s="9"/>
      <c r="G13" s="9"/>
      <c r="H13" s="9"/>
      <c r="I13" s="9"/>
      <c r="J13" s="9"/>
    </row>
    <row r="14" spans="1:12" ht="12.75">
      <c r="A14" s="31" t="s">
        <v>41</v>
      </c>
      <c r="B14" s="31" t="s">
        <v>21</v>
      </c>
      <c r="C14" s="32">
        <v>36</v>
      </c>
      <c r="D14" s="1" t="s">
        <v>27</v>
      </c>
      <c r="E14" s="22"/>
      <c r="F14" s="9"/>
      <c r="G14" s="9"/>
      <c r="H14" s="9"/>
      <c r="I14" s="9"/>
      <c r="J14" s="9"/>
      <c r="K14" s="9"/>
      <c r="L14" s="9"/>
    </row>
    <row r="15" spans="1:12" ht="12.75">
      <c r="A15" s="31" t="s">
        <v>41</v>
      </c>
      <c r="B15" s="31" t="s">
        <v>22</v>
      </c>
      <c r="C15" s="32">
        <v>25</v>
      </c>
      <c r="D15" s="1" t="s">
        <v>27</v>
      </c>
      <c r="E15" s="22"/>
      <c r="F15" s="9"/>
      <c r="G15" s="9"/>
      <c r="H15" s="9"/>
      <c r="I15" s="9"/>
      <c r="J15" s="9"/>
      <c r="K15" s="9"/>
      <c r="L15" s="9"/>
    </row>
    <row r="16" spans="1:12" ht="12.75">
      <c r="A16" s="31" t="s">
        <v>41</v>
      </c>
      <c r="B16" s="31" t="s">
        <v>23</v>
      </c>
      <c r="C16" s="32">
        <v>10</v>
      </c>
      <c r="D16" s="1" t="s">
        <v>102</v>
      </c>
      <c r="E16" s="22"/>
      <c r="F16" s="9"/>
      <c r="G16" s="9"/>
      <c r="H16" s="9"/>
      <c r="I16" s="9"/>
      <c r="J16" s="9"/>
      <c r="K16" s="9"/>
      <c r="L16" s="9"/>
    </row>
    <row r="17" spans="1:12" ht="12.75">
      <c r="A17" s="31" t="s">
        <v>41</v>
      </c>
      <c r="B17" s="31" t="s">
        <v>125</v>
      </c>
      <c r="C17" s="32">
        <v>1.25</v>
      </c>
      <c r="D17" s="1" t="s">
        <v>1332</v>
      </c>
      <c r="E17" s="22"/>
      <c r="F17" s="9"/>
      <c r="G17" s="9"/>
      <c r="H17" s="9"/>
      <c r="I17" s="9"/>
      <c r="J17" s="9"/>
      <c r="K17" s="9"/>
      <c r="L17" s="9"/>
    </row>
    <row r="18" spans="1:12" ht="12.75">
      <c r="A18" s="29" t="s">
        <v>41</v>
      </c>
      <c r="B18" s="29" t="s">
        <v>106</v>
      </c>
      <c r="C18" s="38">
        <v>9</v>
      </c>
      <c r="D18" s="9" t="s">
        <v>120</v>
      </c>
      <c r="E18" s="25"/>
      <c r="F18" s="9"/>
      <c r="G18" s="9"/>
      <c r="H18" s="9"/>
      <c r="I18" s="9"/>
      <c r="J18" s="9"/>
      <c r="K18" s="9"/>
      <c r="L18" s="9"/>
    </row>
    <row r="19" spans="1:12" ht="12.75">
      <c r="A19" s="28" t="s">
        <v>42</v>
      </c>
      <c r="B19" s="28" t="s">
        <v>18</v>
      </c>
      <c r="C19" s="40">
        <v>150</v>
      </c>
      <c r="D19" s="9" t="s">
        <v>122</v>
      </c>
      <c r="E19" s="22"/>
      <c r="F19" s="9"/>
      <c r="G19" s="9"/>
      <c r="H19" s="9"/>
      <c r="I19" s="9"/>
      <c r="J19" s="9"/>
      <c r="K19" s="9"/>
      <c r="L19" s="9"/>
    </row>
    <row r="20" spans="1:12" ht="12.75">
      <c r="A20" s="30" t="s">
        <v>42</v>
      </c>
      <c r="B20" s="30" t="s">
        <v>45</v>
      </c>
      <c r="C20" s="33">
        <v>0.75</v>
      </c>
      <c r="D20" s="1" t="s">
        <v>103</v>
      </c>
      <c r="E20" s="22"/>
      <c r="F20" s="9"/>
      <c r="G20" s="9"/>
      <c r="H20" s="9"/>
      <c r="I20" s="9"/>
      <c r="J20" s="9"/>
      <c r="K20" s="9"/>
      <c r="L20" s="9"/>
    </row>
    <row r="21" spans="1:12" ht="12.75">
      <c r="A21" s="28" t="s">
        <v>42</v>
      </c>
      <c r="B21" s="28" t="s">
        <v>26</v>
      </c>
      <c r="C21" s="39">
        <v>0.6</v>
      </c>
      <c r="D21" s="9" t="s">
        <v>121</v>
      </c>
      <c r="E21" s="22"/>
      <c r="F21" s="9"/>
      <c r="G21" s="9"/>
      <c r="H21" s="9"/>
      <c r="I21" s="9"/>
      <c r="J21" s="9"/>
      <c r="K21" s="9"/>
      <c r="L21" s="9"/>
    </row>
    <row r="22" spans="1:12" ht="12.75">
      <c r="A22" s="44" t="s">
        <v>43</v>
      </c>
      <c r="B22" s="44" t="s">
        <v>113</v>
      </c>
      <c r="C22" s="35">
        <v>1.5</v>
      </c>
      <c r="D22" s="1" t="s">
        <v>126</v>
      </c>
      <c r="E22" s="22"/>
      <c r="F22" s="9"/>
      <c r="G22" s="9"/>
      <c r="H22" s="9"/>
      <c r="I22" s="9"/>
      <c r="J22" s="9"/>
      <c r="K22" s="9"/>
      <c r="L22" s="9"/>
    </row>
    <row r="23" spans="1:12" ht="12.75">
      <c r="A23" s="34" t="s">
        <v>43</v>
      </c>
      <c r="B23" s="34" t="s">
        <v>73</v>
      </c>
      <c r="C23" s="41">
        <v>0.6</v>
      </c>
      <c r="D23" s="9" t="s">
        <v>28</v>
      </c>
      <c r="E23" s="22"/>
      <c r="F23" s="9"/>
      <c r="G23" s="9"/>
      <c r="H23" s="9"/>
      <c r="I23" s="9"/>
      <c r="J23" s="9"/>
      <c r="K23" s="9"/>
      <c r="L23" s="9"/>
    </row>
    <row r="24" spans="1:12" ht="12.75">
      <c r="A24" s="44" t="s">
        <v>43</v>
      </c>
      <c r="B24" s="44" t="s">
        <v>104</v>
      </c>
      <c r="C24" s="36">
        <v>865</v>
      </c>
      <c r="D24" s="1" t="s">
        <v>118</v>
      </c>
      <c r="E24" s="22"/>
      <c r="F24" s="9"/>
      <c r="G24" s="9"/>
      <c r="H24" s="9"/>
      <c r="I24" s="9"/>
      <c r="J24" s="9"/>
      <c r="K24" s="9"/>
      <c r="L24" s="9"/>
    </row>
    <row r="25" spans="1:12" ht="12.75">
      <c r="A25" s="44" t="s">
        <v>43</v>
      </c>
      <c r="B25" s="44" t="s">
        <v>105</v>
      </c>
      <c r="C25" s="36">
        <v>600</v>
      </c>
      <c r="D25" s="1" t="s">
        <v>117</v>
      </c>
      <c r="E25" s="22"/>
      <c r="F25" s="9"/>
      <c r="G25" s="9"/>
      <c r="H25" s="9"/>
      <c r="I25" s="9"/>
      <c r="J25" s="9"/>
      <c r="K25" s="9"/>
      <c r="L25" s="9"/>
    </row>
    <row r="26" spans="1:12" ht="12.75">
      <c r="A26" s="34" t="s">
        <v>43</v>
      </c>
      <c r="B26" s="34" t="s">
        <v>6</v>
      </c>
      <c r="C26" s="42">
        <v>285</v>
      </c>
      <c r="D26" s="9" t="s">
        <v>108</v>
      </c>
      <c r="E26" s="22"/>
      <c r="F26" s="9"/>
      <c r="G26" s="9"/>
      <c r="H26" s="9"/>
      <c r="I26" s="9"/>
      <c r="J26" s="9"/>
      <c r="K26" s="9"/>
      <c r="L26" s="9"/>
    </row>
    <row r="27" spans="1:12" ht="12.75">
      <c r="A27" s="34" t="s">
        <v>43</v>
      </c>
      <c r="B27" s="34" t="s">
        <v>107</v>
      </c>
      <c r="C27" s="42">
        <v>5</v>
      </c>
      <c r="D27" s="9" t="s">
        <v>111</v>
      </c>
      <c r="E27" s="22"/>
      <c r="F27" s="9"/>
      <c r="G27" s="9"/>
      <c r="H27" s="9"/>
      <c r="I27" s="9"/>
      <c r="J27" s="9"/>
      <c r="K27" s="9"/>
      <c r="L27" s="9"/>
    </row>
    <row r="28" spans="1:12" ht="12.75">
      <c r="A28" s="34" t="s">
        <v>43</v>
      </c>
      <c r="B28" s="34" t="s">
        <v>109</v>
      </c>
      <c r="C28" s="42">
        <v>12</v>
      </c>
      <c r="D28" s="9" t="s">
        <v>110</v>
      </c>
      <c r="E28" s="22"/>
      <c r="F28" s="9"/>
      <c r="G28" s="9"/>
      <c r="H28" s="9"/>
      <c r="I28" s="9"/>
      <c r="J28" s="9"/>
      <c r="K28" s="9"/>
      <c r="L28" s="9"/>
    </row>
    <row r="29" spans="1:12" ht="12.75">
      <c r="A29" s="34" t="s">
        <v>43</v>
      </c>
      <c r="B29" s="34" t="s">
        <v>115</v>
      </c>
      <c r="C29" s="43">
        <v>5</v>
      </c>
      <c r="D29" s="24" t="s">
        <v>29</v>
      </c>
      <c r="E29" s="26"/>
      <c r="F29" s="24"/>
      <c r="G29" s="9"/>
      <c r="H29" s="9"/>
      <c r="I29" s="9"/>
      <c r="J29" s="9"/>
      <c r="K29" s="9"/>
      <c r="L29" s="9"/>
    </row>
    <row r="30" spans="1:12" ht="12.75">
      <c r="A30" s="34" t="s">
        <v>43</v>
      </c>
      <c r="B30" s="34" t="s">
        <v>116</v>
      </c>
      <c r="C30" s="43">
        <v>7</v>
      </c>
      <c r="D30" s="24" t="s">
        <v>29</v>
      </c>
      <c r="E30" s="26"/>
      <c r="F30" s="24"/>
      <c r="G30" s="9"/>
      <c r="H30" s="9"/>
      <c r="I30" s="9"/>
      <c r="J30" s="9"/>
      <c r="K30" s="9"/>
      <c r="L30" s="9"/>
    </row>
    <row r="31" spans="1:12" ht="12.75">
      <c r="A31" s="45" t="s">
        <v>12</v>
      </c>
      <c r="B31" s="45" t="s">
        <v>72</v>
      </c>
      <c r="C31" s="37">
        <v>1</v>
      </c>
      <c r="D31" s="1" t="s">
        <v>123</v>
      </c>
      <c r="E31" s="22"/>
      <c r="F31" s="9"/>
      <c r="G31" s="9"/>
      <c r="H31" s="9"/>
      <c r="I31" s="9"/>
      <c r="J31" s="9"/>
      <c r="K31" s="9"/>
      <c r="L31" s="9"/>
    </row>
    <row r="32" spans="1:12" ht="12.75">
      <c r="A32" s="45" t="s">
        <v>12</v>
      </c>
      <c r="B32" s="45" t="s">
        <v>25</v>
      </c>
      <c r="C32" s="37">
        <v>1</v>
      </c>
      <c r="D32" s="1" t="s">
        <v>124</v>
      </c>
      <c r="E32" s="22"/>
      <c r="F32" s="9"/>
      <c r="G32" s="9"/>
      <c r="H32" s="9"/>
      <c r="I32" s="9"/>
      <c r="J32" s="9"/>
      <c r="K32" s="9"/>
      <c r="L32" s="9"/>
    </row>
    <row r="33" spans="1:4" ht="12.75">
      <c r="A33" s="15" t="s">
        <v>112</v>
      </c>
      <c r="B33" s="16" t="s">
        <v>74</v>
      </c>
      <c r="C33" s="5">
        <f>EXP((-4.396+-0.0715*C15+-0.000488*(C14*C14)+-0.00004285*(C14*C14)*(C15)))*100</f>
        <v>0.027347837687877755</v>
      </c>
      <c r="D33" s="9" t="s">
        <v>1</v>
      </c>
    </row>
    <row r="34" spans="1:4" ht="12.75">
      <c r="A34" s="15" t="s">
        <v>112</v>
      </c>
      <c r="B34" s="16" t="s">
        <v>75</v>
      </c>
      <c r="C34" s="4">
        <f>-3.14+-0.00222*(C15*C15)+-0.00003484*(C14*C14)*C15</f>
        <v>-5.656316</v>
      </c>
      <c r="D34" s="9" t="s">
        <v>2</v>
      </c>
    </row>
    <row r="35" spans="1:13" ht="12.75">
      <c r="A35" s="15" t="s">
        <v>112</v>
      </c>
      <c r="B35" s="15" t="s">
        <v>10</v>
      </c>
      <c r="C35" s="19">
        <f>((15/C$33)^(1/C$34))*(C$17*1000)*(1-(C$16/100))</f>
        <v>368.88018806072444</v>
      </c>
      <c r="D35" s="9" t="s">
        <v>20</v>
      </c>
      <c r="M35" s="19"/>
    </row>
    <row r="36" spans="1:13" ht="12.75">
      <c r="A36" s="15" t="s">
        <v>112</v>
      </c>
      <c r="B36" s="16" t="s">
        <v>11</v>
      </c>
      <c r="C36" s="19">
        <f>((1000/C$33)^(1/C$34))*(C$17*1000)*(1-(C$16/100))</f>
        <v>175.56182600876895</v>
      </c>
      <c r="D36" s="9" t="s">
        <v>19</v>
      </c>
      <c r="M36" s="19"/>
    </row>
    <row r="37" spans="1:4" ht="12.75">
      <c r="A37" s="15" t="s">
        <v>112</v>
      </c>
      <c r="B37" s="16" t="s">
        <v>1258</v>
      </c>
      <c r="C37" s="19">
        <f>(((C18*100)/C$33)^(1/C$34))*(C$17*1000)*(1-(C$16/100))</f>
        <v>178.86267308926918</v>
      </c>
      <c r="D37" s="9" t="s">
        <v>1259</v>
      </c>
    </row>
    <row r="38" spans="1:13" ht="12.75">
      <c r="A38" s="15" t="s">
        <v>112</v>
      </c>
      <c r="B38" s="16" t="s">
        <v>13</v>
      </c>
      <c r="C38" s="19">
        <f>C37-5</f>
        <v>173.86267308926918</v>
      </c>
      <c r="D38" s="9" t="s">
        <v>99</v>
      </c>
      <c r="M38" s="19"/>
    </row>
    <row r="39" spans="1:13" ht="12.75">
      <c r="A39" s="15" t="s">
        <v>112</v>
      </c>
      <c r="B39" s="15" t="s">
        <v>14</v>
      </c>
      <c r="C39" s="19">
        <f>C35</f>
        <v>368.88018806072444</v>
      </c>
      <c r="D39" s="9" t="s">
        <v>38</v>
      </c>
      <c r="E39" s="9"/>
      <c r="F39" s="9"/>
      <c r="M39" s="19"/>
    </row>
    <row r="40" spans="1:4" ht="12.75">
      <c r="A40" s="15" t="s">
        <v>112</v>
      </c>
      <c r="B40" s="16" t="s">
        <v>3</v>
      </c>
      <c r="C40" s="4">
        <f>0.264/(1/((C29*0.3048)*(C30*0.3048)))</f>
        <v>0.8584240896</v>
      </c>
      <c r="D40" t="s">
        <v>37</v>
      </c>
    </row>
    <row r="41" spans="2:3" ht="12.75">
      <c r="B41" s="16"/>
      <c r="C41" s="21"/>
    </row>
    <row r="42" spans="1:3" ht="12.75">
      <c r="A42" s="75" t="s">
        <v>1299</v>
      </c>
      <c r="B42" s="16"/>
      <c r="C42" s="21"/>
    </row>
    <row r="43" spans="1:3" ht="12.75">
      <c r="A43" s="13" t="s">
        <v>1295</v>
      </c>
      <c r="B43" s="2" t="s">
        <v>1297</v>
      </c>
      <c r="C43" s="21"/>
    </row>
    <row r="44" spans="1:3" ht="12.75">
      <c r="A44" s="13" t="s">
        <v>1296</v>
      </c>
      <c r="B44" s="2" t="s">
        <v>1298</v>
      </c>
      <c r="C44" s="21"/>
    </row>
    <row r="45" spans="1:3" ht="12.75">
      <c r="A45" s="13"/>
      <c r="B45" s="16"/>
      <c r="C45" s="21"/>
    </row>
    <row r="46" spans="1:5" ht="14.25">
      <c r="A46" s="23" t="s">
        <v>57</v>
      </c>
      <c r="B46" s="12" t="s">
        <v>24</v>
      </c>
      <c r="C46" s="3" t="s">
        <v>83</v>
      </c>
      <c r="D46" s="3" t="s">
        <v>84</v>
      </c>
      <c r="E46" s="13"/>
    </row>
    <row r="47" spans="2:5" ht="12.75">
      <c r="B47" s="16" t="s">
        <v>85</v>
      </c>
      <c r="C47" s="2">
        <v>90</v>
      </c>
      <c r="D47" s="2">
        <v>7</v>
      </c>
      <c r="E47" s="13" t="s">
        <v>97</v>
      </c>
    </row>
    <row r="48" spans="2:5" ht="12.75">
      <c r="B48" s="16" t="s">
        <v>86</v>
      </c>
      <c r="C48" s="2">
        <v>82</v>
      </c>
      <c r="D48" s="2">
        <v>10</v>
      </c>
      <c r="E48" s="14" t="s">
        <v>98</v>
      </c>
    </row>
    <row r="49" spans="2:5" ht="12.75">
      <c r="B49" s="16" t="s">
        <v>87</v>
      </c>
      <c r="C49" s="2">
        <v>65</v>
      </c>
      <c r="D49" s="2">
        <v>11</v>
      </c>
      <c r="E49" s="13" t="s">
        <v>15</v>
      </c>
    </row>
    <row r="50" spans="2:5" ht="12.75">
      <c r="B50" s="16" t="s">
        <v>67</v>
      </c>
      <c r="C50" s="2">
        <v>60</v>
      </c>
      <c r="D50" s="2">
        <v>27</v>
      </c>
      <c r="E50" s="47" t="s">
        <v>16</v>
      </c>
    </row>
    <row r="51" spans="2:5" ht="12.75">
      <c r="B51" s="16" t="s">
        <v>88</v>
      </c>
      <c r="C51" s="2">
        <v>51</v>
      </c>
      <c r="D51" s="2">
        <v>42</v>
      </c>
      <c r="E51" s="48" t="s">
        <v>95</v>
      </c>
    </row>
    <row r="52" spans="2:5" ht="12.75">
      <c r="B52" s="16" t="s">
        <v>89</v>
      </c>
      <c r="C52" s="2">
        <v>44</v>
      </c>
      <c r="D52" s="2">
        <v>19</v>
      </c>
      <c r="E52" s="49" t="s">
        <v>96</v>
      </c>
    </row>
    <row r="53" spans="2:5" ht="12.75">
      <c r="B53" s="16" t="s">
        <v>90</v>
      </c>
      <c r="C53" s="2">
        <v>23</v>
      </c>
      <c r="D53" s="2">
        <v>16</v>
      </c>
      <c r="E53" s="13"/>
    </row>
    <row r="54" spans="2:5" ht="12.75">
      <c r="B54" s="16" t="s">
        <v>68</v>
      </c>
      <c r="C54" s="2">
        <v>31</v>
      </c>
      <c r="D54" s="2">
        <v>33</v>
      </c>
      <c r="E54" s="13"/>
    </row>
    <row r="55" spans="2:5" ht="12.75">
      <c r="B55" s="16" t="s">
        <v>91</v>
      </c>
      <c r="C55" s="2">
        <v>27</v>
      </c>
      <c r="D55" s="2">
        <v>50</v>
      </c>
      <c r="E55" s="13"/>
    </row>
    <row r="56" spans="2:5" ht="12.75">
      <c r="B56" s="16" t="s">
        <v>92</v>
      </c>
      <c r="C56" s="2">
        <v>7</v>
      </c>
      <c r="D56" s="2">
        <v>11</v>
      </c>
      <c r="E56" s="13"/>
    </row>
    <row r="57" spans="2:5" ht="12.75">
      <c r="B57" s="16" t="s">
        <v>93</v>
      </c>
      <c r="C57" s="2">
        <v>12</v>
      </c>
      <c r="D57" s="2">
        <v>33</v>
      </c>
      <c r="E57" s="13"/>
    </row>
    <row r="58" spans="2:5" ht="12.75">
      <c r="B58" s="16" t="s">
        <v>94</v>
      </c>
      <c r="C58" s="2">
        <v>10</v>
      </c>
      <c r="D58" s="2">
        <v>45</v>
      </c>
      <c r="E58" s="13"/>
    </row>
  </sheetData>
  <sheetProtection sheet="1" objects="1" scenarios="1"/>
  <hyperlinks>
    <hyperlink ref="E48" r:id="rId1" display="http://www.bsyse.wsu.edu/saxton/soilwater/"/>
    <hyperlink ref="E51" r:id="rId2" display="http://www.bsyse.wsu.edu/saxton/soilwater/article/article.htm"/>
  </hyperlinks>
  <printOptions/>
  <pageMargins left="0.75" right="0.75" top="1" bottom="1" header="0.5" footer="0.5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69"/>
  <sheetViews>
    <sheetView zoomScale="75" zoomScaleNormal="75" workbookViewId="0" topLeftCell="A1">
      <pane ySplit="7950" topLeftCell="BM397" activePane="topLeft" state="split"/>
      <selection pane="topLeft" activeCell="A1" sqref="A1"/>
      <selection pane="bottomLeft" activeCell="E405" sqref="E405:G769"/>
    </sheetView>
  </sheetViews>
  <sheetFormatPr defaultColWidth="9.140625" defaultRowHeight="12.75"/>
  <cols>
    <col min="1" max="1" width="41.140625" style="0" customWidth="1"/>
    <col min="2" max="2" width="10.421875" style="0" customWidth="1"/>
    <col min="3" max="3" width="13.00390625" style="0" customWidth="1"/>
    <col min="4" max="24" width="9.57421875" style="0" customWidth="1"/>
    <col min="25" max="16384" width="8.8515625" style="0" customWidth="1"/>
  </cols>
  <sheetData>
    <row r="1" spans="1:3" ht="12.75">
      <c r="A1" s="1" t="s">
        <v>1334</v>
      </c>
      <c r="B1" s="75"/>
      <c r="C1" s="3"/>
    </row>
    <row r="2" spans="1:23" ht="12.75">
      <c r="A2" s="12" t="s">
        <v>17</v>
      </c>
      <c r="B2" s="3" t="s">
        <v>1252</v>
      </c>
      <c r="C2" s="78" t="s">
        <v>1245</v>
      </c>
      <c r="D2" s="76"/>
      <c r="W2" s="59"/>
    </row>
    <row r="3" spans="1:4" ht="12.75">
      <c r="A3" s="31" t="s">
        <v>21</v>
      </c>
      <c r="B3" s="32">
        <v>25</v>
      </c>
      <c r="C3" s="64" t="s">
        <v>1246</v>
      </c>
      <c r="D3" s="32"/>
    </row>
    <row r="4" spans="1:4" ht="12.75">
      <c r="A4" s="31" t="s">
        <v>22</v>
      </c>
      <c r="B4" s="32">
        <v>30</v>
      </c>
      <c r="C4" s="64" t="s">
        <v>1247</v>
      </c>
      <c r="D4" s="32"/>
    </row>
    <row r="5" spans="1:4" ht="12.75">
      <c r="A5" s="31" t="s">
        <v>23</v>
      </c>
      <c r="B5" s="32">
        <v>15</v>
      </c>
      <c r="C5" s="64" t="s">
        <v>1248</v>
      </c>
      <c r="D5" s="32"/>
    </row>
    <row r="6" spans="1:4" ht="12.75">
      <c r="A6" s="31" t="s">
        <v>125</v>
      </c>
      <c r="B6" s="32">
        <v>1</v>
      </c>
      <c r="C6" s="64" t="s">
        <v>1249</v>
      </c>
      <c r="D6" s="32"/>
    </row>
    <row r="7" spans="1:3" ht="12.75">
      <c r="A7" s="29" t="s">
        <v>106</v>
      </c>
      <c r="B7" s="38">
        <v>9</v>
      </c>
      <c r="C7" s="64" t="s">
        <v>136</v>
      </c>
    </row>
    <row r="8" spans="1:3" ht="12.75">
      <c r="A8" s="30" t="s">
        <v>18</v>
      </c>
      <c r="B8" s="82">
        <v>150</v>
      </c>
      <c r="C8" s="65" t="s">
        <v>137</v>
      </c>
    </row>
    <row r="9" spans="1:3" ht="12.75">
      <c r="A9" s="30" t="s">
        <v>45</v>
      </c>
      <c r="B9" s="33">
        <v>0.5</v>
      </c>
      <c r="C9" s="66" t="s">
        <v>138</v>
      </c>
    </row>
    <row r="10" spans="1:3" ht="12.75">
      <c r="A10" s="28" t="s">
        <v>26</v>
      </c>
      <c r="B10" s="39">
        <v>0.6</v>
      </c>
      <c r="C10" s="66" t="s">
        <v>139</v>
      </c>
    </row>
    <row r="11" spans="1:3" ht="12.75">
      <c r="A11" s="44" t="s">
        <v>114</v>
      </c>
      <c r="B11" s="35">
        <v>1.5</v>
      </c>
      <c r="C11" s="67" t="s">
        <v>140</v>
      </c>
    </row>
    <row r="12" spans="1:3" ht="12.75">
      <c r="A12" s="34" t="s">
        <v>73</v>
      </c>
      <c r="B12" s="41">
        <v>0.6</v>
      </c>
      <c r="C12" s="67" t="s">
        <v>141</v>
      </c>
    </row>
    <row r="13" spans="1:3" ht="12.75">
      <c r="A13" s="44" t="s">
        <v>101</v>
      </c>
      <c r="B13" s="36">
        <v>865</v>
      </c>
      <c r="C13" s="68" t="s">
        <v>1250</v>
      </c>
    </row>
    <row r="14" spans="1:3" ht="12.75">
      <c r="A14" s="44" t="s">
        <v>100</v>
      </c>
      <c r="B14" s="36">
        <v>600</v>
      </c>
      <c r="C14" s="68" t="s">
        <v>1251</v>
      </c>
    </row>
    <row r="15" spans="1:3" ht="12.75">
      <c r="A15" s="34" t="s">
        <v>6</v>
      </c>
      <c r="B15" s="42">
        <v>285</v>
      </c>
      <c r="C15" s="68" t="s">
        <v>142</v>
      </c>
    </row>
    <row r="16" spans="1:3" ht="12.75">
      <c r="A16" s="34" t="s">
        <v>107</v>
      </c>
      <c r="B16" s="42">
        <v>5</v>
      </c>
      <c r="C16" s="68" t="s">
        <v>143</v>
      </c>
    </row>
    <row r="17" spans="1:3" ht="12.75">
      <c r="A17" s="34" t="s">
        <v>109</v>
      </c>
      <c r="B17" s="42">
        <v>12</v>
      </c>
      <c r="C17" s="68" t="s">
        <v>144</v>
      </c>
    </row>
    <row r="18" spans="1:3" ht="12.75">
      <c r="A18" s="44" t="s">
        <v>115</v>
      </c>
      <c r="B18" s="74">
        <v>4</v>
      </c>
      <c r="C18" s="69" t="s">
        <v>145</v>
      </c>
    </row>
    <row r="19" spans="1:3" ht="12.75">
      <c r="A19" s="44" t="s">
        <v>116</v>
      </c>
      <c r="B19" s="74">
        <v>4</v>
      </c>
      <c r="C19" s="69" t="s">
        <v>146</v>
      </c>
    </row>
    <row r="20" spans="1:3" ht="12.75">
      <c r="A20" s="45" t="s">
        <v>72</v>
      </c>
      <c r="B20" s="37">
        <v>1</v>
      </c>
      <c r="C20" s="70" t="s">
        <v>147</v>
      </c>
    </row>
    <row r="21" spans="1:3" ht="12.75">
      <c r="A21" s="45" t="s">
        <v>25</v>
      </c>
      <c r="B21" s="37">
        <v>1</v>
      </c>
      <c r="C21" s="70" t="s">
        <v>148</v>
      </c>
    </row>
    <row r="22" spans="1:3" ht="12.75">
      <c r="A22" s="16" t="s">
        <v>74</v>
      </c>
      <c r="B22" s="5">
        <f>EXP((-4.396+-0.0715*Clay+-0.000488*(Sand*Sand)+-0.00004285*(Sand*Sand)*(Clay)))*100</f>
        <v>0.04763119791706361</v>
      </c>
      <c r="C22" s="71" t="s">
        <v>149</v>
      </c>
    </row>
    <row r="23" spans="1:20" ht="12.75">
      <c r="A23" s="16" t="s">
        <v>75</v>
      </c>
      <c r="B23" s="4">
        <f>-3.14+-0.00222*(Clay*Clay)+-0.00003484*(Sand*Sand)*Clay</f>
        <v>-5.79125</v>
      </c>
      <c r="C23" s="72" t="s">
        <v>150</v>
      </c>
      <c r="E23" s="61" t="s">
        <v>47</v>
      </c>
      <c r="F23" s="61"/>
      <c r="G23" s="60"/>
      <c r="H23" s="60"/>
      <c r="I23" s="77"/>
      <c r="J23" s="60"/>
      <c r="K23" s="60"/>
      <c r="L23" s="60"/>
      <c r="M23" s="60"/>
      <c r="N23" s="62" t="s">
        <v>132</v>
      </c>
      <c r="P23" s="62"/>
      <c r="Q23" s="62"/>
      <c r="R23" s="62"/>
      <c r="S23" s="62"/>
      <c r="T23" s="62"/>
    </row>
    <row r="24" spans="1:20" ht="12.75">
      <c r="A24" s="15" t="s">
        <v>10</v>
      </c>
      <c r="B24" s="19">
        <f>((15/SoilA)^(1/SoilB))*(RootDepth*1000)*(1-(Gravel/100))</f>
        <v>314.80675953623467</v>
      </c>
      <c r="C24" s="72" t="s">
        <v>151</v>
      </c>
      <c r="E24" s="61" t="s">
        <v>48</v>
      </c>
      <c r="F24" s="61"/>
      <c r="G24" s="60"/>
      <c r="H24" s="60"/>
      <c r="I24" s="60"/>
      <c r="J24" s="60"/>
      <c r="K24" s="60"/>
      <c r="L24" s="60"/>
      <c r="M24" s="60"/>
      <c r="N24" s="62" t="s">
        <v>133</v>
      </c>
      <c r="P24" s="62"/>
      <c r="Q24" s="62"/>
      <c r="R24" s="62"/>
      <c r="S24" s="62"/>
      <c r="T24" s="62"/>
    </row>
    <row r="25" spans="1:20" ht="12.75">
      <c r="A25" s="16" t="s">
        <v>11</v>
      </c>
      <c r="B25" s="19">
        <f>((1000/SoilA)^(1/SoilB))*(RootDepth*1000)*(1-(Gravel/100))</f>
        <v>152.44103768895383</v>
      </c>
      <c r="C25" s="72" t="s">
        <v>152</v>
      </c>
      <c r="E25" s="61" t="s">
        <v>130</v>
      </c>
      <c r="F25" s="61"/>
      <c r="G25" s="60"/>
      <c r="H25" s="60"/>
      <c r="I25" s="60"/>
      <c r="J25" s="60"/>
      <c r="K25" s="60"/>
      <c r="L25" s="60"/>
      <c r="M25" s="60"/>
      <c r="N25" s="62" t="s">
        <v>50</v>
      </c>
      <c r="P25" s="62"/>
      <c r="Q25" s="62"/>
      <c r="R25" s="62"/>
      <c r="S25" s="62"/>
      <c r="T25" s="62"/>
    </row>
    <row r="26" spans="1:20" ht="12.75">
      <c r="A26" s="16" t="s">
        <v>1260</v>
      </c>
      <c r="B26" s="19">
        <f>(((OptLWP*100)/SoilA)^(1/SoilB))*(RootDepth*1000)*(1-(Gravel/100))</f>
        <v>155.23978720354387</v>
      </c>
      <c r="C26" s="72" t="s">
        <v>153</v>
      </c>
      <c r="E26" s="61" t="s">
        <v>135</v>
      </c>
      <c r="F26" s="61"/>
      <c r="G26" s="60"/>
      <c r="H26" s="60"/>
      <c r="I26" s="60"/>
      <c r="J26" s="60"/>
      <c r="K26" s="60"/>
      <c r="L26" s="60"/>
      <c r="M26" s="60"/>
      <c r="N26" s="62" t="s">
        <v>49</v>
      </c>
      <c r="P26" s="62"/>
      <c r="Q26" s="62"/>
      <c r="R26" s="62"/>
      <c r="S26" s="62"/>
      <c r="T26" s="62"/>
    </row>
    <row r="27" spans="1:13" ht="12.75">
      <c r="A27" s="16" t="s">
        <v>13</v>
      </c>
      <c r="B27" s="19">
        <f>SMatOptLWP-5</f>
        <v>150.23978720354387</v>
      </c>
      <c r="C27" s="72" t="s">
        <v>154</v>
      </c>
      <c r="E27" s="61" t="s">
        <v>128</v>
      </c>
      <c r="F27" s="61"/>
      <c r="G27" s="60"/>
      <c r="H27" s="60"/>
      <c r="I27" s="60"/>
      <c r="J27" s="60"/>
      <c r="K27" s="60"/>
      <c r="L27" s="60"/>
      <c r="M27" s="60"/>
    </row>
    <row r="28" spans="1:13" ht="12.75">
      <c r="A28" s="15" t="s">
        <v>14</v>
      </c>
      <c r="B28" s="19">
        <f>SMatFC</f>
        <v>314.80675953623467</v>
      </c>
      <c r="C28" s="72" t="s">
        <v>155</v>
      </c>
      <c r="E28" s="61" t="s">
        <v>129</v>
      </c>
      <c r="F28" s="61"/>
      <c r="G28" s="60"/>
      <c r="H28" s="60"/>
      <c r="I28" s="60"/>
      <c r="J28" s="60"/>
      <c r="K28" s="60"/>
      <c r="L28" s="60"/>
      <c r="M28" s="60"/>
    </row>
    <row r="29" spans="1:22" ht="12.75">
      <c r="A29" s="16" t="s">
        <v>3</v>
      </c>
      <c r="B29" s="4">
        <f>(0.264/(1/((rowspace*0.3048)*(vinespace*0.3048))))*(20/(rowspace*vinespace))</f>
        <v>0.4905280512</v>
      </c>
      <c r="C29" s="72" t="s">
        <v>156</v>
      </c>
      <c r="D29" s="80" t="s">
        <v>1253</v>
      </c>
      <c r="E29" s="17"/>
      <c r="F29" s="17"/>
      <c r="S29" s="9"/>
      <c r="T29" s="9"/>
      <c r="U29" s="15" t="s">
        <v>1262</v>
      </c>
      <c r="V29" s="78">
        <v>0.5</v>
      </c>
    </row>
    <row r="30" spans="1:6" ht="12.75">
      <c r="A30" s="20" t="s">
        <v>157</v>
      </c>
      <c r="B30" s="73" t="s">
        <v>1266</v>
      </c>
      <c r="C30" s="72" t="s">
        <v>1242</v>
      </c>
      <c r="D30" s="17" t="s">
        <v>1243</v>
      </c>
      <c r="E30" s="17"/>
      <c r="F30" s="17"/>
    </row>
    <row r="31" spans="1:6" ht="12.75">
      <c r="A31" s="16"/>
      <c r="B31" s="10"/>
      <c r="D31" s="17" t="s">
        <v>1263</v>
      </c>
      <c r="E31" s="17"/>
      <c r="F31" s="17"/>
    </row>
    <row r="32" spans="2:23" s="9" customFormat="1" ht="12.75">
      <c r="B32" s="27" t="s">
        <v>79</v>
      </c>
      <c r="C32" s="21"/>
      <c r="D32" s="10">
        <f>SUM(D36:D400)</f>
        <v>0</v>
      </c>
      <c r="E32" s="10">
        <f>SUM(E36:E400)</f>
        <v>5450.700000000002</v>
      </c>
      <c r="F32" s="10">
        <f>SUM(F36:F400)</f>
        <v>1260.2740000000015</v>
      </c>
      <c r="G32" s="10">
        <f>SUM(G36:G350)</f>
        <v>540.7810000000002</v>
      </c>
      <c r="H32" s="10">
        <f>SUM(H36:H119)</f>
        <v>817</v>
      </c>
      <c r="I32" s="10"/>
      <c r="J32" s="10"/>
      <c r="K32" s="57"/>
      <c r="L32" s="10"/>
      <c r="M32" s="10"/>
      <c r="N32" s="10"/>
      <c r="O32" s="10"/>
      <c r="P32" s="10">
        <f>SUM(P36:P350)</f>
        <v>-148.38888477781188</v>
      </c>
      <c r="Q32" s="10">
        <f>SUM(Q36:Q350)</f>
        <v>-224.35024329259596</v>
      </c>
      <c r="R32" s="79">
        <f>SUM(R36:R350)</f>
        <v>130</v>
      </c>
      <c r="S32" s="10">
        <f>SUM(S36:S350)</f>
        <v>63.76864665599999</v>
      </c>
      <c r="T32" s="6"/>
      <c r="U32" s="10"/>
      <c r="V32" s="10">
        <f>SUM(V36:V350)</f>
        <v>-414.86393679538253</v>
      </c>
      <c r="W32" s="10">
        <f>SUM(W36:W350)</f>
        <v>1563.5358195812573</v>
      </c>
    </row>
    <row r="33" spans="2:23" s="9" customFormat="1" ht="12.75">
      <c r="B33" s="27" t="s">
        <v>80</v>
      </c>
      <c r="C33" s="27"/>
      <c r="D33" s="10">
        <f>AVERAGE(D36:D400)</f>
        <v>0</v>
      </c>
      <c r="E33" s="10">
        <f>AVERAGE(E36:E400)</f>
        <v>14.933424657534252</v>
      </c>
      <c r="F33" s="10">
        <f>AVERAGE(F36:F400)</f>
        <v>3.452805479452059</v>
      </c>
      <c r="G33" s="10">
        <f>AVERAGE(G36:G350)</f>
        <v>1.71676507936508</v>
      </c>
      <c r="H33" s="10" t="s">
        <v>8</v>
      </c>
      <c r="I33" s="10" t="s">
        <v>9</v>
      </c>
      <c r="J33" s="10"/>
      <c r="K33" s="10">
        <f>AVERAGE(K36:K350)</f>
        <v>0.7299766532642138</v>
      </c>
      <c r="L33" s="10">
        <f aca="true" t="shared" si="0" ref="L33:W33">AVERAGE(L36:L350)</f>
        <v>0.2949676300447791</v>
      </c>
      <c r="M33" s="10">
        <f t="shared" si="0"/>
        <v>0.6936051195336695</v>
      </c>
      <c r="N33" s="10">
        <f t="shared" si="0"/>
        <v>0.132422072012604</v>
      </c>
      <c r="O33" s="10">
        <f t="shared" si="0"/>
        <v>0.18768812108957703</v>
      </c>
      <c r="P33" s="10">
        <f t="shared" si="0"/>
        <v>-0.4710758246914663</v>
      </c>
      <c r="Q33" s="10">
        <f t="shared" si="0"/>
        <v>-0.7122229945796698</v>
      </c>
      <c r="R33" s="10">
        <f t="shared" si="0"/>
        <v>0.4126984126984127</v>
      </c>
      <c r="S33" s="10">
        <f t="shared" si="0"/>
        <v>0.20244014811428568</v>
      </c>
      <c r="T33" s="10">
        <f>AVERAGE(T36:T350)</f>
        <v>220.18566309320278</v>
      </c>
      <c r="U33" s="10">
        <f>AVERAGE(U36:U350)</f>
        <v>218.86863472242376</v>
      </c>
      <c r="V33" s="10">
        <f t="shared" si="0"/>
        <v>-1.3170283707789923</v>
      </c>
      <c r="W33" s="10">
        <f t="shared" si="0"/>
        <v>4.963605776448436</v>
      </c>
    </row>
    <row r="34" spans="1:23" s="9" customFormat="1" ht="12.75">
      <c r="A34" s="63"/>
      <c r="B34" s="12" t="s">
        <v>82</v>
      </c>
      <c r="C34" s="27"/>
      <c r="D34" s="7" t="s">
        <v>65</v>
      </c>
      <c r="E34" s="7" t="s">
        <v>71</v>
      </c>
      <c r="F34" s="7" t="s">
        <v>65</v>
      </c>
      <c r="G34" s="7" t="s">
        <v>65</v>
      </c>
      <c r="H34" s="7" t="s">
        <v>71</v>
      </c>
      <c r="I34" s="7" t="s">
        <v>71</v>
      </c>
      <c r="J34" s="7" t="s">
        <v>71</v>
      </c>
      <c r="K34" s="7" t="s">
        <v>70</v>
      </c>
      <c r="L34" s="7" t="s">
        <v>46</v>
      </c>
      <c r="M34" s="7" t="s">
        <v>46</v>
      </c>
      <c r="N34" s="7" t="s">
        <v>46</v>
      </c>
      <c r="O34" s="7" t="s">
        <v>46</v>
      </c>
      <c r="P34" s="7" t="s">
        <v>77</v>
      </c>
      <c r="Q34" s="7" t="s">
        <v>77</v>
      </c>
      <c r="R34" s="7" t="s">
        <v>65</v>
      </c>
      <c r="S34" s="7" t="s">
        <v>4</v>
      </c>
      <c r="T34" s="7" t="s">
        <v>65</v>
      </c>
      <c r="U34" s="7" t="s">
        <v>65</v>
      </c>
      <c r="V34" s="7" t="s">
        <v>77</v>
      </c>
      <c r="W34" s="7" t="s">
        <v>64</v>
      </c>
    </row>
    <row r="35" spans="1:23" ht="12.75">
      <c r="A35" s="56"/>
      <c r="B35" s="7" t="s">
        <v>7</v>
      </c>
      <c r="C35" s="7" t="s">
        <v>60</v>
      </c>
      <c r="D35" s="50" t="s">
        <v>55</v>
      </c>
      <c r="E35" s="7" t="s">
        <v>1241</v>
      </c>
      <c r="F35" s="7" t="s">
        <v>159</v>
      </c>
      <c r="G35" s="7" t="s">
        <v>134</v>
      </c>
      <c r="H35" s="7" t="s">
        <v>52</v>
      </c>
      <c r="I35" s="7" t="s">
        <v>53</v>
      </c>
      <c r="J35" s="7" t="s">
        <v>54</v>
      </c>
      <c r="K35" s="7" t="s">
        <v>61</v>
      </c>
      <c r="L35" s="10" t="s">
        <v>62</v>
      </c>
      <c r="M35" s="10" t="s">
        <v>76</v>
      </c>
      <c r="N35" s="10" t="s">
        <v>131</v>
      </c>
      <c r="O35" s="10" t="s">
        <v>81</v>
      </c>
      <c r="P35" s="10" t="s">
        <v>66</v>
      </c>
      <c r="Q35" s="7" t="s">
        <v>63</v>
      </c>
      <c r="R35" s="7" t="s">
        <v>69</v>
      </c>
      <c r="S35" s="7" t="s">
        <v>51</v>
      </c>
      <c r="T35" s="7" t="s">
        <v>58</v>
      </c>
      <c r="U35" s="7" t="s">
        <v>78</v>
      </c>
      <c r="V35" s="7" t="s">
        <v>5</v>
      </c>
      <c r="W35" s="7" t="s">
        <v>1257</v>
      </c>
    </row>
    <row r="36" spans="1:23" ht="12.75">
      <c r="A36" s="1"/>
      <c r="B36" s="19">
        <v>1</v>
      </c>
      <c r="C36" s="58">
        <v>36891</v>
      </c>
      <c r="D36" s="50">
        <v>0</v>
      </c>
      <c r="E36" s="10">
        <f ca="1" t="shared" si="1" ref="E36:G55">INDIRECT(WeatherSheet&amp;"!"&amp;E405)</f>
        <v>10</v>
      </c>
      <c r="F36" s="10">
        <f ca="1" t="shared" si="1"/>
        <v>1.015</v>
      </c>
      <c r="G36" s="10">
        <f ca="1" t="shared" si="1"/>
        <v>0.508</v>
      </c>
      <c r="H36" s="10">
        <f>IF(((E36-0)&gt;0),(E36-0),0)</f>
        <v>10</v>
      </c>
      <c r="I36" s="10">
        <f>IF((SUM(H$36:H36)&gt;GDD_budbreak),(IF(((E36-10)&gt;0),(E36-10),0)),0)</f>
        <v>0</v>
      </c>
      <c r="J36" s="4">
        <f>IF((B36&lt;LeafDropDay),(SUM(I$36:I36)),0)</f>
        <v>0</v>
      </c>
      <c r="K36" s="4">
        <f aca="true" t="shared" si="2" ref="K36:K99">IF(J36&gt;0,((1.0066-1.0118*EXP(-5.0278*(J37/GDD_MaxLAI)^1.9331))*MaxLAI),0)</f>
        <v>0</v>
      </c>
      <c r="L36" s="4">
        <f aca="true" t="shared" si="3" ref="L36:L99">1-EXP(-ExtCoeff*K36)</f>
        <v>0</v>
      </c>
      <c r="M36" s="4">
        <v>1</v>
      </c>
      <c r="N36" s="4">
        <f aca="true" t="shared" si="4" ref="N36:N99">IF(AlterKc?&gt;0,L36*M36,L36)</f>
        <v>0</v>
      </c>
      <c r="O36" s="4">
        <v>0</v>
      </c>
      <c r="P36" s="10">
        <f>F36*O36*-1</f>
        <v>0</v>
      </c>
      <c r="Q36" s="10">
        <f>F36*N36*-1</f>
        <v>0</v>
      </c>
      <c r="R36" s="4">
        <v>0</v>
      </c>
      <c r="S36" s="4">
        <f aca="true" t="shared" si="5" ref="S36:S99">R36*IrrConv</f>
        <v>0</v>
      </c>
      <c r="T36" s="4">
        <f>G36+P36+Q36+R36+B28</f>
        <v>315.31475953623465</v>
      </c>
      <c r="U36" s="4">
        <f>T36+V36</f>
        <v>315.0607595362346</v>
      </c>
      <c r="V36" s="4">
        <f aca="true" t="shared" si="6" ref="V36:V99">IF((T36&gt;SMatFC),((T36-SMatFC)*-V$29),0)</f>
        <v>-0.2539999999999907</v>
      </c>
      <c r="W36" s="4">
        <f aca="true" t="shared" si="7" ref="W36:W99">((SoilA*(U36/((RootDepth*1000)*(1-(Gravel/100))))^SoilB)/100)</f>
        <v>0.14930102080601254</v>
      </c>
    </row>
    <row r="37" spans="2:23" ht="12.75">
      <c r="B37" s="19">
        <v>2</v>
      </c>
      <c r="C37" s="58">
        <v>36892</v>
      </c>
      <c r="D37" s="50">
        <v>0</v>
      </c>
      <c r="E37" s="10">
        <f ca="1" t="shared" si="1"/>
        <v>9.15</v>
      </c>
      <c r="F37" s="10">
        <f ca="1" t="shared" si="1"/>
        <v>1.015</v>
      </c>
      <c r="G37" s="10">
        <f ca="1" t="shared" si="1"/>
        <v>0.254</v>
      </c>
      <c r="H37" s="10">
        <f aca="true" t="shared" si="8" ref="H37:H100">IF(((E37-0)&gt;0),(E37-0),0)</f>
        <v>9.15</v>
      </c>
      <c r="I37" s="10">
        <f>IF((SUM(H$36:H37)&gt;GDD_budbreak),(IF(((E37-10)&gt;0),(E37-10),0)),0)</f>
        <v>0</v>
      </c>
      <c r="J37" s="4">
        <f>IF((B37&lt;LeafDropDay),(SUM(I$36:I37)),0)</f>
        <v>0</v>
      </c>
      <c r="K37" s="4">
        <f>IF(J37&gt;0,((1.0066-1.0118*EXP(-5.0278*(J38/GDD_MaxLAI)^1.9331))*MaxLAI),0)</f>
        <v>0</v>
      </c>
      <c r="L37" s="4">
        <f t="shared" si="3"/>
        <v>0</v>
      </c>
      <c r="M37" s="4">
        <f aca="true" t="shared" si="9" ref="M37:M100">IF((W36&gt;LWP_KcMax),IF(W36&lt;LWP_Kc0,(1-((W36-LWP_KcMax)/(LWP_Kc0-LWP_KcMax))),0),1)</f>
        <v>1</v>
      </c>
      <c r="N37" s="4">
        <f t="shared" si="4"/>
        <v>0</v>
      </c>
      <c r="O37" s="4">
        <f aca="true" t="shared" si="10" ref="O37:O100">IF(CC_cover&gt;0,(IF(B37&lt;CCLastDay,(IF((U36&gt;(SMatFC*CC_SMdeath)),(((U36-(SMatFC*CC_SMdeath))/(SMatFC-(SMatFC*CC_SMdeath)))*CC_cover),0)),0)),0)</f>
        <v>0.5010085552180255</v>
      </c>
      <c r="P37" s="10">
        <f aca="true" t="shared" si="11" ref="P37:P100">F37*O37*-1</f>
        <v>-0.5085236835462957</v>
      </c>
      <c r="Q37" s="10">
        <f aca="true" t="shared" si="12" ref="Q37:Q100">F37*N37*-1</f>
        <v>0</v>
      </c>
      <c r="R37" s="4">
        <f aca="true" t="shared" si="13" ref="R37:R100">IF((SimIrr?=1),(IF((U36&lt;SMatIrrig),((SMatOptLWP-SMatIrrig)*2),0)),D37)</f>
        <v>0</v>
      </c>
      <c r="S37" s="4">
        <f t="shared" si="5"/>
        <v>0</v>
      </c>
      <c r="T37" s="4">
        <f>G37+P37+Q37+R37+U36</f>
        <v>314.80623585268836</v>
      </c>
      <c r="U37" s="4">
        <f aca="true" t="shared" si="14" ref="U37:U100">T37+V37</f>
        <v>314.80623585268836</v>
      </c>
      <c r="V37" s="4">
        <f t="shared" si="6"/>
        <v>0</v>
      </c>
      <c r="W37" s="4">
        <f t="shared" si="7"/>
        <v>0.1500014450767226</v>
      </c>
    </row>
    <row r="38" spans="1:23" ht="12.75">
      <c r="A38" s="11"/>
      <c r="B38" s="19">
        <v>3</v>
      </c>
      <c r="C38" s="58">
        <v>36893</v>
      </c>
      <c r="D38" s="50">
        <v>0</v>
      </c>
      <c r="E38" s="10">
        <f ca="1" t="shared" si="1"/>
        <v>8.6</v>
      </c>
      <c r="F38" s="10">
        <f ca="1" t="shared" si="1"/>
        <v>1.015</v>
      </c>
      <c r="G38" s="10">
        <f ca="1" t="shared" si="1"/>
        <v>0.254</v>
      </c>
      <c r="H38" s="10">
        <f t="shared" si="8"/>
        <v>8.6</v>
      </c>
      <c r="I38" s="10">
        <f>IF((SUM(H$36:H38)&gt;GDD_budbreak),(IF(((E38-10)&gt;0),(E38-10),0)),0)</f>
        <v>0</v>
      </c>
      <c r="J38" s="4">
        <f>IF((B38&lt;LeafDropDay),(SUM(I$36:I38)),0)</f>
        <v>0</v>
      </c>
      <c r="K38" s="4">
        <f t="shared" si="2"/>
        <v>0</v>
      </c>
      <c r="L38" s="4">
        <f t="shared" si="3"/>
        <v>0</v>
      </c>
      <c r="M38" s="4">
        <f t="shared" si="9"/>
        <v>1</v>
      </c>
      <c r="N38" s="4">
        <f t="shared" si="4"/>
        <v>0</v>
      </c>
      <c r="O38" s="4">
        <f t="shared" si="10"/>
        <v>0.49999792061506604</v>
      </c>
      <c r="P38" s="10">
        <f t="shared" si="11"/>
        <v>-0.507497889424292</v>
      </c>
      <c r="Q38" s="10">
        <f t="shared" si="12"/>
        <v>0</v>
      </c>
      <c r="R38" s="4">
        <f t="shared" si="13"/>
        <v>0</v>
      </c>
      <c r="S38" s="4">
        <f t="shared" si="5"/>
        <v>0</v>
      </c>
      <c r="T38" s="4">
        <f aca="true" t="shared" si="15" ref="T38:T101">G38+P38+Q38+R38+U37</f>
        <v>314.55273796326406</v>
      </c>
      <c r="U38" s="4">
        <f t="shared" si="14"/>
        <v>314.55273796326406</v>
      </c>
      <c r="V38" s="4">
        <f t="shared" si="6"/>
        <v>0</v>
      </c>
      <c r="W38" s="4">
        <f t="shared" si="7"/>
        <v>0.15070287960755407</v>
      </c>
    </row>
    <row r="39" spans="2:23" ht="12.75">
      <c r="B39" s="19">
        <v>4</v>
      </c>
      <c r="C39" s="58">
        <v>36894</v>
      </c>
      <c r="D39" s="50">
        <v>0</v>
      </c>
      <c r="E39" s="10">
        <f ca="1" t="shared" si="1"/>
        <v>10.55</v>
      </c>
      <c r="F39" s="10">
        <f ca="1" t="shared" si="1"/>
        <v>1.269</v>
      </c>
      <c r="G39" s="10">
        <f ca="1" t="shared" si="1"/>
        <v>0</v>
      </c>
      <c r="H39" s="10">
        <f t="shared" si="8"/>
        <v>10.55</v>
      </c>
      <c r="I39" s="10">
        <f>IF((SUM(H$36:H39)&gt;GDD_budbreak),(IF(((E39-10)&gt;0),(E39-10),0)),0)</f>
        <v>0</v>
      </c>
      <c r="J39" s="4">
        <f>IF((B39&lt;LeafDropDay),(SUM(I$36:I39)),0)</f>
        <v>0</v>
      </c>
      <c r="K39" s="4">
        <f t="shared" si="2"/>
        <v>0</v>
      </c>
      <c r="L39" s="4">
        <f t="shared" si="3"/>
        <v>0</v>
      </c>
      <c r="M39" s="4">
        <f t="shared" si="9"/>
        <v>1</v>
      </c>
      <c r="N39" s="4">
        <f t="shared" si="4"/>
        <v>0</v>
      </c>
      <c r="O39" s="4">
        <f t="shared" si="10"/>
        <v>0.49899135912239934</v>
      </c>
      <c r="P39" s="10">
        <f t="shared" si="11"/>
        <v>-0.6332200347263247</v>
      </c>
      <c r="Q39" s="10">
        <f t="shared" si="12"/>
        <v>0</v>
      </c>
      <c r="R39" s="4">
        <f t="shared" si="13"/>
        <v>0</v>
      </c>
      <c r="S39" s="4">
        <f t="shared" si="5"/>
        <v>0</v>
      </c>
      <c r="T39" s="4">
        <f t="shared" si="15"/>
        <v>313.91951792853774</v>
      </c>
      <c r="U39" s="4">
        <f t="shared" si="14"/>
        <v>313.91951792853774</v>
      </c>
      <c r="V39" s="4">
        <f t="shared" si="6"/>
        <v>0</v>
      </c>
      <c r="W39" s="4">
        <f t="shared" si="7"/>
        <v>0.15247188483819485</v>
      </c>
    </row>
    <row r="40" spans="1:23" ht="12.75">
      <c r="A40" s="11"/>
      <c r="B40" s="19">
        <v>5</v>
      </c>
      <c r="C40" s="58">
        <v>36895</v>
      </c>
      <c r="D40" s="50">
        <v>0</v>
      </c>
      <c r="E40" s="10">
        <f ca="1" t="shared" si="1"/>
        <v>9.15</v>
      </c>
      <c r="F40" s="10">
        <f ca="1" t="shared" si="1"/>
        <v>1.015</v>
      </c>
      <c r="G40" s="10">
        <f ca="1" t="shared" si="1"/>
        <v>0.254</v>
      </c>
      <c r="H40" s="10">
        <f t="shared" si="8"/>
        <v>9.15</v>
      </c>
      <c r="I40" s="10">
        <f>IF((SUM(H$36:H40)&gt;GDD_budbreak),(IF(((E40-10)&gt;0),(E40-10),0)),0)</f>
        <v>0</v>
      </c>
      <c r="J40" s="4">
        <f>IF((B40&lt;LeafDropDay),(SUM(I$36:I40)),0)</f>
        <v>0</v>
      </c>
      <c r="K40" s="4">
        <f t="shared" si="2"/>
        <v>0</v>
      </c>
      <c r="L40" s="4">
        <f t="shared" si="3"/>
        <v>0</v>
      </c>
      <c r="M40" s="4">
        <f t="shared" si="9"/>
        <v>1</v>
      </c>
      <c r="N40" s="4">
        <f t="shared" si="4"/>
        <v>0</v>
      </c>
      <c r="O40" s="4">
        <f t="shared" si="10"/>
        <v>0.4964770387673537</v>
      </c>
      <c r="P40" s="10">
        <f t="shared" si="11"/>
        <v>-0.5039241943488639</v>
      </c>
      <c r="Q40" s="10">
        <f t="shared" si="12"/>
        <v>0</v>
      </c>
      <c r="R40" s="4">
        <f t="shared" si="13"/>
        <v>0</v>
      </c>
      <c r="S40" s="4">
        <f t="shared" si="5"/>
        <v>0</v>
      </c>
      <c r="T40" s="4">
        <f t="shared" si="15"/>
        <v>313.6695937341889</v>
      </c>
      <c r="U40" s="4">
        <f t="shared" si="14"/>
        <v>313.6695937341889</v>
      </c>
      <c r="V40" s="4">
        <f t="shared" si="6"/>
        <v>0</v>
      </c>
      <c r="W40" s="4">
        <f t="shared" si="7"/>
        <v>0.15317678396963913</v>
      </c>
    </row>
    <row r="41" spans="2:23" ht="12.75">
      <c r="B41" s="19">
        <v>6</v>
      </c>
      <c r="C41" s="58">
        <v>36896</v>
      </c>
      <c r="D41" s="50">
        <v>0</v>
      </c>
      <c r="E41" s="10">
        <f ca="1" t="shared" si="1"/>
        <v>9.45</v>
      </c>
      <c r="F41" s="10">
        <f ca="1" t="shared" si="1"/>
        <v>1.015</v>
      </c>
      <c r="G41" s="10">
        <f ca="1" t="shared" si="1"/>
        <v>0</v>
      </c>
      <c r="H41" s="10">
        <f t="shared" si="8"/>
        <v>9.45</v>
      </c>
      <c r="I41" s="10">
        <f>IF((SUM(H$36:H41)&gt;GDD_budbreak),(IF(((E41-10)&gt;0),(E41-10),0)),0)</f>
        <v>0</v>
      </c>
      <c r="J41" s="4">
        <f>IF((B41&lt;LeafDropDay),(SUM(I$36:I41)),0)</f>
        <v>0</v>
      </c>
      <c r="K41" s="4">
        <f t="shared" si="2"/>
        <v>0</v>
      </c>
      <c r="L41" s="4">
        <f t="shared" si="3"/>
        <v>0</v>
      </c>
      <c r="M41" s="4">
        <f t="shared" si="9"/>
        <v>1</v>
      </c>
      <c r="N41" s="4">
        <f t="shared" si="4"/>
        <v>0</v>
      </c>
      <c r="O41" s="4">
        <f t="shared" si="10"/>
        <v>0.4954846673093955</v>
      </c>
      <c r="P41" s="10">
        <f t="shared" si="11"/>
        <v>-0.5029169373190364</v>
      </c>
      <c r="Q41" s="10">
        <f t="shared" si="12"/>
        <v>0</v>
      </c>
      <c r="R41" s="4">
        <f t="shared" si="13"/>
        <v>0</v>
      </c>
      <c r="S41" s="4">
        <f t="shared" si="5"/>
        <v>0</v>
      </c>
      <c r="T41" s="4">
        <f t="shared" si="15"/>
        <v>313.16667679686987</v>
      </c>
      <c r="U41" s="4">
        <f t="shared" si="14"/>
        <v>313.16667679686987</v>
      </c>
      <c r="V41" s="4">
        <f t="shared" si="6"/>
        <v>0</v>
      </c>
      <c r="W41" s="4">
        <f t="shared" si="7"/>
        <v>0.15460685283716333</v>
      </c>
    </row>
    <row r="42" spans="2:23" ht="12.75">
      <c r="B42" s="19">
        <v>7</v>
      </c>
      <c r="C42" s="58">
        <v>36897</v>
      </c>
      <c r="D42" s="50">
        <v>0</v>
      </c>
      <c r="E42" s="10">
        <f ca="1" t="shared" si="1"/>
        <v>6.4</v>
      </c>
      <c r="F42" s="10">
        <f ca="1" t="shared" si="1"/>
        <v>0.254</v>
      </c>
      <c r="G42" s="10">
        <f ca="1" t="shared" si="1"/>
        <v>3.807</v>
      </c>
      <c r="H42" s="10">
        <f t="shared" si="8"/>
        <v>6.4</v>
      </c>
      <c r="I42" s="10">
        <f>IF((SUM(H$36:H42)&gt;GDD_budbreak),(IF(((E42-10)&gt;0),(E42-10),0)),0)</f>
        <v>0</v>
      </c>
      <c r="J42" s="4">
        <f>IF((B42&lt;LeafDropDay),(SUM(I$36:I42)),0)</f>
        <v>0</v>
      </c>
      <c r="K42" s="4">
        <f t="shared" si="2"/>
        <v>0</v>
      </c>
      <c r="L42" s="4">
        <f t="shared" si="3"/>
        <v>0</v>
      </c>
      <c r="M42" s="4">
        <f t="shared" si="9"/>
        <v>1</v>
      </c>
      <c r="N42" s="4">
        <f t="shared" si="4"/>
        <v>0</v>
      </c>
      <c r="O42" s="4">
        <f t="shared" si="10"/>
        <v>0.49348774013866104</v>
      </c>
      <c r="P42" s="10">
        <f t="shared" si="11"/>
        <v>-0.1253458859952199</v>
      </c>
      <c r="Q42" s="10">
        <f t="shared" si="12"/>
        <v>0</v>
      </c>
      <c r="R42" s="4">
        <f t="shared" si="13"/>
        <v>0</v>
      </c>
      <c r="S42" s="4">
        <f t="shared" si="5"/>
        <v>0</v>
      </c>
      <c r="T42" s="4">
        <f t="shared" si="15"/>
        <v>316.84833091087467</v>
      </c>
      <c r="U42" s="4">
        <f t="shared" si="14"/>
        <v>315.8275452235547</v>
      </c>
      <c r="V42" s="4">
        <f t="shared" si="6"/>
        <v>-1.02078568732</v>
      </c>
      <c r="W42" s="4">
        <f t="shared" si="7"/>
        <v>0.14721396756888172</v>
      </c>
    </row>
    <row r="43" spans="2:23" ht="12.75">
      <c r="B43" s="19">
        <v>8</v>
      </c>
      <c r="C43" s="58">
        <v>36898</v>
      </c>
      <c r="D43" s="50">
        <v>0</v>
      </c>
      <c r="E43" s="10">
        <f ca="1" t="shared" si="1"/>
        <v>8.9</v>
      </c>
      <c r="F43" s="10">
        <f ca="1" t="shared" si="1"/>
        <v>0.508</v>
      </c>
      <c r="G43" s="10">
        <f ca="1" t="shared" si="1"/>
        <v>9.645</v>
      </c>
      <c r="H43" s="10">
        <f t="shared" si="8"/>
        <v>8.9</v>
      </c>
      <c r="I43" s="10">
        <f>IF((SUM(H$36:H43)&gt;GDD_budbreak),(IF(((E43-10)&gt;0),(E43-10),0)),0)</f>
        <v>0</v>
      </c>
      <c r="J43" s="4">
        <f>IF((B43&lt;LeafDropDay),(SUM(I$36:I43)),0)</f>
        <v>0</v>
      </c>
      <c r="K43" s="4">
        <f t="shared" si="2"/>
        <v>0</v>
      </c>
      <c r="L43" s="4">
        <f t="shared" si="3"/>
        <v>0</v>
      </c>
      <c r="M43" s="4">
        <f t="shared" si="9"/>
        <v>1</v>
      </c>
      <c r="N43" s="4">
        <f t="shared" si="4"/>
        <v>0</v>
      </c>
      <c r="O43" s="4">
        <f t="shared" si="10"/>
        <v>0.5040532233520963</v>
      </c>
      <c r="P43" s="10">
        <f t="shared" si="11"/>
        <v>-0.25605903746286496</v>
      </c>
      <c r="Q43" s="10">
        <f t="shared" si="12"/>
        <v>0</v>
      </c>
      <c r="R43" s="4">
        <f t="shared" si="13"/>
        <v>0</v>
      </c>
      <c r="S43" s="4">
        <f t="shared" si="5"/>
        <v>0</v>
      </c>
      <c r="T43" s="4">
        <f t="shared" si="15"/>
        <v>325.21648618609186</v>
      </c>
      <c r="U43" s="4">
        <f t="shared" si="14"/>
        <v>320.01162286116323</v>
      </c>
      <c r="V43" s="4">
        <f t="shared" si="6"/>
        <v>-5.204863324928596</v>
      </c>
      <c r="W43" s="4">
        <f t="shared" si="7"/>
        <v>0.13641046677013466</v>
      </c>
    </row>
    <row r="44" spans="2:23" ht="12.75">
      <c r="B44" s="19">
        <v>9</v>
      </c>
      <c r="C44" s="58">
        <v>36899</v>
      </c>
      <c r="D44" s="50">
        <v>0</v>
      </c>
      <c r="E44" s="10">
        <f ca="1" t="shared" si="1"/>
        <v>5</v>
      </c>
      <c r="F44" s="10">
        <f ca="1" t="shared" si="1"/>
        <v>0</v>
      </c>
      <c r="G44" s="10">
        <f ca="1" t="shared" si="1"/>
        <v>2.792</v>
      </c>
      <c r="H44" s="10">
        <f t="shared" si="8"/>
        <v>5</v>
      </c>
      <c r="I44" s="10">
        <f>IF((SUM(H$36:H44)&gt;GDD_budbreak),(IF(((E44-10)&gt;0),(E44-10),0)),0)</f>
        <v>0</v>
      </c>
      <c r="J44" s="4">
        <f>IF((B44&lt;LeafDropDay),(SUM(I$36:I44)),0)</f>
        <v>0</v>
      </c>
      <c r="K44" s="4">
        <f t="shared" si="2"/>
        <v>0</v>
      </c>
      <c r="L44" s="4">
        <f t="shared" si="3"/>
        <v>0</v>
      </c>
      <c r="M44" s="4">
        <f t="shared" si="9"/>
        <v>1</v>
      </c>
      <c r="N44" s="4">
        <f t="shared" si="4"/>
        <v>0</v>
      </c>
      <c r="O44" s="4">
        <f t="shared" si="10"/>
        <v>0.5206668978955385</v>
      </c>
      <c r="P44" s="10">
        <f t="shared" si="11"/>
        <v>0</v>
      </c>
      <c r="Q44" s="10">
        <f t="shared" si="12"/>
        <v>0</v>
      </c>
      <c r="R44" s="4">
        <f t="shared" si="13"/>
        <v>0</v>
      </c>
      <c r="S44" s="4">
        <f t="shared" si="5"/>
        <v>0</v>
      </c>
      <c r="T44" s="4">
        <f t="shared" si="15"/>
        <v>322.8036228611632</v>
      </c>
      <c r="U44" s="4">
        <f t="shared" si="14"/>
        <v>318.80519119869894</v>
      </c>
      <c r="V44" s="4">
        <f t="shared" si="6"/>
        <v>-3.99843166246427</v>
      </c>
      <c r="W44" s="4">
        <f t="shared" si="7"/>
        <v>0.13942718992179454</v>
      </c>
    </row>
    <row r="45" spans="2:23" ht="12.75">
      <c r="B45" s="19">
        <v>10</v>
      </c>
      <c r="C45" s="58">
        <v>36900</v>
      </c>
      <c r="D45" s="50">
        <v>0</v>
      </c>
      <c r="E45" s="10">
        <f ca="1" t="shared" si="1"/>
        <v>8.35</v>
      </c>
      <c r="F45" s="10">
        <f ca="1" t="shared" si="1"/>
        <v>0</v>
      </c>
      <c r="G45" s="10">
        <f ca="1" t="shared" si="1"/>
        <v>43.4</v>
      </c>
      <c r="H45" s="10">
        <f t="shared" si="8"/>
        <v>8.35</v>
      </c>
      <c r="I45" s="10">
        <f>IF((SUM(H$36:H45)&gt;GDD_budbreak),(IF(((E45-10)&gt;0),(E45-10),0)),0)</f>
        <v>0</v>
      </c>
      <c r="J45" s="4">
        <f>IF((B45&lt;LeafDropDay),(SUM(I$36:I45)),0)</f>
        <v>0</v>
      </c>
      <c r="K45" s="4">
        <f t="shared" si="2"/>
        <v>0</v>
      </c>
      <c r="L45" s="4">
        <f t="shared" si="3"/>
        <v>0</v>
      </c>
      <c r="M45" s="4">
        <f t="shared" si="9"/>
        <v>1</v>
      </c>
      <c r="N45" s="4">
        <f t="shared" si="4"/>
        <v>0</v>
      </c>
      <c r="O45" s="4">
        <f t="shared" si="10"/>
        <v>0.5158765319570753</v>
      </c>
      <c r="P45" s="10">
        <f t="shared" si="11"/>
        <v>0</v>
      </c>
      <c r="Q45" s="10">
        <f t="shared" si="12"/>
        <v>0</v>
      </c>
      <c r="R45" s="4">
        <f t="shared" si="13"/>
        <v>0</v>
      </c>
      <c r="S45" s="4">
        <f t="shared" si="5"/>
        <v>0</v>
      </c>
      <c r="T45" s="4">
        <f t="shared" si="15"/>
        <v>362.2051911986989</v>
      </c>
      <c r="U45" s="4">
        <f t="shared" si="14"/>
        <v>338.5059753674668</v>
      </c>
      <c r="V45" s="4">
        <f t="shared" si="6"/>
        <v>-23.699215831232124</v>
      </c>
      <c r="W45" s="4">
        <f t="shared" si="7"/>
        <v>0.0985230379871042</v>
      </c>
    </row>
    <row r="46" spans="2:23" ht="12.75">
      <c r="B46" s="19">
        <v>11</v>
      </c>
      <c r="C46" s="58">
        <v>36901</v>
      </c>
      <c r="D46" s="50">
        <v>0</v>
      </c>
      <c r="E46" s="10">
        <f ca="1" t="shared" si="1"/>
        <v>7.5</v>
      </c>
      <c r="F46" s="10">
        <f ca="1" t="shared" si="1"/>
        <v>0</v>
      </c>
      <c r="G46" s="10">
        <f ca="1" t="shared" si="1"/>
        <v>38.83</v>
      </c>
      <c r="H46" s="10">
        <f t="shared" si="8"/>
        <v>7.5</v>
      </c>
      <c r="I46" s="10">
        <f>IF((SUM(H$36:H46)&gt;GDD_budbreak),(IF(((E46-10)&gt;0),(E46-10),0)),0)</f>
        <v>0</v>
      </c>
      <c r="J46" s="4">
        <f>IF((B46&lt;LeafDropDay),(SUM(I$36:I46)),0)</f>
        <v>0</v>
      </c>
      <c r="K46" s="4">
        <f t="shared" si="2"/>
        <v>0</v>
      </c>
      <c r="L46" s="4">
        <f t="shared" si="3"/>
        <v>0</v>
      </c>
      <c r="M46" s="4">
        <f t="shared" si="9"/>
        <v>1</v>
      </c>
      <c r="N46" s="4">
        <f t="shared" si="4"/>
        <v>0</v>
      </c>
      <c r="O46" s="4">
        <f t="shared" si="10"/>
        <v>0.5941022353925358</v>
      </c>
      <c r="P46" s="10">
        <f t="shared" si="11"/>
        <v>0</v>
      </c>
      <c r="Q46" s="10">
        <f t="shared" si="12"/>
        <v>0</v>
      </c>
      <c r="R46" s="4">
        <f t="shared" si="13"/>
        <v>0</v>
      </c>
      <c r="S46" s="4">
        <f t="shared" si="5"/>
        <v>0</v>
      </c>
      <c r="T46" s="4">
        <f t="shared" si="15"/>
        <v>377.3359753674668</v>
      </c>
      <c r="U46" s="4">
        <f t="shared" si="14"/>
        <v>346.07136745185073</v>
      </c>
      <c r="V46" s="4">
        <f t="shared" si="6"/>
        <v>-31.264607915616068</v>
      </c>
      <c r="W46" s="4">
        <f t="shared" si="7"/>
        <v>0.08668534400357836</v>
      </c>
    </row>
    <row r="47" spans="2:23" ht="12.75">
      <c r="B47" s="19">
        <v>12</v>
      </c>
      <c r="C47" s="58">
        <v>36902</v>
      </c>
      <c r="D47" s="50">
        <v>0</v>
      </c>
      <c r="E47" s="10">
        <f ca="1" t="shared" si="1"/>
        <v>9.7</v>
      </c>
      <c r="F47" s="10">
        <f ca="1" t="shared" si="1"/>
        <v>1.015</v>
      </c>
      <c r="G47" s="10">
        <f ca="1" t="shared" si="1"/>
        <v>0</v>
      </c>
      <c r="H47" s="10">
        <f t="shared" si="8"/>
        <v>9.7</v>
      </c>
      <c r="I47" s="10">
        <f>IF((SUM(H$36:H47)&gt;GDD_budbreak),(IF(((E47-10)&gt;0),(E47-10),0)),0)</f>
        <v>0</v>
      </c>
      <c r="J47" s="4">
        <f>IF((B47&lt;LeafDropDay),(SUM(I$36:I47)),0)</f>
        <v>0</v>
      </c>
      <c r="K47" s="4">
        <f t="shared" si="2"/>
        <v>0</v>
      </c>
      <c r="L47" s="4">
        <f t="shared" si="3"/>
        <v>0</v>
      </c>
      <c r="M47" s="4">
        <f t="shared" si="9"/>
        <v>1</v>
      </c>
      <c r="N47" s="4">
        <f t="shared" si="4"/>
        <v>0</v>
      </c>
      <c r="O47" s="4">
        <f t="shared" si="10"/>
        <v>0.6241420608378704</v>
      </c>
      <c r="P47" s="10">
        <f t="shared" si="11"/>
        <v>-0.6335041917504384</v>
      </c>
      <c r="Q47" s="10">
        <f t="shared" si="12"/>
        <v>0</v>
      </c>
      <c r="R47" s="4">
        <f t="shared" si="13"/>
        <v>0</v>
      </c>
      <c r="S47" s="4">
        <f t="shared" si="5"/>
        <v>0</v>
      </c>
      <c r="T47" s="4">
        <f t="shared" si="15"/>
        <v>345.4378632601003</v>
      </c>
      <c r="U47" s="4">
        <f t="shared" si="14"/>
        <v>330.1223113981675</v>
      </c>
      <c r="V47" s="4">
        <f t="shared" si="6"/>
        <v>-15.315551861932818</v>
      </c>
      <c r="W47" s="4">
        <f t="shared" si="7"/>
        <v>0.11392340972609288</v>
      </c>
    </row>
    <row r="48" spans="2:23" ht="12.75">
      <c r="B48" s="19">
        <v>13</v>
      </c>
      <c r="C48" s="58">
        <v>36903</v>
      </c>
      <c r="D48" s="50">
        <v>0</v>
      </c>
      <c r="E48" s="10">
        <f ca="1" t="shared" si="1"/>
        <v>8.3</v>
      </c>
      <c r="F48" s="10">
        <f ca="1" t="shared" si="1"/>
        <v>1.015</v>
      </c>
      <c r="G48" s="10">
        <f ca="1" t="shared" si="1"/>
        <v>0</v>
      </c>
      <c r="H48" s="10">
        <f t="shared" si="8"/>
        <v>8.3</v>
      </c>
      <c r="I48" s="10">
        <f>IF((SUM(H$36:H48)&gt;GDD_budbreak),(IF(((E48-10)&gt;0),(E48-10),0)),0)</f>
        <v>0</v>
      </c>
      <c r="J48" s="4">
        <f>IF((B48&lt;LeafDropDay),(SUM(I$36:I48)),0)</f>
        <v>0</v>
      </c>
      <c r="K48" s="4">
        <f t="shared" si="2"/>
        <v>0</v>
      </c>
      <c r="L48" s="4">
        <f t="shared" si="3"/>
        <v>0</v>
      </c>
      <c r="M48" s="4">
        <f t="shared" si="9"/>
        <v>1</v>
      </c>
      <c r="N48" s="4">
        <f t="shared" si="4"/>
        <v>0</v>
      </c>
      <c r="O48" s="4">
        <f t="shared" si="10"/>
        <v>0.5608133060917089</v>
      </c>
      <c r="P48" s="10">
        <f t="shared" si="11"/>
        <v>-0.5692255056830845</v>
      </c>
      <c r="Q48" s="10">
        <f t="shared" si="12"/>
        <v>0</v>
      </c>
      <c r="R48" s="4">
        <f t="shared" si="13"/>
        <v>0</v>
      </c>
      <c r="S48" s="4">
        <f t="shared" si="5"/>
        <v>0</v>
      </c>
      <c r="T48" s="4">
        <f t="shared" si="15"/>
        <v>329.5530858924844</v>
      </c>
      <c r="U48" s="4">
        <f t="shared" si="14"/>
        <v>322.1799227143595</v>
      </c>
      <c r="V48" s="4">
        <f t="shared" si="6"/>
        <v>-7.373163178124855</v>
      </c>
      <c r="W48" s="4">
        <f t="shared" si="7"/>
        <v>0.13117877648317783</v>
      </c>
    </row>
    <row r="49" spans="2:23" ht="12.75">
      <c r="B49" s="19">
        <v>14</v>
      </c>
      <c r="C49" s="58">
        <v>36904</v>
      </c>
      <c r="D49" s="50">
        <v>0</v>
      </c>
      <c r="E49" s="10">
        <f ca="1" t="shared" si="1"/>
        <v>7.25</v>
      </c>
      <c r="F49" s="10">
        <f ca="1" t="shared" si="1"/>
        <v>1.015</v>
      </c>
      <c r="G49" s="10">
        <f ca="1" t="shared" si="1"/>
        <v>0.254</v>
      </c>
      <c r="H49" s="10">
        <f t="shared" si="8"/>
        <v>7.25</v>
      </c>
      <c r="I49" s="10">
        <f>IF((SUM(H$36:H49)&gt;GDD_budbreak),(IF(((E49-10)&gt;0),(E49-10),0)),0)</f>
        <v>0</v>
      </c>
      <c r="J49" s="4">
        <f>IF((B49&lt;LeafDropDay),(SUM(I$36:I49)),0)</f>
        <v>0</v>
      </c>
      <c r="K49" s="4">
        <f t="shared" si="2"/>
        <v>0</v>
      </c>
      <c r="L49" s="4">
        <f t="shared" si="3"/>
        <v>0</v>
      </c>
      <c r="M49" s="4">
        <f t="shared" si="9"/>
        <v>1</v>
      </c>
      <c r="N49" s="4">
        <f t="shared" si="4"/>
        <v>0</v>
      </c>
      <c r="O49" s="4">
        <f t="shared" si="10"/>
        <v>0.5292765440813073</v>
      </c>
      <c r="P49" s="10">
        <f t="shared" si="11"/>
        <v>-0.5372156922425269</v>
      </c>
      <c r="Q49" s="10">
        <f t="shared" si="12"/>
        <v>0</v>
      </c>
      <c r="R49" s="4">
        <f t="shared" si="13"/>
        <v>0</v>
      </c>
      <c r="S49" s="4">
        <f t="shared" si="5"/>
        <v>0</v>
      </c>
      <c r="T49" s="4">
        <f t="shared" si="15"/>
        <v>321.89670702211697</v>
      </c>
      <c r="U49" s="4">
        <f t="shared" si="14"/>
        <v>318.35173327917585</v>
      </c>
      <c r="V49" s="4">
        <f t="shared" si="6"/>
        <v>-3.5449737429411528</v>
      </c>
      <c r="W49" s="4">
        <f t="shared" si="7"/>
        <v>0.1405812585791113</v>
      </c>
    </row>
    <row r="50" spans="2:23" ht="12.75">
      <c r="B50" s="19">
        <v>15</v>
      </c>
      <c r="C50" s="58">
        <v>36905</v>
      </c>
      <c r="D50" s="50">
        <v>0</v>
      </c>
      <c r="E50" s="10">
        <f ca="1" t="shared" si="1"/>
        <v>8.9</v>
      </c>
      <c r="F50" s="10">
        <f ca="1" t="shared" si="1"/>
        <v>2.792</v>
      </c>
      <c r="G50" s="10">
        <f ca="1" t="shared" si="1"/>
        <v>0</v>
      </c>
      <c r="H50" s="10">
        <f t="shared" si="8"/>
        <v>8.9</v>
      </c>
      <c r="I50" s="10">
        <f>IF((SUM(H$36:H50)&gt;GDD_budbreak),(IF(((E50-10)&gt;0),(E50-10),0)),0)</f>
        <v>0</v>
      </c>
      <c r="J50" s="4">
        <f>IF((B50&lt;LeafDropDay),(SUM(I$36:I50)),0)</f>
        <v>0</v>
      </c>
      <c r="K50" s="4">
        <f t="shared" si="2"/>
        <v>0</v>
      </c>
      <c r="L50" s="4">
        <f t="shared" si="3"/>
        <v>0</v>
      </c>
      <c r="M50" s="4">
        <f t="shared" si="9"/>
        <v>1</v>
      </c>
      <c r="N50" s="4">
        <f t="shared" si="4"/>
        <v>0</v>
      </c>
      <c r="O50" s="4">
        <f t="shared" si="10"/>
        <v>0.5140759912055397</v>
      </c>
      <c r="P50" s="10">
        <f t="shared" si="11"/>
        <v>-1.4353001674458667</v>
      </c>
      <c r="Q50" s="10">
        <f t="shared" si="12"/>
        <v>0</v>
      </c>
      <c r="R50" s="4">
        <f t="shared" si="13"/>
        <v>0</v>
      </c>
      <c r="S50" s="4">
        <f t="shared" si="5"/>
        <v>0</v>
      </c>
      <c r="T50" s="4">
        <f t="shared" si="15"/>
        <v>316.91643311173</v>
      </c>
      <c r="U50" s="4">
        <f t="shared" si="14"/>
        <v>315.8615963239823</v>
      </c>
      <c r="V50" s="4">
        <f t="shared" si="6"/>
        <v>-1.0548367877476608</v>
      </c>
      <c r="W50" s="4">
        <f t="shared" si="7"/>
        <v>0.1471220828063385</v>
      </c>
    </row>
    <row r="51" spans="2:23" ht="12.75">
      <c r="B51" s="19">
        <v>16</v>
      </c>
      <c r="C51" s="58">
        <v>36906</v>
      </c>
      <c r="D51" s="50">
        <v>0</v>
      </c>
      <c r="E51" s="10">
        <f ca="1" t="shared" si="1"/>
        <v>8.35</v>
      </c>
      <c r="F51" s="10">
        <f ca="1" t="shared" si="1"/>
        <v>2.284</v>
      </c>
      <c r="G51" s="10">
        <f ca="1" t="shared" si="1"/>
        <v>0</v>
      </c>
      <c r="H51" s="10">
        <f t="shared" si="8"/>
        <v>8.35</v>
      </c>
      <c r="I51" s="10">
        <f>IF((SUM(H$36:H51)&gt;GDD_budbreak),(IF(((E51-10)&gt;0),(E51-10),0)),0)</f>
        <v>0</v>
      </c>
      <c r="J51" s="4">
        <f>IF((B51&lt;LeafDropDay),(SUM(I$36:I51)),0)</f>
        <v>0</v>
      </c>
      <c r="K51" s="4">
        <f t="shared" si="2"/>
        <v>0</v>
      </c>
      <c r="L51" s="4">
        <f t="shared" si="3"/>
        <v>0</v>
      </c>
      <c r="M51" s="4">
        <f t="shared" si="9"/>
        <v>1</v>
      </c>
      <c r="N51" s="4">
        <f t="shared" si="4"/>
        <v>0</v>
      </c>
      <c r="O51" s="4">
        <f t="shared" si="10"/>
        <v>0.5041884297104262</v>
      </c>
      <c r="P51" s="10">
        <f t="shared" si="11"/>
        <v>-1.1515663734586135</v>
      </c>
      <c r="Q51" s="10">
        <f t="shared" si="12"/>
        <v>0</v>
      </c>
      <c r="R51" s="4">
        <f t="shared" si="13"/>
        <v>0</v>
      </c>
      <c r="S51" s="4">
        <f t="shared" si="5"/>
        <v>0</v>
      </c>
      <c r="T51" s="4">
        <f t="shared" si="15"/>
        <v>314.71002995052373</v>
      </c>
      <c r="U51" s="4">
        <f t="shared" si="14"/>
        <v>314.71002995052373</v>
      </c>
      <c r="V51" s="4">
        <f t="shared" si="6"/>
        <v>0</v>
      </c>
      <c r="W51" s="4">
        <f t="shared" si="7"/>
        <v>0.1502671973229284</v>
      </c>
    </row>
    <row r="52" spans="2:23" ht="12.75">
      <c r="B52" s="19">
        <v>17</v>
      </c>
      <c r="C52" s="58">
        <v>36907</v>
      </c>
      <c r="D52" s="50">
        <v>0</v>
      </c>
      <c r="E52" s="10">
        <f ca="1" t="shared" si="1"/>
        <v>7.75</v>
      </c>
      <c r="F52" s="10">
        <f ca="1" t="shared" si="1"/>
        <v>1.523</v>
      </c>
      <c r="G52" s="10">
        <f ca="1" t="shared" si="1"/>
        <v>0</v>
      </c>
      <c r="H52" s="10">
        <f t="shared" si="8"/>
        <v>7.75</v>
      </c>
      <c r="I52" s="10">
        <f>IF((SUM(H$36:H52)&gt;GDD_budbreak),(IF(((E52-10)&gt;0),(E52-10),0)),0)</f>
        <v>0</v>
      </c>
      <c r="J52" s="4">
        <f>IF((B52&lt;LeafDropDay),(SUM(I$36:I52)),0)</f>
        <v>0</v>
      </c>
      <c r="K52" s="4">
        <f t="shared" si="2"/>
        <v>0</v>
      </c>
      <c r="L52" s="4">
        <f t="shared" si="3"/>
        <v>0</v>
      </c>
      <c r="M52" s="4">
        <f t="shared" si="9"/>
        <v>1</v>
      </c>
      <c r="N52" s="4">
        <f t="shared" si="4"/>
        <v>0</v>
      </c>
      <c r="O52" s="4">
        <f t="shared" si="10"/>
        <v>0.4996159168172984</v>
      </c>
      <c r="P52" s="10">
        <f t="shared" si="11"/>
        <v>-0.7609150413127455</v>
      </c>
      <c r="Q52" s="10">
        <f t="shared" si="12"/>
        <v>0</v>
      </c>
      <c r="R52" s="4">
        <f t="shared" si="13"/>
        <v>0</v>
      </c>
      <c r="S52" s="4">
        <f t="shared" si="5"/>
        <v>0</v>
      </c>
      <c r="T52" s="4">
        <f t="shared" si="15"/>
        <v>313.949114909211</v>
      </c>
      <c r="U52" s="4">
        <f t="shared" si="14"/>
        <v>313.949114909211</v>
      </c>
      <c r="V52" s="4">
        <f t="shared" si="6"/>
        <v>0</v>
      </c>
      <c r="W52" s="4">
        <f t="shared" si="7"/>
        <v>0.15238866015583555</v>
      </c>
    </row>
    <row r="53" spans="2:23" ht="12.75">
      <c r="B53" s="19">
        <v>18</v>
      </c>
      <c r="C53" s="58">
        <v>36908</v>
      </c>
      <c r="D53" s="50">
        <v>0</v>
      </c>
      <c r="E53" s="10">
        <f ca="1" t="shared" si="1"/>
        <v>5.25</v>
      </c>
      <c r="F53" s="10">
        <f ca="1" t="shared" si="1"/>
        <v>1.015</v>
      </c>
      <c r="G53" s="10">
        <f ca="1" t="shared" si="1"/>
        <v>0</v>
      </c>
      <c r="H53" s="10">
        <f t="shared" si="8"/>
        <v>5.25</v>
      </c>
      <c r="I53" s="10">
        <f>IF((SUM(H$36:H53)&gt;GDD_budbreak),(IF(((E53-10)&gt;0),(E53-10),0)),0)</f>
        <v>0</v>
      </c>
      <c r="J53" s="4">
        <f>IF((B53&lt;LeafDropDay),(SUM(I$36:I53)),0)</f>
        <v>0</v>
      </c>
      <c r="K53" s="4">
        <f t="shared" si="2"/>
        <v>0</v>
      </c>
      <c r="L53" s="4">
        <f t="shared" si="3"/>
        <v>0</v>
      </c>
      <c r="M53" s="4">
        <f t="shared" si="9"/>
        <v>1</v>
      </c>
      <c r="N53" s="4">
        <f t="shared" si="4"/>
        <v>0</v>
      </c>
      <c r="O53" s="4">
        <f t="shared" si="10"/>
        <v>0.4965945591976522</v>
      </c>
      <c r="P53" s="10">
        <f t="shared" si="11"/>
        <v>-0.504043477585617</v>
      </c>
      <c r="Q53" s="10">
        <f t="shared" si="12"/>
        <v>0</v>
      </c>
      <c r="R53" s="4">
        <f t="shared" si="13"/>
        <v>0</v>
      </c>
      <c r="S53" s="4">
        <f t="shared" si="5"/>
        <v>0</v>
      </c>
      <c r="T53" s="4">
        <f t="shared" si="15"/>
        <v>313.44507143162537</v>
      </c>
      <c r="U53" s="4">
        <f t="shared" si="14"/>
        <v>313.44507143162537</v>
      </c>
      <c r="V53" s="4">
        <f t="shared" si="6"/>
        <v>0</v>
      </c>
      <c r="W53" s="4">
        <f t="shared" si="7"/>
        <v>0.15381329888662976</v>
      </c>
    </row>
    <row r="54" spans="2:23" ht="12.75">
      <c r="B54" s="19">
        <v>19</v>
      </c>
      <c r="C54" s="58">
        <v>36909</v>
      </c>
      <c r="D54" s="50">
        <v>0</v>
      </c>
      <c r="E54" s="10">
        <f ca="1" t="shared" si="1"/>
        <v>8.9</v>
      </c>
      <c r="F54" s="10">
        <f ca="1" t="shared" si="1"/>
        <v>1.269</v>
      </c>
      <c r="G54" s="10">
        <f ca="1" t="shared" si="1"/>
        <v>0</v>
      </c>
      <c r="H54" s="10">
        <f t="shared" si="8"/>
        <v>8.9</v>
      </c>
      <c r="I54" s="10">
        <f>IF((SUM(H$36:H54)&gt;GDD_budbreak),(IF(((E54-10)&gt;0),(E54-10),0)),0)</f>
        <v>0</v>
      </c>
      <c r="J54" s="4">
        <f>IF((B54&lt;LeafDropDay),(SUM(I$36:I54)),0)</f>
        <v>0</v>
      </c>
      <c r="K54" s="4">
        <f t="shared" si="2"/>
        <v>0</v>
      </c>
      <c r="L54" s="4">
        <f t="shared" si="3"/>
        <v>0</v>
      </c>
      <c r="M54" s="4">
        <f t="shared" si="9"/>
        <v>1</v>
      </c>
      <c r="N54" s="4">
        <f t="shared" si="4"/>
        <v>0</v>
      </c>
      <c r="O54" s="4">
        <f t="shared" si="10"/>
        <v>0.49459315888493266</v>
      </c>
      <c r="P54" s="10">
        <f t="shared" si="11"/>
        <v>-0.6276387186249796</v>
      </c>
      <c r="Q54" s="10">
        <f t="shared" si="12"/>
        <v>0</v>
      </c>
      <c r="R54" s="4">
        <f t="shared" si="13"/>
        <v>0</v>
      </c>
      <c r="S54" s="4">
        <f t="shared" si="5"/>
        <v>0</v>
      </c>
      <c r="T54" s="4">
        <f t="shared" si="15"/>
        <v>312.81743271300036</v>
      </c>
      <c r="U54" s="4">
        <f t="shared" si="14"/>
        <v>312.81743271300036</v>
      </c>
      <c r="V54" s="4">
        <f t="shared" si="6"/>
        <v>0</v>
      </c>
      <c r="W54" s="4">
        <f t="shared" si="7"/>
        <v>0.15560915993924204</v>
      </c>
    </row>
    <row r="55" spans="2:23" ht="12.75">
      <c r="B55" s="19">
        <v>20</v>
      </c>
      <c r="C55" s="58">
        <v>36910</v>
      </c>
      <c r="D55" s="50">
        <v>0</v>
      </c>
      <c r="E55" s="10">
        <f ca="1" t="shared" si="1"/>
        <v>7.2</v>
      </c>
      <c r="F55" s="10">
        <f ca="1" t="shared" si="1"/>
        <v>0.761</v>
      </c>
      <c r="G55" s="10">
        <f ca="1" t="shared" si="1"/>
        <v>0</v>
      </c>
      <c r="H55" s="10">
        <f t="shared" si="8"/>
        <v>7.2</v>
      </c>
      <c r="I55" s="10">
        <f>IF((SUM(H$36:H55)&gt;GDD_budbreak),(IF(((E55-10)&gt;0),(E55-10),0)),0)</f>
        <v>0</v>
      </c>
      <c r="J55" s="4">
        <f>IF((B55&lt;LeafDropDay),(SUM(I$36:I55)),0)</f>
        <v>0</v>
      </c>
      <c r="K55" s="4">
        <f t="shared" si="2"/>
        <v>0</v>
      </c>
      <c r="L55" s="4">
        <f t="shared" si="3"/>
        <v>0</v>
      </c>
      <c r="M55" s="4">
        <f t="shared" si="9"/>
        <v>1</v>
      </c>
      <c r="N55" s="4">
        <f t="shared" si="4"/>
        <v>0</v>
      </c>
      <c r="O55" s="4">
        <f t="shared" si="10"/>
        <v>0.4921010002049951</v>
      </c>
      <c r="P55" s="10">
        <f t="shared" si="11"/>
        <v>-0.3744888611560013</v>
      </c>
      <c r="Q55" s="10">
        <f t="shared" si="12"/>
        <v>0</v>
      </c>
      <c r="R55" s="4">
        <f t="shared" si="13"/>
        <v>0</v>
      </c>
      <c r="S55" s="4">
        <f t="shared" si="5"/>
        <v>0</v>
      </c>
      <c r="T55" s="4">
        <f t="shared" si="15"/>
        <v>312.44294385184435</v>
      </c>
      <c r="U55" s="4">
        <f t="shared" si="14"/>
        <v>312.44294385184435</v>
      </c>
      <c r="V55" s="4">
        <f t="shared" si="6"/>
        <v>0</v>
      </c>
      <c r="W55" s="4">
        <f t="shared" si="7"/>
        <v>0.15669239514638855</v>
      </c>
    </row>
    <row r="56" spans="2:23" ht="12.75">
      <c r="B56" s="19">
        <v>21</v>
      </c>
      <c r="C56" s="58">
        <v>36911</v>
      </c>
      <c r="D56" s="50">
        <v>0</v>
      </c>
      <c r="E56" s="10">
        <f ca="1" t="shared" si="16" ref="E56:G75">INDIRECT(WeatherSheet&amp;"!"&amp;E425)</f>
        <v>7.75</v>
      </c>
      <c r="F56" s="10">
        <f ca="1" t="shared" si="16"/>
        <v>0.761</v>
      </c>
      <c r="G56" s="10">
        <f ca="1" t="shared" si="16"/>
        <v>0</v>
      </c>
      <c r="H56" s="10">
        <f t="shared" si="8"/>
        <v>7.75</v>
      </c>
      <c r="I56" s="10">
        <f>IF((SUM(H$36:H56)&gt;GDD_budbreak),(IF(((E56-10)&gt;0),(E56-10),0)),0)</f>
        <v>0</v>
      </c>
      <c r="J56" s="4">
        <f>IF((B56&lt;LeafDropDay),(SUM(I$36:I56)),0)</f>
        <v>0</v>
      </c>
      <c r="K56" s="4">
        <f t="shared" si="2"/>
        <v>0</v>
      </c>
      <c r="L56" s="4">
        <f t="shared" si="3"/>
        <v>0</v>
      </c>
      <c r="M56" s="4">
        <f t="shared" si="9"/>
        <v>1</v>
      </c>
      <c r="N56" s="4">
        <f t="shared" si="4"/>
        <v>0</v>
      </c>
      <c r="O56" s="4">
        <f t="shared" si="10"/>
        <v>0.4906140210907771</v>
      </c>
      <c r="P56" s="10">
        <f t="shared" si="11"/>
        <v>-0.3733572700500814</v>
      </c>
      <c r="Q56" s="10">
        <f t="shared" si="12"/>
        <v>0</v>
      </c>
      <c r="R56" s="4">
        <f t="shared" si="13"/>
        <v>0</v>
      </c>
      <c r="S56" s="4">
        <f t="shared" si="5"/>
        <v>0</v>
      </c>
      <c r="T56" s="4">
        <f t="shared" si="15"/>
        <v>312.0695865817943</v>
      </c>
      <c r="U56" s="4">
        <f t="shared" si="14"/>
        <v>312.0695865817943</v>
      </c>
      <c r="V56" s="4">
        <f t="shared" si="6"/>
        <v>0</v>
      </c>
      <c r="W56" s="4">
        <f t="shared" si="7"/>
        <v>0.15778117037183775</v>
      </c>
    </row>
    <row r="57" spans="2:23" ht="12.75">
      <c r="B57" s="19">
        <v>22</v>
      </c>
      <c r="C57" s="58">
        <v>36912</v>
      </c>
      <c r="D57" s="50">
        <v>0</v>
      </c>
      <c r="E57" s="10">
        <f ca="1" t="shared" si="16"/>
        <v>8.65</v>
      </c>
      <c r="F57" s="10">
        <f ca="1" t="shared" si="16"/>
        <v>1.269</v>
      </c>
      <c r="G57" s="10">
        <f ca="1" t="shared" si="16"/>
        <v>0</v>
      </c>
      <c r="H57" s="10">
        <f t="shared" si="8"/>
        <v>8.65</v>
      </c>
      <c r="I57" s="10">
        <f>IF((SUM(H$36:H57)&gt;GDD_budbreak),(IF(((E57-10)&gt;0),(E57-10),0)),0)</f>
        <v>0</v>
      </c>
      <c r="J57" s="4">
        <f>IF((B57&lt;LeafDropDay),(SUM(I$36:I57)),0)</f>
        <v>0</v>
      </c>
      <c r="K57" s="4">
        <f t="shared" si="2"/>
        <v>0</v>
      </c>
      <c r="L57" s="4">
        <f t="shared" si="3"/>
        <v>0</v>
      </c>
      <c r="M57" s="4">
        <f t="shared" si="9"/>
        <v>1</v>
      </c>
      <c r="N57" s="4">
        <f t="shared" si="4"/>
        <v>0</v>
      </c>
      <c r="O57" s="4">
        <f t="shared" si="10"/>
        <v>0.48913153517386065</v>
      </c>
      <c r="P57" s="10">
        <f t="shared" si="11"/>
        <v>-0.6207079181356291</v>
      </c>
      <c r="Q57" s="10">
        <f t="shared" si="12"/>
        <v>0</v>
      </c>
      <c r="R57" s="4">
        <f t="shared" si="13"/>
        <v>0</v>
      </c>
      <c r="S57" s="4">
        <f t="shared" si="5"/>
        <v>0</v>
      </c>
      <c r="T57" s="4">
        <f t="shared" si="15"/>
        <v>311.44887866365866</v>
      </c>
      <c r="U57" s="4">
        <f t="shared" si="14"/>
        <v>311.44887866365866</v>
      </c>
      <c r="V57" s="4">
        <f t="shared" si="6"/>
        <v>0</v>
      </c>
      <c r="W57" s="4">
        <f t="shared" si="7"/>
        <v>0.1596109625599453</v>
      </c>
    </row>
    <row r="58" spans="2:23" ht="12.75">
      <c r="B58" s="19">
        <v>23</v>
      </c>
      <c r="C58" s="58">
        <v>36913</v>
      </c>
      <c r="D58" s="50">
        <v>0</v>
      </c>
      <c r="E58" s="10">
        <f ca="1" t="shared" si="16"/>
        <v>7.75</v>
      </c>
      <c r="F58" s="10">
        <f ca="1" t="shared" si="16"/>
        <v>0</v>
      </c>
      <c r="G58" s="10">
        <f ca="1" t="shared" si="16"/>
        <v>21.06</v>
      </c>
      <c r="H58" s="10">
        <f t="shared" si="8"/>
        <v>7.75</v>
      </c>
      <c r="I58" s="10">
        <f>IF((SUM(H$36:H58)&gt;GDD_budbreak),(IF(((E58-10)&gt;0),(E58-10),0)),0)</f>
        <v>0</v>
      </c>
      <c r="J58" s="4">
        <f>IF((B58&lt;LeafDropDay),(SUM(I$36:I58)),0)</f>
        <v>0</v>
      </c>
      <c r="K58" s="4">
        <f t="shared" si="2"/>
        <v>0</v>
      </c>
      <c r="L58" s="4">
        <f t="shared" si="3"/>
        <v>0</v>
      </c>
      <c r="M58" s="4">
        <f t="shared" si="9"/>
        <v>1</v>
      </c>
      <c r="N58" s="4">
        <f t="shared" si="4"/>
        <v>0</v>
      </c>
      <c r="O58" s="4">
        <f t="shared" si="10"/>
        <v>0.4866668965529729</v>
      </c>
      <c r="P58" s="10">
        <f t="shared" si="11"/>
        <v>0</v>
      </c>
      <c r="Q58" s="10">
        <f t="shared" si="12"/>
        <v>0</v>
      </c>
      <c r="R58" s="4">
        <f t="shared" si="13"/>
        <v>0</v>
      </c>
      <c r="S58" s="4">
        <f t="shared" si="5"/>
        <v>0</v>
      </c>
      <c r="T58" s="4">
        <f t="shared" si="15"/>
        <v>332.50887866365866</v>
      </c>
      <c r="U58" s="4">
        <f t="shared" si="14"/>
        <v>323.65781909994666</v>
      </c>
      <c r="V58" s="4">
        <f t="shared" si="6"/>
        <v>-8.851059563711999</v>
      </c>
      <c r="W58" s="4">
        <f t="shared" si="7"/>
        <v>0.12774758868597016</v>
      </c>
    </row>
    <row r="59" spans="2:23" ht="12.75">
      <c r="B59" s="19">
        <v>24</v>
      </c>
      <c r="C59" s="58">
        <v>36914</v>
      </c>
      <c r="D59" s="50">
        <v>0</v>
      </c>
      <c r="E59" s="10">
        <f ca="1" t="shared" si="16"/>
        <v>7.2</v>
      </c>
      <c r="F59" s="10">
        <f ca="1" t="shared" si="16"/>
        <v>1.015</v>
      </c>
      <c r="G59" s="10">
        <f ca="1" t="shared" si="16"/>
        <v>0</v>
      </c>
      <c r="H59" s="10">
        <f t="shared" si="8"/>
        <v>7.2</v>
      </c>
      <c r="I59" s="10">
        <f>IF((SUM(H$36:H59)&gt;GDD_budbreak),(IF(((E59-10)&gt;0),(E59-10),0)),0)</f>
        <v>0</v>
      </c>
      <c r="J59" s="4">
        <f>IF((B59&lt;LeafDropDay),(SUM(I$36:I59)),0)</f>
        <v>0</v>
      </c>
      <c r="K59" s="4">
        <f t="shared" si="2"/>
        <v>0</v>
      </c>
      <c r="L59" s="4">
        <f t="shared" si="3"/>
        <v>0</v>
      </c>
      <c r="M59" s="4">
        <f t="shared" si="9"/>
        <v>1</v>
      </c>
      <c r="N59" s="4">
        <f t="shared" si="4"/>
        <v>0</v>
      </c>
      <c r="O59" s="4">
        <f t="shared" si="10"/>
        <v>0.5351448122363667</v>
      </c>
      <c r="P59" s="10">
        <f t="shared" si="11"/>
        <v>-0.5431719844199121</v>
      </c>
      <c r="Q59" s="10">
        <f t="shared" si="12"/>
        <v>0</v>
      </c>
      <c r="R59" s="4">
        <f t="shared" si="13"/>
        <v>0</v>
      </c>
      <c r="S59" s="4">
        <f t="shared" si="5"/>
        <v>0</v>
      </c>
      <c r="T59" s="4">
        <f t="shared" si="15"/>
        <v>323.11464711552674</v>
      </c>
      <c r="U59" s="4">
        <f t="shared" si="14"/>
        <v>318.9607033258807</v>
      </c>
      <c r="V59" s="4">
        <f t="shared" si="6"/>
        <v>-4.153943789646036</v>
      </c>
      <c r="W59" s="4">
        <f t="shared" si="7"/>
        <v>0.1390339662753983</v>
      </c>
    </row>
    <row r="60" spans="2:23" ht="12.75">
      <c r="B60" s="19">
        <v>25</v>
      </c>
      <c r="C60" s="58">
        <v>36915</v>
      </c>
      <c r="D60" s="50">
        <v>0</v>
      </c>
      <c r="E60" s="10">
        <f ca="1" t="shared" si="16"/>
        <v>4.45</v>
      </c>
      <c r="F60" s="10">
        <f ca="1" t="shared" si="16"/>
        <v>0.85</v>
      </c>
      <c r="G60" s="10">
        <f ca="1" t="shared" si="16"/>
        <v>31.47</v>
      </c>
      <c r="H60" s="10">
        <f t="shared" si="8"/>
        <v>4.45</v>
      </c>
      <c r="I60" s="10">
        <f>IF((SUM(H$36:H60)&gt;GDD_budbreak),(IF(((E60-10)&gt;0),(E60-10),0)),0)</f>
        <v>0</v>
      </c>
      <c r="J60" s="4">
        <f>IF((B60&lt;LeafDropDay),(SUM(I$36:I60)),0)</f>
        <v>0</v>
      </c>
      <c r="K60" s="4">
        <f t="shared" si="2"/>
        <v>0</v>
      </c>
      <c r="L60" s="4">
        <f t="shared" si="3"/>
        <v>0</v>
      </c>
      <c r="M60" s="4">
        <f t="shared" si="9"/>
        <v>1</v>
      </c>
      <c r="N60" s="4">
        <f t="shared" si="4"/>
        <v>0</v>
      </c>
      <c r="O60" s="4">
        <f t="shared" si="10"/>
        <v>0.5164940223796556</v>
      </c>
      <c r="P60" s="10">
        <f t="shared" si="11"/>
        <v>-0.4390199190227072</v>
      </c>
      <c r="Q60" s="10">
        <f t="shared" si="12"/>
        <v>0</v>
      </c>
      <c r="R60" s="4">
        <f t="shared" si="13"/>
        <v>0</v>
      </c>
      <c r="S60" s="4">
        <f t="shared" si="5"/>
        <v>0</v>
      </c>
      <c r="T60" s="4">
        <f t="shared" si="15"/>
        <v>349.991683406858</v>
      </c>
      <c r="U60" s="4">
        <f t="shared" si="14"/>
        <v>332.3992214715463</v>
      </c>
      <c r="V60" s="4">
        <f t="shared" si="6"/>
        <v>-17.59246193531166</v>
      </c>
      <c r="W60" s="4">
        <f t="shared" si="7"/>
        <v>0.10947763188827633</v>
      </c>
    </row>
    <row r="61" spans="2:23" ht="12.75">
      <c r="B61" s="19">
        <v>26</v>
      </c>
      <c r="C61" s="58">
        <v>36916</v>
      </c>
      <c r="D61" s="50">
        <v>0</v>
      </c>
      <c r="E61" s="10">
        <f ca="1" t="shared" si="16"/>
        <v>5.85</v>
      </c>
      <c r="F61" s="10">
        <f ca="1" t="shared" si="16"/>
        <v>0.761</v>
      </c>
      <c r="G61" s="10">
        <f ca="1" t="shared" si="16"/>
        <v>8.883</v>
      </c>
      <c r="H61" s="10">
        <f t="shared" si="8"/>
        <v>5.85</v>
      </c>
      <c r="I61" s="10">
        <f>IF((SUM(H$36:H61)&gt;GDD_budbreak),(IF(((E61-10)&gt;0),(E61-10),0)),0)</f>
        <v>0</v>
      </c>
      <c r="J61" s="4">
        <f>IF((B61&lt;LeafDropDay),(SUM(I$36:I61)),0)</f>
        <v>0</v>
      </c>
      <c r="K61" s="4">
        <f t="shared" si="2"/>
        <v>0</v>
      </c>
      <c r="L61" s="4">
        <f t="shared" si="3"/>
        <v>0</v>
      </c>
      <c r="M61" s="4">
        <f t="shared" si="9"/>
        <v>1</v>
      </c>
      <c r="N61" s="4">
        <f t="shared" si="4"/>
        <v>0</v>
      </c>
      <c r="O61" s="4">
        <f t="shared" si="10"/>
        <v>0.5698542097747059</v>
      </c>
      <c r="P61" s="10">
        <f t="shared" si="11"/>
        <v>-0.43365905363855123</v>
      </c>
      <c r="Q61" s="10">
        <f t="shared" si="12"/>
        <v>0</v>
      </c>
      <c r="R61" s="4">
        <f t="shared" si="13"/>
        <v>0</v>
      </c>
      <c r="S61" s="4">
        <f t="shared" si="5"/>
        <v>0</v>
      </c>
      <c r="T61" s="4">
        <f t="shared" si="15"/>
        <v>340.8485624179078</v>
      </c>
      <c r="U61" s="4">
        <f t="shared" si="14"/>
        <v>327.8276609770712</v>
      </c>
      <c r="V61" s="4">
        <f t="shared" si="6"/>
        <v>-13.020901440836553</v>
      </c>
      <c r="W61" s="4">
        <f t="shared" si="7"/>
        <v>0.11861955903307456</v>
      </c>
    </row>
    <row r="62" spans="2:23" ht="12.75">
      <c r="B62" s="19">
        <v>27</v>
      </c>
      <c r="C62" s="58">
        <v>36917</v>
      </c>
      <c r="D62" s="50">
        <v>0</v>
      </c>
      <c r="E62" s="10">
        <f ca="1" t="shared" si="16"/>
        <v>8.35</v>
      </c>
      <c r="F62" s="10">
        <f ca="1" t="shared" si="16"/>
        <v>2.284</v>
      </c>
      <c r="G62" s="10">
        <f ca="1" t="shared" si="16"/>
        <v>0.254</v>
      </c>
      <c r="H62" s="10">
        <f t="shared" si="8"/>
        <v>8.35</v>
      </c>
      <c r="I62" s="10">
        <f>IF((SUM(H$36:H62)&gt;GDD_budbreak),(IF(((E62-10)&gt;0),(E62-10),0)),0)</f>
        <v>0</v>
      </c>
      <c r="J62" s="4">
        <f>IF((B62&lt;LeafDropDay),(SUM(I$36:I62)),0)</f>
        <v>0</v>
      </c>
      <c r="K62" s="4">
        <f t="shared" si="2"/>
        <v>0</v>
      </c>
      <c r="L62" s="4">
        <f t="shared" si="3"/>
        <v>0</v>
      </c>
      <c r="M62" s="4">
        <f t="shared" si="9"/>
        <v>1</v>
      </c>
      <c r="N62" s="4">
        <f t="shared" si="4"/>
        <v>0</v>
      </c>
      <c r="O62" s="4">
        <f t="shared" si="10"/>
        <v>0.5517019609903653</v>
      </c>
      <c r="P62" s="10">
        <f t="shared" si="11"/>
        <v>-1.2600872789019941</v>
      </c>
      <c r="Q62" s="10">
        <f t="shared" si="12"/>
        <v>0</v>
      </c>
      <c r="R62" s="4">
        <f t="shared" si="13"/>
        <v>0</v>
      </c>
      <c r="S62" s="4">
        <f t="shared" si="5"/>
        <v>0</v>
      </c>
      <c r="T62" s="4">
        <f t="shared" si="15"/>
        <v>326.82157369816923</v>
      </c>
      <c r="U62" s="4">
        <f t="shared" si="14"/>
        <v>320.814166617202</v>
      </c>
      <c r="V62" s="4">
        <f t="shared" si="6"/>
        <v>-6.007407080967283</v>
      </c>
      <c r="W62" s="4">
        <f t="shared" si="7"/>
        <v>0.13444605305152663</v>
      </c>
    </row>
    <row r="63" spans="2:23" ht="12.75">
      <c r="B63" s="19">
        <v>28</v>
      </c>
      <c r="C63" s="58">
        <v>36918</v>
      </c>
      <c r="D63" s="50">
        <v>0</v>
      </c>
      <c r="E63" s="10">
        <f ca="1" t="shared" si="16"/>
        <v>7.8</v>
      </c>
      <c r="F63" s="10">
        <f ca="1" t="shared" si="16"/>
        <v>1.523</v>
      </c>
      <c r="G63" s="10">
        <f ca="1" t="shared" si="16"/>
        <v>0</v>
      </c>
      <c r="H63" s="10">
        <f t="shared" si="8"/>
        <v>7.8</v>
      </c>
      <c r="I63" s="10">
        <f>IF((SUM(H$36:H63)&gt;GDD_budbreak),(IF(((E63-10)&gt;0),(E63-10),0)),0)</f>
        <v>0</v>
      </c>
      <c r="J63" s="4">
        <f>IF((B63&lt;LeafDropDay),(SUM(I$36:I63)),0)</f>
        <v>0</v>
      </c>
      <c r="K63" s="4">
        <f t="shared" si="2"/>
        <v>0</v>
      </c>
      <c r="L63" s="4">
        <f t="shared" si="3"/>
        <v>0</v>
      </c>
      <c r="M63" s="4">
        <f t="shared" si="9"/>
        <v>1</v>
      </c>
      <c r="N63" s="4">
        <f t="shared" si="4"/>
        <v>0</v>
      </c>
      <c r="O63" s="4">
        <f t="shared" si="10"/>
        <v>0.5238535502295808</v>
      </c>
      <c r="P63" s="10">
        <f t="shared" si="11"/>
        <v>-0.7978289569996515</v>
      </c>
      <c r="Q63" s="10">
        <f t="shared" si="12"/>
        <v>0</v>
      </c>
      <c r="R63" s="4">
        <f t="shared" si="13"/>
        <v>0</v>
      </c>
      <c r="S63" s="4">
        <f t="shared" si="5"/>
        <v>0</v>
      </c>
      <c r="T63" s="4">
        <f t="shared" si="15"/>
        <v>320.01633766020234</v>
      </c>
      <c r="U63" s="4">
        <f t="shared" si="14"/>
        <v>317.4115485982185</v>
      </c>
      <c r="V63" s="4">
        <f t="shared" si="6"/>
        <v>-2.604789061983837</v>
      </c>
      <c r="W63" s="4">
        <f t="shared" si="7"/>
        <v>0.14300995093332936</v>
      </c>
    </row>
    <row r="64" spans="2:23" ht="12.75">
      <c r="B64" s="19">
        <v>29</v>
      </c>
      <c r="C64" s="58">
        <v>36919</v>
      </c>
      <c r="D64" s="50">
        <v>0</v>
      </c>
      <c r="E64" s="10">
        <f ca="1" t="shared" si="16"/>
        <v>8.3</v>
      </c>
      <c r="F64" s="10">
        <f ca="1" t="shared" si="16"/>
        <v>1.269</v>
      </c>
      <c r="G64" s="10">
        <f ca="1" t="shared" si="16"/>
        <v>2.284</v>
      </c>
      <c r="H64" s="10">
        <f t="shared" si="8"/>
        <v>8.3</v>
      </c>
      <c r="I64" s="10">
        <f>IF((SUM(H$36:H64)&gt;GDD_budbreak),(IF(((E64-10)&gt;0),(E64-10),0)),0)</f>
        <v>0</v>
      </c>
      <c r="J64" s="4">
        <f>IF((B64&lt;LeafDropDay),(SUM(I$36:I64)),0)</f>
        <v>0</v>
      </c>
      <c r="K64" s="4">
        <f t="shared" si="2"/>
        <v>0</v>
      </c>
      <c r="L64" s="4">
        <f t="shared" si="3"/>
        <v>0</v>
      </c>
      <c r="M64" s="4">
        <f t="shared" si="9"/>
        <v>1</v>
      </c>
      <c r="N64" s="4">
        <f t="shared" si="4"/>
        <v>0</v>
      </c>
      <c r="O64" s="4">
        <f t="shared" si="10"/>
        <v>0.5103428094500779</v>
      </c>
      <c r="P64" s="10">
        <f t="shared" si="11"/>
        <v>-0.6476250251921488</v>
      </c>
      <c r="Q64" s="10">
        <f t="shared" si="12"/>
        <v>0</v>
      </c>
      <c r="R64" s="4">
        <f t="shared" si="13"/>
        <v>0</v>
      </c>
      <c r="S64" s="4">
        <f t="shared" si="5"/>
        <v>0</v>
      </c>
      <c r="T64" s="4">
        <f t="shared" si="15"/>
        <v>319.0479235730263</v>
      </c>
      <c r="U64" s="4">
        <f t="shared" si="14"/>
        <v>316.9273415546305</v>
      </c>
      <c r="V64" s="4">
        <f t="shared" si="6"/>
        <v>-2.1205820183958224</v>
      </c>
      <c r="W64" s="4">
        <f t="shared" si="7"/>
        <v>0.1442799391058677</v>
      </c>
    </row>
    <row r="65" spans="2:23" ht="12.75">
      <c r="B65" s="19">
        <v>30</v>
      </c>
      <c r="C65" s="58">
        <v>36920</v>
      </c>
      <c r="D65" s="50">
        <v>0</v>
      </c>
      <c r="E65" s="10">
        <f ca="1" t="shared" si="16"/>
        <v>8.1</v>
      </c>
      <c r="F65" s="10">
        <f ca="1" t="shared" si="16"/>
        <v>1.777</v>
      </c>
      <c r="G65" s="10">
        <f ca="1" t="shared" si="16"/>
        <v>0</v>
      </c>
      <c r="H65" s="10">
        <f t="shared" si="8"/>
        <v>8.1</v>
      </c>
      <c r="I65" s="10">
        <f>IF((SUM(H$36:H65)&gt;GDD_budbreak),(IF(((E65-10)&gt;0),(E65-10),0)),0)</f>
        <v>0</v>
      </c>
      <c r="J65" s="4">
        <f>IF((B65&lt;LeafDropDay),(SUM(I$36:I65)),0)</f>
        <v>0</v>
      </c>
      <c r="K65" s="4">
        <f t="shared" si="2"/>
        <v>0</v>
      </c>
      <c r="L65" s="4">
        <f t="shared" si="3"/>
        <v>0</v>
      </c>
      <c r="M65" s="4">
        <f t="shared" si="9"/>
        <v>1</v>
      </c>
      <c r="N65" s="4">
        <f t="shared" si="4"/>
        <v>0</v>
      </c>
      <c r="O65" s="4">
        <f t="shared" si="10"/>
        <v>0.5084201734641906</v>
      </c>
      <c r="P65" s="10">
        <f t="shared" si="11"/>
        <v>-0.9034626482458665</v>
      </c>
      <c r="Q65" s="10">
        <f t="shared" si="12"/>
        <v>0</v>
      </c>
      <c r="R65" s="4">
        <f t="shared" si="13"/>
        <v>0</v>
      </c>
      <c r="S65" s="4">
        <f t="shared" si="5"/>
        <v>0</v>
      </c>
      <c r="T65" s="4">
        <f t="shared" si="15"/>
        <v>316.02387890638465</v>
      </c>
      <c r="U65" s="4">
        <f t="shared" si="14"/>
        <v>315.4153192213097</v>
      </c>
      <c r="V65" s="4">
        <f t="shared" si="6"/>
        <v>-0.6085596850749937</v>
      </c>
      <c r="W65" s="4">
        <f t="shared" si="7"/>
        <v>0.14833168953772552</v>
      </c>
    </row>
    <row r="66" spans="2:23" ht="12.75">
      <c r="B66" s="19">
        <v>31</v>
      </c>
      <c r="C66" s="58">
        <v>36921</v>
      </c>
      <c r="D66" s="50">
        <v>0</v>
      </c>
      <c r="E66" s="10">
        <f ca="1" t="shared" si="16"/>
        <v>8.6</v>
      </c>
      <c r="F66" s="10">
        <f ca="1" t="shared" si="16"/>
        <v>2.031</v>
      </c>
      <c r="G66" s="10">
        <f ca="1" t="shared" si="16"/>
        <v>0</v>
      </c>
      <c r="H66" s="10">
        <f t="shared" si="8"/>
        <v>8.6</v>
      </c>
      <c r="I66" s="10">
        <f>IF((SUM(H$36:H66)&gt;GDD_budbreak),(IF(((E66-10)&gt;0),(E66-10),0)),0)</f>
        <v>0</v>
      </c>
      <c r="J66" s="4">
        <f>IF((B66&lt;LeafDropDay),(SUM(I$36:I66)),0)</f>
        <v>0</v>
      </c>
      <c r="K66" s="4">
        <f t="shared" si="2"/>
        <v>0</v>
      </c>
      <c r="L66" s="4">
        <f t="shared" si="3"/>
        <v>0</v>
      </c>
      <c r="M66" s="4">
        <f t="shared" si="9"/>
        <v>1</v>
      </c>
      <c r="N66" s="4">
        <f t="shared" si="4"/>
        <v>0</v>
      </c>
      <c r="O66" s="4">
        <f t="shared" si="10"/>
        <v>0.502416401755364</v>
      </c>
      <c r="P66" s="10">
        <f t="shared" si="11"/>
        <v>-1.0204077119651442</v>
      </c>
      <c r="Q66" s="10">
        <f t="shared" si="12"/>
        <v>0</v>
      </c>
      <c r="R66" s="4">
        <f t="shared" si="13"/>
        <v>0</v>
      </c>
      <c r="S66" s="4">
        <f t="shared" si="5"/>
        <v>0</v>
      </c>
      <c r="T66" s="4">
        <f t="shared" si="15"/>
        <v>314.3949115093445</v>
      </c>
      <c r="U66" s="4">
        <f t="shared" si="14"/>
        <v>314.3949115093445</v>
      </c>
      <c r="V66" s="4">
        <f t="shared" si="6"/>
        <v>0</v>
      </c>
      <c r="W66" s="4">
        <f t="shared" si="7"/>
        <v>0.15114153195376326</v>
      </c>
    </row>
    <row r="67" spans="2:23" ht="12.75">
      <c r="B67" s="19">
        <v>32</v>
      </c>
      <c r="C67" s="58">
        <v>36922</v>
      </c>
      <c r="D67" s="50">
        <v>0</v>
      </c>
      <c r="E67" s="10">
        <f ca="1" t="shared" si="16"/>
        <v>8.05</v>
      </c>
      <c r="F67" s="10">
        <f ca="1" t="shared" si="16"/>
        <v>1.523</v>
      </c>
      <c r="G67" s="10">
        <f ca="1" t="shared" si="16"/>
        <v>0</v>
      </c>
      <c r="H67" s="10">
        <f t="shared" si="8"/>
        <v>8.05</v>
      </c>
      <c r="I67" s="10">
        <f>IF((SUM(H$36:H67)&gt;GDD_budbreak),(IF(((E67-10)&gt;0),(E67-10),0)),0)</f>
        <v>0</v>
      </c>
      <c r="J67" s="4">
        <f>IF((B67&lt;LeafDropDay),(SUM(I$36:I67)),0)</f>
        <v>0</v>
      </c>
      <c r="K67" s="4">
        <f t="shared" si="2"/>
        <v>0</v>
      </c>
      <c r="L67" s="4">
        <f t="shared" si="3"/>
        <v>0</v>
      </c>
      <c r="M67" s="4">
        <f t="shared" si="9"/>
        <v>1</v>
      </c>
      <c r="N67" s="4">
        <f t="shared" si="4"/>
        <v>0</v>
      </c>
      <c r="O67" s="4">
        <f t="shared" si="10"/>
        <v>0.49836467922616695</v>
      </c>
      <c r="P67" s="10">
        <f t="shared" si="11"/>
        <v>-0.7590094064614522</v>
      </c>
      <c r="Q67" s="10">
        <f t="shared" si="12"/>
        <v>0</v>
      </c>
      <c r="R67" s="4">
        <f t="shared" si="13"/>
        <v>0</v>
      </c>
      <c r="S67" s="4">
        <f t="shared" si="5"/>
        <v>0</v>
      </c>
      <c r="T67" s="4">
        <f t="shared" si="15"/>
        <v>313.63590210288305</v>
      </c>
      <c r="U67" s="4">
        <f t="shared" si="14"/>
        <v>313.63590210288305</v>
      </c>
      <c r="V67" s="4">
        <f t="shared" si="6"/>
        <v>0</v>
      </c>
      <c r="W67" s="4">
        <f t="shared" si="7"/>
        <v>0.15327210161228721</v>
      </c>
    </row>
    <row r="68" spans="2:23" ht="12.75">
      <c r="B68" s="19">
        <v>33</v>
      </c>
      <c r="C68" s="58">
        <v>36923</v>
      </c>
      <c r="D68" s="50">
        <v>0</v>
      </c>
      <c r="E68" s="10">
        <f ca="1" t="shared" si="16"/>
        <v>8.65</v>
      </c>
      <c r="F68" s="10">
        <f ca="1" t="shared" si="16"/>
        <v>1.015</v>
      </c>
      <c r="G68" s="10">
        <f ca="1" t="shared" si="16"/>
        <v>0</v>
      </c>
      <c r="H68" s="10">
        <f t="shared" si="8"/>
        <v>8.65</v>
      </c>
      <c r="I68" s="10">
        <f>IF((SUM(H$36:H68)&gt;GDD_budbreak),(IF(((E68-10)&gt;0),(E68-10),0)),0)</f>
        <v>0</v>
      </c>
      <c r="J68" s="4">
        <f>IF((B68&lt;LeafDropDay),(SUM(I$36:I68)),0)</f>
        <v>0</v>
      </c>
      <c r="K68" s="4">
        <f t="shared" si="2"/>
        <v>0</v>
      </c>
      <c r="L68" s="4">
        <f t="shared" si="3"/>
        <v>0</v>
      </c>
      <c r="M68" s="4">
        <f t="shared" si="9"/>
        <v>1</v>
      </c>
      <c r="N68" s="4">
        <f t="shared" si="4"/>
        <v>0</v>
      </c>
      <c r="O68" s="4">
        <f t="shared" si="10"/>
        <v>0.4953508882914534</v>
      </c>
      <c r="P68" s="10">
        <f t="shared" si="11"/>
        <v>-0.5027811516158252</v>
      </c>
      <c r="Q68" s="10">
        <f t="shared" si="12"/>
        <v>0</v>
      </c>
      <c r="R68" s="4">
        <f t="shared" si="13"/>
        <v>0</v>
      </c>
      <c r="S68" s="4">
        <f t="shared" si="5"/>
        <v>0</v>
      </c>
      <c r="T68" s="4">
        <f t="shared" si="15"/>
        <v>313.13312095126724</v>
      </c>
      <c r="U68" s="4">
        <f t="shared" si="14"/>
        <v>313.13312095126724</v>
      </c>
      <c r="V68" s="4">
        <f t="shared" si="6"/>
        <v>0</v>
      </c>
      <c r="W68" s="4">
        <f t="shared" si="7"/>
        <v>0.15470282642405728</v>
      </c>
    </row>
    <row r="69" spans="2:23" ht="12.75">
      <c r="B69" s="19">
        <v>34</v>
      </c>
      <c r="C69" s="58">
        <v>36924</v>
      </c>
      <c r="D69" s="50">
        <v>0</v>
      </c>
      <c r="E69" s="10">
        <f ca="1" t="shared" si="16"/>
        <v>12.25</v>
      </c>
      <c r="F69" s="10">
        <f ca="1" t="shared" si="16"/>
        <v>1.777</v>
      </c>
      <c r="G69" s="10">
        <f ca="1" t="shared" si="16"/>
        <v>0</v>
      </c>
      <c r="H69" s="10">
        <f t="shared" si="8"/>
        <v>12.25</v>
      </c>
      <c r="I69" s="10">
        <f>IF((SUM(H$36:H69)&gt;GDD_budbreak),(IF(((E69-10)&gt;0),(E69-10),0)),0)</f>
        <v>0</v>
      </c>
      <c r="J69" s="4">
        <f>IF((B69&lt;LeafDropDay),(SUM(I$36:I69)),0)</f>
        <v>0</v>
      </c>
      <c r="K69" s="4">
        <f t="shared" si="2"/>
        <v>0</v>
      </c>
      <c r="L69" s="4">
        <f t="shared" si="3"/>
        <v>0</v>
      </c>
      <c r="M69" s="4">
        <f t="shared" si="9"/>
        <v>1</v>
      </c>
      <c r="N69" s="4">
        <f t="shared" si="4"/>
        <v>0</v>
      </c>
      <c r="O69" s="4">
        <f t="shared" si="10"/>
        <v>0.4933545002836304</v>
      </c>
      <c r="P69" s="10">
        <f t="shared" si="11"/>
        <v>-0.8766909470040112</v>
      </c>
      <c r="Q69" s="10">
        <f t="shared" si="12"/>
        <v>0</v>
      </c>
      <c r="R69" s="4">
        <f t="shared" si="13"/>
        <v>0</v>
      </c>
      <c r="S69" s="4">
        <f t="shared" si="5"/>
        <v>0</v>
      </c>
      <c r="T69" s="4">
        <f t="shared" si="15"/>
        <v>312.2564300042632</v>
      </c>
      <c r="U69" s="4">
        <f t="shared" si="14"/>
        <v>312.2564300042632</v>
      </c>
      <c r="V69" s="4">
        <f t="shared" si="6"/>
        <v>0</v>
      </c>
      <c r="W69" s="4">
        <f t="shared" si="7"/>
        <v>0.15723519708863148</v>
      </c>
    </row>
    <row r="70" spans="2:23" ht="12.75">
      <c r="B70" s="19">
        <v>35</v>
      </c>
      <c r="C70" s="58">
        <v>36925</v>
      </c>
      <c r="D70" s="50">
        <v>0</v>
      </c>
      <c r="E70" s="10">
        <f ca="1" t="shared" si="16"/>
        <v>13.9</v>
      </c>
      <c r="F70" s="10">
        <f ca="1" t="shared" si="16"/>
        <v>1.777</v>
      </c>
      <c r="G70" s="10">
        <f ca="1" t="shared" si="16"/>
        <v>0</v>
      </c>
      <c r="H70" s="10">
        <f t="shared" si="8"/>
        <v>13.9</v>
      </c>
      <c r="I70" s="10">
        <f>IF((SUM(H$36:H70)&gt;GDD_budbreak),(IF(((E70-10)&gt;0),(E70-10),0)),0)</f>
        <v>0</v>
      </c>
      <c r="J70" s="4">
        <f>IF((B70&lt;LeafDropDay),(SUM(I$36:I70)),0)</f>
        <v>0</v>
      </c>
      <c r="K70" s="4">
        <f t="shared" si="2"/>
        <v>0</v>
      </c>
      <c r="L70" s="4">
        <f t="shared" si="3"/>
        <v>0</v>
      </c>
      <c r="M70" s="4">
        <f t="shared" si="9"/>
        <v>1</v>
      </c>
      <c r="N70" s="4">
        <f t="shared" si="4"/>
        <v>0</v>
      </c>
      <c r="O70" s="4">
        <f t="shared" si="10"/>
        <v>0.4898734324521473</v>
      </c>
      <c r="P70" s="10">
        <f t="shared" si="11"/>
        <v>-0.8705050894674657</v>
      </c>
      <c r="Q70" s="10">
        <f t="shared" si="12"/>
        <v>0</v>
      </c>
      <c r="R70" s="4">
        <f t="shared" si="13"/>
        <v>0</v>
      </c>
      <c r="S70" s="4">
        <f t="shared" si="5"/>
        <v>0</v>
      </c>
      <c r="T70" s="4">
        <f t="shared" si="15"/>
        <v>311.38592491479574</v>
      </c>
      <c r="U70" s="4">
        <f t="shared" si="14"/>
        <v>311.38592491479574</v>
      </c>
      <c r="V70" s="4">
        <f t="shared" si="6"/>
        <v>0</v>
      </c>
      <c r="W70" s="4">
        <f t="shared" si="7"/>
        <v>0.1597979308662351</v>
      </c>
    </row>
    <row r="71" spans="2:23" ht="12.75">
      <c r="B71" s="19">
        <v>36</v>
      </c>
      <c r="C71" s="58">
        <v>36926</v>
      </c>
      <c r="D71" s="50">
        <v>0</v>
      </c>
      <c r="E71" s="10">
        <f ca="1" t="shared" si="16"/>
        <v>11.7</v>
      </c>
      <c r="F71" s="10">
        <f ca="1" t="shared" si="16"/>
        <v>1.777</v>
      </c>
      <c r="G71" s="10">
        <f ca="1" t="shared" si="16"/>
        <v>0.254</v>
      </c>
      <c r="H71" s="10">
        <f t="shared" si="8"/>
        <v>11.7</v>
      </c>
      <c r="I71" s="10">
        <f>IF((SUM(H$36:H71)&gt;GDD_budbreak),(IF(((E71-10)&gt;0),(E71-10),0)),0)</f>
        <v>0</v>
      </c>
      <c r="J71" s="4">
        <f>IF((B71&lt;LeafDropDay),(SUM(I$36:I71)),0)</f>
        <v>0</v>
      </c>
      <c r="K71" s="4">
        <f t="shared" si="2"/>
        <v>0</v>
      </c>
      <c r="L71" s="4">
        <f t="shared" si="3"/>
        <v>0</v>
      </c>
      <c r="M71" s="4">
        <f t="shared" si="9"/>
        <v>1</v>
      </c>
      <c r="N71" s="4">
        <f t="shared" si="4"/>
        <v>0</v>
      </c>
      <c r="O71" s="4">
        <f t="shared" si="10"/>
        <v>0.4864169267423037</v>
      </c>
      <c r="P71" s="10">
        <f t="shared" si="11"/>
        <v>-0.8643628788210737</v>
      </c>
      <c r="Q71" s="10">
        <f t="shared" si="12"/>
        <v>0</v>
      </c>
      <c r="R71" s="4">
        <f t="shared" si="13"/>
        <v>0</v>
      </c>
      <c r="S71" s="4">
        <f t="shared" si="5"/>
        <v>0</v>
      </c>
      <c r="T71" s="4">
        <f t="shared" si="15"/>
        <v>310.77556203597464</v>
      </c>
      <c r="U71" s="4">
        <f t="shared" si="14"/>
        <v>310.77556203597464</v>
      </c>
      <c r="V71" s="4">
        <f t="shared" si="6"/>
        <v>0</v>
      </c>
      <c r="W71" s="4">
        <f t="shared" si="7"/>
        <v>0.16162404676446215</v>
      </c>
    </row>
    <row r="72" spans="2:23" ht="12.75">
      <c r="B72" s="19">
        <v>37</v>
      </c>
      <c r="C72" s="58">
        <v>36927</v>
      </c>
      <c r="D72" s="50">
        <v>0</v>
      </c>
      <c r="E72" s="10">
        <f ca="1" t="shared" si="16"/>
        <v>6.7</v>
      </c>
      <c r="F72" s="10">
        <f ca="1" t="shared" si="16"/>
        <v>2.284</v>
      </c>
      <c r="G72" s="10">
        <f ca="1" t="shared" si="16"/>
        <v>0.254</v>
      </c>
      <c r="H72" s="10">
        <f t="shared" si="8"/>
        <v>6.7</v>
      </c>
      <c r="I72" s="10">
        <f>IF((SUM(H$36:H72)&gt;GDD_budbreak),(IF(((E72-10)&gt;0),(E72-10),0)),0)</f>
        <v>0</v>
      </c>
      <c r="J72" s="4">
        <f>IF((B72&lt;LeafDropDay),(SUM(I$36:I72)),0)</f>
        <v>0</v>
      </c>
      <c r="K72" s="4">
        <f t="shared" si="2"/>
        <v>0</v>
      </c>
      <c r="L72" s="4">
        <f t="shared" si="3"/>
        <v>0</v>
      </c>
      <c r="M72" s="4">
        <f t="shared" si="9"/>
        <v>1</v>
      </c>
      <c r="N72" s="4">
        <f t="shared" si="4"/>
        <v>0</v>
      </c>
      <c r="O72" s="4">
        <f t="shared" si="10"/>
        <v>0.4839933650638622</v>
      </c>
      <c r="P72" s="10">
        <f t="shared" si="11"/>
        <v>-1.105440845805861</v>
      </c>
      <c r="Q72" s="10">
        <f t="shared" si="12"/>
        <v>0</v>
      </c>
      <c r="R72" s="4">
        <f t="shared" si="13"/>
        <v>0</v>
      </c>
      <c r="S72" s="4">
        <f t="shared" si="5"/>
        <v>0</v>
      </c>
      <c r="T72" s="4">
        <f t="shared" si="15"/>
        <v>309.92412119016876</v>
      </c>
      <c r="U72" s="4">
        <f t="shared" si="14"/>
        <v>309.92412119016876</v>
      </c>
      <c r="V72" s="4">
        <f t="shared" si="6"/>
        <v>0</v>
      </c>
      <c r="W72" s="4">
        <f t="shared" si="7"/>
        <v>0.16421247523483276</v>
      </c>
    </row>
    <row r="73" spans="2:23" ht="12.75">
      <c r="B73" s="19">
        <v>38</v>
      </c>
      <c r="C73" s="58">
        <v>36928</v>
      </c>
      <c r="D73" s="50">
        <v>0</v>
      </c>
      <c r="E73" s="10">
        <f ca="1" t="shared" si="16"/>
        <v>6.95</v>
      </c>
      <c r="F73" s="10">
        <f ca="1" t="shared" si="16"/>
        <v>3.3</v>
      </c>
      <c r="G73" s="10">
        <f ca="1" t="shared" si="16"/>
        <v>0.254</v>
      </c>
      <c r="H73" s="10">
        <f t="shared" si="8"/>
        <v>6.95</v>
      </c>
      <c r="I73" s="10">
        <f>IF((SUM(H$36:H73)&gt;GDD_budbreak),(IF(((E73-10)&gt;0),(E73-10),0)),0)</f>
        <v>0</v>
      </c>
      <c r="J73" s="4">
        <f>IF((B73&lt;LeafDropDay),(SUM(I$36:I73)),0)</f>
        <v>0</v>
      </c>
      <c r="K73" s="4">
        <f t="shared" si="2"/>
        <v>0</v>
      </c>
      <c r="L73" s="4">
        <f t="shared" si="3"/>
        <v>0</v>
      </c>
      <c r="M73" s="4">
        <f t="shared" si="9"/>
        <v>1</v>
      </c>
      <c r="N73" s="4">
        <f t="shared" si="4"/>
        <v>0</v>
      </c>
      <c r="O73" s="4">
        <f t="shared" si="10"/>
        <v>0.48061255755253285</v>
      </c>
      <c r="P73" s="10">
        <f t="shared" si="11"/>
        <v>-1.5860214399233583</v>
      </c>
      <c r="Q73" s="10">
        <f t="shared" si="12"/>
        <v>0</v>
      </c>
      <c r="R73" s="4">
        <f t="shared" si="13"/>
        <v>0</v>
      </c>
      <c r="S73" s="4">
        <f t="shared" si="5"/>
        <v>0</v>
      </c>
      <c r="T73" s="4">
        <f t="shared" si="15"/>
        <v>308.5920997502454</v>
      </c>
      <c r="U73" s="4">
        <f t="shared" si="14"/>
        <v>308.5920997502454</v>
      </c>
      <c r="V73" s="4">
        <f t="shared" si="6"/>
        <v>0</v>
      </c>
      <c r="W73" s="4">
        <f t="shared" si="7"/>
        <v>0.1683600764352912</v>
      </c>
    </row>
    <row r="74" spans="2:23" ht="12.75">
      <c r="B74" s="19">
        <v>39</v>
      </c>
      <c r="C74" s="58">
        <v>36929</v>
      </c>
      <c r="D74" s="50">
        <v>0</v>
      </c>
      <c r="E74" s="10">
        <f ca="1" t="shared" si="16"/>
        <v>9.15</v>
      </c>
      <c r="F74" s="10">
        <f ca="1" t="shared" si="16"/>
        <v>2.792</v>
      </c>
      <c r="G74" s="10">
        <f ca="1" t="shared" si="16"/>
        <v>0</v>
      </c>
      <c r="H74" s="10">
        <f t="shared" si="8"/>
        <v>9.15</v>
      </c>
      <c r="I74" s="10">
        <f>IF((SUM(H$36:H74)&gt;GDD_budbreak),(IF(((E74-10)&gt;0),(E74-10),0)),0)</f>
        <v>0</v>
      </c>
      <c r="J74" s="4">
        <f>IF((B74&lt;LeafDropDay),(SUM(I$36:I74)),0)</f>
        <v>0</v>
      </c>
      <c r="K74" s="4">
        <f t="shared" si="2"/>
        <v>0</v>
      </c>
      <c r="L74" s="4">
        <f t="shared" si="3"/>
        <v>0</v>
      </c>
      <c r="M74" s="4">
        <f t="shared" si="9"/>
        <v>1</v>
      </c>
      <c r="N74" s="4">
        <f t="shared" si="4"/>
        <v>0</v>
      </c>
      <c r="O74" s="4">
        <f t="shared" si="10"/>
        <v>0.47532351356136476</v>
      </c>
      <c r="P74" s="10">
        <f t="shared" si="11"/>
        <v>-1.3271032498633304</v>
      </c>
      <c r="Q74" s="10">
        <f t="shared" si="12"/>
        <v>0</v>
      </c>
      <c r="R74" s="4">
        <f t="shared" si="13"/>
        <v>0</v>
      </c>
      <c r="S74" s="4">
        <f t="shared" si="5"/>
        <v>0</v>
      </c>
      <c r="T74" s="4">
        <f t="shared" si="15"/>
        <v>307.26499650038204</v>
      </c>
      <c r="U74" s="4">
        <f t="shared" si="14"/>
        <v>307.26499650038204</v>
      </c>
      <c r="V74" s="4">
        <f t="shared" si="6"/>
        <v>0</v>
      </c>
      <c r="W74" s="4">
        <f t="shared" si="7"/>
        <v>0.17261506028227477</v>
      </c>
    </row>
    <row r="75" spans="2:23" ht="12.75">
      <c r="B75" s="19">
        <v>40</v>
      </c>
      <c r="C75" s="58">
        <v>36930</v>
      </c>
      <c r="D75" s="50">
        <v>0</v>
      </c>
      <c r="E75" s="10">
        <f ca="1" t="shared" si="16"/>
        <v>7.25</v>
      </c>
      <c r="F75" s="10">
        <f ca="1" t="shared" si="16"/>
        <v>0.508</v>
      </c>
      <c r="G75" s="10">
        <f ca="1" t="shared" si="16"/>
        <v>24.61</v>
      </c>
      <c r="H75" s="10">
        <f t="shared" si="8"/>
        <v>7.25</v>
      </c>
      <c r="I75" s="10">
        <f>IF((SUM(H$36:H75)&gt;GDD_budbreak),(IF(((E75-10)&gt;0),(E75-10),0)),0)</f>
        <v>0</v>
      </c>
      <c r="J75" s="4">
        <f>IF((B75&lt;LeafDropDay),(SUM(I$36:I75)),0)</f>
        <v>0</v>
      </c>
      <c r="K75" s="4">
        <f t="shared" si="2"/>
        <v>0</v>
      </c>
      <c r="L75" s="4">
        <f t="shared" si="3"/>
        <v>0</v>
      </c>
      <c r="M75" s="4">
        <f t="shared" si="9"/>
        <v>1</v>
      </c>
      <c r="N75" s="4">
        <f t="shared" si="4"/>
        <v>0</v>
      </c>
      <c r="O75" s="4">
        <f t="shared" si="10"/>
        <v>0.4700539981774734</v>
      </c>
      <c r="P75" s="10">
        <f t="shared" si="11"/>
        <v>-0.23878743107415648</v>
      </c>
      <c r="Q75" s="10">
        <f t="shared" si="12"/>
        <v>0</v>
      </c>
      <c r="R75" s="4">
        <f t="shared" si="13"/>
        <v>0</v>
      </c>
      <c r="S75" s="4">
        <f t="shared" si="5"/>
        <v>0</v>
      </c>
      <c r="T75" s="4">
        <f t="shared" si="15"/>
        <v>331.6362090693079</v>
      </c>
      <c r="U75" s="4">
        <f t="shared" si="14"/>
        <v>323.2214843027713</v>
      </c>
      <c r="V75" s="4">
        <f t="shared" si="6"/>
        <v>-8.414724766536608</v>
      </c>
      <c r="W75" s="4">
        <f t="shared" si="7"/>
        <v>0.1287495461406149</v>
      </c>
    </row>
    <row r="76" spans="2:23" ht="12.75">
      <c r="B76" s="19">
        <v>41</v>
      </c>
      <c r="C76" s="58">
        <v>36931</v>
      </c>
      <c r="D76" s="50">
        <v>0</v>
      </c>
      <c r="E76" s="10">
        <f ca="1" t="shared" si="17" ref="E76:G95">INDIRECT(WeatherSheet&amp;"!"&amp;E445)</f>
        <v>8.65</v>
      </c>
      <c r="F76" s="10">
        <f ca="1" t="shared" si="17"/>
        <v>1.523</v>
      </c>
      <c r="G76" s="10">
        <f ca="1" t="shared" si="17"/>
        <v>7.868</v>
      </c>
      <c r="H76" s="10">
        <f t="shared" si="8"/>
        <v>8.65</v>
      </c>
      <c r="I76" s="10">
        <f>IF((SUM(H$36:H76)&gt;GDD_budbreak),(IF(((E76-10)&gt;0),(E76-10),0)),0)</f>
        <v>0</v>
      </c>
      <c r="J76" s="4">
        <f>IF((B76&lt;LeafDropDay),(SUM(I$36:I76)),0)</f>
        <v>0</v>
      </c>
      <c r="K76" s="4">
        <f t="shared" si="2"/>
        <v>0</v>
      </c>
      <c r="L76" s="4">
        <f t="shared" si="3"/>
        <v>0</v>
      </c>
      <c r="M76" s="4">
        <f t="shared" si="9"/>
        <v>1</v>
      </c>
      <c r="N76" s="4">
        <f t="shared" si="4"/>
        <v>0</v>
      </c>
      <c r="O76" s="4">
        <f t="shared" si="10"/>
        <v>0.5334122620926762</v>
      </c>
      <c r="P76" s="10">
        <f t="shared" si="11"/>
        <v>-0.8123868751671458</v>
      </c>
      <c r="Q76" s="10">
        <f t="shared" si="12"/>
        <v>0</v>
      </c>
      <c r="R76" s="4">
        <f t="shared" si="13"/>
        <v>0</v>
      </c>
      <c r="S76" s="4">
        <f t="shared" si="5"/>
        <v>0</v>
      </c>
      <c r="T76" s="4">
        <f t="shared" si="15"/>
        <v>330.27709742760413</v>
      </c>
      <c r="U76" s="4">
        <f t="shared" si="14"/>
        <v>322.5419284819194</v>
      </c>
      <c r="V76" s="4">
        <f t="shared" si="6"/>
        <v>-7.735168945684734</v>
      </c>
      <c r="W76" s="4">
        <f t="shared" si="7"/>
        <v>0.13032842674118908</v>
      </c>
    </row>
    <row r="77" spans="2:23" ht="12.75">
      <c r="B77" s="19">
        <v>42</v>
      </c>
      <c r="C77" s="58">
        <v>36932</v>
      </c>
      <c r="D77" s="50">
        <v>0</v>
      </c>
      <c r="E77" s="10">
        <f ca="1" t="shared" si="17"/>
        <v>6.35</v>
      </c>
      <c r="F77" s="10">
        <f ca="1" t="shared" si="17"/>
        <v>1.015</v>
      </c>
      <c r="G77" s="10">
        <f ca="1" t="shared" si="17"/>
        <v>11.92</v>
      </c>
      <c r="H77" s="10">
        <f t="shared" si="8"/>
        <v>6.35</v>
      </c>
      <c r="I77" s="10">
        <f>IF((SUM(H$36:H77)&gt;GDD_budbreak),(IF(((E77-10)&gt;0),(E77-10),0)),0)</f>
        <v>0</v>
      </c>
      <c r="J77" s="4">
        <f>IF((B77&lt;LeafDropDay),(SUM(I$36:I77)),0)</f>
        <v>0</v>
      </c>
      <c r="K77" s="4">
        <f t="shared" si="2"/>
        <v>0</v>
      </c>
      <c r="L77" s="4">
        <f t="shared" si="3"/>
        <v>0</v>
      </c>
      <c r="M77" s="4">
        <f t="shared" si="9"/>
        <v>1</v>
      </c>
      <c r="N77" s="4">
        <f t="shared" si="4"/>
        <v>0</v>
      </c>
      <c r="O77" s="4">
        <f t="shared" si="10"/>
        <v>0.5307139567026768</v>
      </c>
      <c r="P77" s="10">
        <f t="shared" si="11"/>
        <v>-0.5386746660532169</v>
      </c>
      <c r="Q77" s="10">
        <f t="shared" si="12"/>
        <v>0</v>
      </c>
      <c r="R77" s="4">
        <f t="shared" si="13"/>
        <v>0</v>
      </c>
      <c r="S77" s="4">
        <f t="shared" si="5"/>
        <v>0</v>
      </c>
      <c r="T77" s="4">
        <f t="shared" si="15"/>
        <v>333.9232538158662</v>
      </c>
      <c r="U77" s="4">
        <f t="shared" si="14"/>
        <v>324.3650066760504</v>
      </c>
      <c r="V77" s="4">
        <f t="shared" si="6"/>
        <v>-9.558247139815762</v>
      </c>
      <c r="W77" s="4">
        <f t="shared" si="7"/>
        <v>0.12614302239922437</v>
      </c>
    </row>
    <row r="78" spans="2:23" ht="12.75">
      <c r="B78" s="19">
        <v>43</v>
      </c>
      <c r="C78" s="58">
        <v>36933</v>
      </c>
      <c r="D78" s="50">
        <v>0</v>
      </c>
      <c r="E78" s="10">
        <f ca="1" t="shared" si="17"/>
        <v>3.65</v>
      </c>
      <c r="F78" s="10">
        <f ca="1" t="shared" si="17"/>
        <v>0</v>
      </c>
      <c r="G78" s="10">
        <f ca="1" t="shared" si="17"/>
        <v>13.95</v>
      </c>
      <c r="H78" s="10">
        <f t="shared" si="8"/>
        <v>3.65</v>
      </c>
      <c r="I78" s="10">
        <f>IF((SUM(H$36:H78)&gt;GDD_budbreak),(IF(((E78-10)&gt;0),(E78-10),0)),0)</f>
        <v>0</v>
      </c>
      <c r="J78" s="4">
        <f>IF((B78&lt;LeafDropDay),(SUM(I$36:I78)),0)</f>
        <v>0</v>
      </c>
      <c r="K78" s="4">
        <f t="shared" si="2"/>
        <v>0</v>
      </c>
      <c r="L78" s="4">
        <f t="shared" si="3"/>
        <v>0</v>
      </c>
      <c r="M78" s="4">
        <f t="shared" si="9"/>
        <v>1</v>
      </c>
      <c r="N78" s="4">
        <f t="shared" si="4"/>
        <v>0</v>
      </c>
      <c r="O78" s="4">
        <f t="shared" si="10"/>
        <v>0.5379528347560608</v>
      </c>
      <c r="P78" s="10">
        <f t="shared" si="11"/>
        <v>0</v>
      </c>
      <c r="Q78" s="10">
        <f t="shared" si="12"/>
        <v>0</v>
      </c>
      <c r="R78" s="4">
        <f t="shared" si="13"/>
        <v>0</v>
      </c>
      <c r="S78" s="4">
        <f t="shared" si="5"/>
        <v>0</v>
      </c>
      <c r="T78" s="4">
        <f t="shared" si="15"/>
        <v>338.3150066760504</v>
      </c>
      <c r="U78" s="4">
        <f t="shared" si="14"/>
        <v>326.56088310614257</v>
      </c>
      <c r="V78" s="4">
        <f t="shared" si="6"/>
        <v>-11.754123569907875</v>
      </c>
      <c r="W78" s="4">
        <f t="shared" si="7"/>
        <v>0.12130924659236818</v>
      </c>
    </row>
    <row r="79" spans="2:23" ht="12.75">
      <c r="B79" s="19">
        <v>44</v>
      </c>
      <c r="C79" s="58">
        <v>36934</v>
      </c>
      <c r="D79" s="50">
        <v>0</v>
      </c>
      <c r="E79" s="10">
        <f ca="1" t="shared" si="17"/>
        <v>8.9</v>
      </c>
      <c r="F79" s="10">
        <f ca="1" t="shared" si="17"/>
        <v>2.538</v>
      </c>
      <c r="G79" s="10">
        <f ca="1" t="shared" si="17"/>
        <v>0</v>
      </c>
      <c r="H79" s="10">
        <f t="shared" si="8"/>
        <v>8.9</v>
      </c>
      <c r="I79" s="10">
        <f>IF((SUM(H$36:H79)&gt;GDD_budbreak),(IF(((E79-10)&gt;0),(E79-10),0)),0)</f>
        <v>0</v>
      </c>
      <c r="J79" s="4">
        <f>IF((B79&lt;LeafDropDay),(SUM(I$36:I79)),0)</f>
        <v>0</v>
      </c>
      <c r="K79" s="4">
        <f t="shared" si="2"/>
        <v>0</v>
      </c>
      <c r="L79" s="4">
        <f t="shared" si="3"/>
        <v>0</v>
      </c>
      <c r="M79" s="4">
        <f t="shared" si="9"/>
        <v>1</v>
      </c>
      <c r="N79" s="4">
        <f t="shared" si="4"/>
        <v>0</v>
      </c>
      <c r="O79" s="4">
        <f t="shared" si="10"/>
        <v>0.5466719789753871</v>
      </c>
      <c r="P79" s="10">
        <f t="shared" si="11"/>
        <v>-1.3874534826395324</v>
      </c>
      <c r="Q79" s="10">
        <f t="shared" si="12"/>
        <v>0</v>
      </c>
      <c r="R79" s="4">
        <f t="shared" si="13"/>
        <v>0</v>
      </c>
      <c r="S79" s="4">
        <f t="shared" si="5"/>
        <v>0</v>
      </c>
      <c r="T79" s="4">
        <f t="shared" si="15"/>
        <v>325.173429623503</v>
      </c>
      <c r="U79" s="4">
        <f t="shared" si="14"/>
        <v>319.9900945798688</v>
      </c>
      <c r="V79" s="4">
        <f t="shared" si="6"/>
        <v>-5.183335043634173</v>
      </c>
      <c r="W79" s="4">
        <f t="shared" si="7"/>
        <v>0.13646362405982038</v>
      </c>
    </row>
    <row r="80" spans="2:23" ht="12.75">
      <c r="B80" s="19">
        <v>45</v>
      </c>
      <c r="C80" s="58">
        <v>36935</v>
      </c>
      <c r="D80" s="50">
        <v>0</v>
      </c>
      <c r="E80" s="10">
        <f ca="1" t="shared" si="17"/>
        <v>6.9</v>
      </c>
      <c r="F80" s="10">
        <f ca="1" t="shared" si="17"/>
        <v>1.777</v>
      </c>
      <c r="G80" s="10">
        <f ca="1" t="shared" si="17"/>
        <v>0</v>
      </c>
      <c r="H80" s="10">
        <f t="shared" si="8"/>
        <v>6.9</v>
      </c>
      <c r="I80" s="10">
        <f>IF((SUM(H$36:H80)&gt;GDD_budbreak),(IF(((E80-10)&gt;0),(E80-10),0)),0)</f>
        <v>0</v>
      </c>
      <c r="J80" s="4">
        <f>IF((B80&lt;LeafDropDay),(SUM(I$36:I80)),0)</f>
        <v>0</v>
      </c>
      <c r="K80" s="4">
        <f t="shared" si="2"/>
        <v>0</v>
      </c>
      <c r="L80" s="4">
        <f t="shared" si="3"/>
        <v>0</v>
      </c>
      <c r="M80" s="4">
        <f t="shared" si="9"/>
        <v>1</v>
      </c>
      <c r="N80" s="4">
        <f t="shared" si="4"/>
        <v>0</v>
      </c>
      <c r="O80" s="4">
        <f t="shared" si="10"/>
        <v>0.5205814157678432</v>
      </c>
      <c r="P80" s="10">
        <f t="shared" si="11"/>
        <v>-0.9250731758194574</v>
      </c>
      <c r="Q80" s="10">
        <f t="shared" si="12"/>
        <v>0</v>
      </c>
      <c r="R80" s="4">
        <f t="shared" si="13"/>
        <v>0</v>
      </c>
      <c r="S80" s="4">
        <f t="shared" si="5"/>
        <v>0</v>
      </c>
      <c r="T80" s="4">
        <f t="shared" si="15"/>
        <v>319.06502140404933</v>
      </c>
      <c r="U80" s="4">
        <f t="shared" si="14"/>
        <v>316.935890470142</v>
      </c>
      <c r="V80" s="4">
        <f t="shared" si="6"/>
        <v>-2.1291309339073337</v>
      </c>
      <c r="W80" s="4">
        <f t="shared" si="7"/>
        <v>0.14425740243289856</v>
      </c>
    </row>
    <row r="81" spans="2:23" ht="12.75">
      <c r="B81" s="19">
        <v>46</v>
      </c>
      <c r="C81" s="58">
        <v>36936</v>
      </c>
      <c r="D81" s="50">
        <v>0</v>
      </c>
      <c r="E81" s="10">
        <f ca="1" t="shared" si="17"/>
        <v>6.65</v>
      </c>
      <c r="F81" s="10">
        <f ca="1" t="shared" si="17"/>
        <v>1.015</v>
      </c>
      <c r="G81" s="10">
        <f ca="1" t="shared" si="17"/>
        <v>0</v>
      </c>
      <c r="H81" s="10">
        <f t="shared" si="8"/>
        <v>6.65</v>
      </c>
      <c r="I81" s="10">
        <f>IF((SUM(H$36:H81)&gt;GDD_budbreak),(IF(((E81-10)&gt;0),(E81-10),0)),0)</f>
        <v>0</v>
      </c>
      <c r="J81" s="4">
        <f>IF((B81&lt;LeafDropDay),(SUM(I$36:I81)),0)</f>
        <v>0</v>
      </c>
      <c r="K81" s="4">
        <f t="shared" si="2"/>
        <v>0</v>
      </c>
      <c r="L81" s="4">
        <f t="shared" si="3"/>
        <v>0</v>
      </c>
      <c r="M81" s="4">
        <f t="shared" si="9"/>
        <v>1</v>
      </c>
      <c r="N81" s="4">
        <f t="shared" si="4"/>
        <v>0</v>
      </c>
      <c r="O81" s="4">
        <f t="shared" si="10"/>
        <v>0.5084541185561101</v>
      </c>
      <c r="P81" s="10">
        <f t="shared" si="11"/>
        <v>-0.5160809303344517</v>
      </c>
      <c r="Q81" s="10">
        <f t="shared" si="12"/>
        <v>0</v>
      </c>
      <c r="R81" s="4">
        <f t="shared" si="13"/>
        <v>0</v>
      </c>
      <c r="S81" s="4">
        <f t="shared" si="5"/>
        <v>0</v>
      </c>
      <c r="T81" s="4">
        <f t="shared" si="15"/>
        <v>316.41980953980755</v>
      </c>
      <c r="U81" s="4">
        <f t="shared" si="14"/>
        <v>315.6132845380211</v>
      </c>
      <c r="V81" s="4">
        <f t="shared" si="6"/>
        <v>-0.80652500178644</v>
      </c>
      <c r="W81" s="4">
        <f t="shared" si="7"/>
        <v>0.1477936830248779</v>
      </c>
    </row>
    <row r="82" spans="2:23" ht="12.75">
      <c r="B82" s="19">
        <v>47</v>
      </c>
      <c r="C82" s="58">
        <v>36937</v>
      </c>
      <c r="D82" s="50">
        <v>0</v>
      </c>
      <c r="E82" s="10">
        <f ca="1" t="shared" si="17"/>
        <v>8.05</v>
      </c>
      <c r="F82" s="10">
        <f ca="1" t="shared" si="17"/>
        <v>1.523</v>
      </c>
      <c r="G82" s="10">
        <f ca="1" t="shared" si="17"/>
        <v>0</v>
      </c>
      <c r="H82" s="10">
        <f t="shared" si="8"/>
        <v>8.05</v>
      </c>
      <c r="I82" s="10">
        <f>IF((SUM(H$36:H82)&gt;GDD_budbreak),(IF(((E82-10)&gt;0),(E82-10),0)),0)</f>
        <v>0</v>
      </c>
      <c r="J82" s="4">
        <f>IF((B82&lt;LeafDropDay),(SUM(I$36:I82)),0)</f>
        <v>0</v>
      </c>
      <c r="K82" s="4">
        <f t="shared" si="2"/>
        <v>0</v>
      </c>
      <c r="L82" s="4">
        <f t="shared" si="3"/>
        <v>0</v>
      </c>
      <c r="M82" s="4">
        <f t="shared" si="9"/>
        <v>1</v>
      </c>
      <c r="N82" s="4">
        <f t="shared" si="4"/>
        <v>0</v>
      </c>
      <c r="O82" s="4">
        <f t="shared" si="10"/>
        <v>0.5032024606260623</v>
      </c>
      <c r="P82" s="10">
        <f t="shared" si="11"/>
        <v>-0.7663773475334928</v>
      </c>
      <c r="Q82" s="10">
        <f t="shared" si="12"/>
        <v>0</v>
      </c>
      <c r="R82" s="4">
        <f t="shared" si="13"/>
        <v>0</v>
      </c>
      <c r="S82" s="4">
        <f t="shared" si="5"/>
        <v>0</v>
      </c>
      <c r="T82" s="4">
        <f t="shared" si="15"/>
        <v>314.8469071904876</v>
      </c>
      <c r="U82" s="4">
        <f t="shared" si="14"/>
        <v>314.8268333633612</v>
      </c>
      <c r="V82" s="4">
        <f t="shared" si="6"/>
        <v>-0.020073827126481092</v>
      </c>
      <c r="W82" s="4">
        <f t="shared" si="7"/>
        <v>0.14994461965291234</v>
      </c>
    </row>
    <row r="83" spans="2:23" ht="12.75">
      <c r="B83" s="19">
        <v>48</v>
      </c>
      <c r="C83" s="58">
        <v>36938</v>
      </c>
      <c r="D83" s="50">
        <v>0</v>
      </c>
      <c r="E83" s="10">
        <f ca="1" t="shared" si="17"/>
        <v>8.6</v>
      </c>
      <c r="F83" s="10">
        <f ca="1" t="shared" si="17"/>
        <v>0.254</v>
      </c>
      <c r="G83" s="10">
        <f ca="1" t="shared" si="17"/>
        <v>25.38</v>
      </c>
      <c r="H83" s="10">
        <f t="shared" si="8"/>
        <v>8.6</v>
      </c>
      <c r="I83" s="10">
        <f>IF((SUM(H$36:H83)&gt;GDD_budbreak),(IF(((E83-10)&gt;0),(E83-10),0)),0)</f>
        <v>0</v>
      </c>
      <c r="J83" s="4">
        <f>IF((B83&lt;LeafDropDay),(SUM(I$36:I83)),0)</f>
        <v>0</v>
      </c>
      <c r="K83" s="4">
        <f t="shared" si="2"/>
        <v>0</v>
      </c>
      <c r="L83" s="4">
        <f t="shared" si="3"/>
        <v>0</v>
      </c>
      <c r="M83" s="4">
        <f t="shared" si="9"/>
        <v>1</v>
      </c>
      <c r="N83" s="4">
        <f t="shared" si="4"/>
        <v>0</v>
      </c>
      <c r="O83" s="4">
        <f t="shared" si="10"/>
        <v>0.5000797069413156</v>
      </c>
      <c r="P83" s="10">
        <f t="shared" si="11"/>
        <v>-0.1270202455630942</v>
      </c>
      <c r="Q83" s="10">
        <f t="shared" si="12"/>
        <v>0</v>
      </c>
      <c r="R83" s="4">
        <f t="shared" si="13"/>
        <v>0</v>
      </c>
      <c r="S83" s="4">
        <f t="shared" si="5"/>
        <v>0</v>
      </c>
      <c r="T83" s="4">
        <f t="shared" si="15"/>
        <v>340.0798131177981</v>
      </c>
      <c r="U83" s="4">
        <f t="shared" si="14"/>
        <v>327.4432863270164</v>
      </c>
      <c r="V83" s="4">
        <f t="shared" si="6"/>
        <v>-12.636526790781716</v>
      </c>
      <c r="W83" s="4">
        <f t="shared" si="7"/>
        <v>0.11942822405468558</v>
      </c>
    </row>
    <row r="84" spans="2:23" ht="12.75">
      <c r="B84" s="19">
        <v>49</v>
      </c>
      <c r="C84" s="58">
        <v>36939</v>
      </c>
      <c r="D84" s="50">
        <v>0</v>
      </c>
      <c r="E84" s="10">
        <f ca="1" t="shared" si="17"/>
        <v>10.25</v>
      </c>
      <c r="F84" s="10">
        <f ca="1" t="shared" si="17"/>
        <v>0.254</v>
      </c>
      <c r="G84" s="10">
        <f ca="1" t="shared" si="17"/>
        <v>2.284</v>
      </c>
      <c r="H84" s="10">
        <f t="shared" si="8"/>
        <v>10.25</v>
      </c>
      <c r="I84" s="10">
        <f>IF((SUM(H$36:H84)&gt;GDD_budbreak),(IF(((E84-10)&gt;0),(E84-10),0)),0)</f>
        <v>0</v>
      </c>
      <c r="J84" s="4">
        <f>IF((B84&lt;LeafDropDay),(SUM(I$36:I84)),0)</f>
        <v>0</v>
      </c>
      <c r="K84" s="4">
        <f t="shared" si="2"/>
        <v>0</v>
      </c>
      <c r="L84" s="4">
        <f t="shared" si="3"/>
        <v>0</v>
      </c>
      <c r="M84" s="4">
        <f t="shared" si="9"/>
        <v>1</v>
      </c>
      <c r="N84" s="4">
        <f t="shared" si="4"/>
        <v>0</v>
      </c>
      <c r="O84" s="4">
        <f t="shared" si="10"/>
        <v>0.5501757284746582</v>
      </c>
      <c r="P84" s="10">
        <f t="shared" si="11"/>
        <v>-0.13974463503256318</v>
      </c>
      <c r="Q84" s="10">
        <f t="shared" si="12"/>
        <v>0</v>
      </c>
      <c r="R84" s="4">
        <f t="shared" si="13"/>
        <v>0</v>
      </c>
      <c r="S84" s="4">
        <f t="shared" si="5"/>
        <v>0</v>
      </c>
      <c r="T84" s="4">
        <f t="shared" si="15"/>
        <v>329.5875416919838</v>
      </c>
      <c r="U84" s="4">
        <f t="shared" si="14"/>
        <v>322.1971506141092</v>
      </c>
      <c r="V84" s="4">
        <f t="shared" si="6"/>
        <v>-7.390391077874568</v>
      </c>
      <c r="W84" s="4">
        <f t="shared" si="7"/>
        <v>0.13113816106779483</v>
      </c>
    </row>
    <row r="85" spans="2:23" ht="12.75">
      <c r="B85" s="19">
        <v>50</v>
      </c>
      <c r="C85" s="58">
        <v>36940</v>
      </c>
      <c r="D85" s="50">
        <v>0</v>
      </c>
      <c r="E85" s="10">
        <f ca="1" t="shared" si="17"/>
        <v>10.3</v>
      </c>
      <c r="F85" s="10">
        <f ca="1" t="shared" si="17"/>
        <v>0.508</v>
      </c>
      <c r="G85" s="10">
        <f ca="1" t="shared" si="17"/>
        <v>30.96</v>
      </c>
      <c r="H85" s="10">
        <f t="shared" si="8"/>
        <v>10.3</v>
      </c>
      <c r="I85" s="10">
        <f>IF((SUM(H$36:H85)&gt;GDD_budbreak),(IF(((E85-10)&gt;0),(E85-10),0)),0)</f>
        <v>0</v>
      </c>
      <c r="J85" s="4">
        <f>IF((B85&lt;LeafDropDay),(SUM(I$36:I85)),0)</f>
        <v>0</v>
      </c>
      <c r="K85" s="4">
        <f t="shared" si="2"/>
        <v>0</v>
      </c>
      <c r="L85" s="4">
        <f t="shared" si="3"/>
        <v>0</v>
      </c>
      <c r="M85" s="4">
        <f t="shared" si="9"/>
        <v>1</v>
      </c>
      <c r="N85" s="4">
        <f t="shared" si="4"/>
        <v>0</v>
      </c>
      <c r="O85" s="4">
        <f t="shared" si="10"/>
        <v>0.5293449507277174</v>
      </c>
      <c r="P85" s="10">
        <f t="shared" si="11"/>
        <v>-0.26890723496968044</v>
      </c>
      <c r="Q85" s="10">
        <f t="shared" si="12"/>
        <v>0</v>
      </c>
      <c r="R85" s="4">
        <f t="shared" si="13"/>
        <v>0</v>
      </c>
      <c r="S85" s="4">
        <f t="shared" si="5"/>
        <v>0</v>
      </c>
      <c r="T85" s="4">
        <f t="shared" si="15"/>
        <v>352.8882433791395</v>
      </c>
      <c r="U85" s="4">
        <f t="shared" si="14"/>
        <v>333.8475014576871</v>
      </c>
      <c r="V85" s="4">
        <f t="shared" si="6"/>
        <v>-19.040741921452423</v>
      </c>
      <c r="W85" s="4">
        <f t="shared" si="7"/>
        <v>0.10675562024286135</v>
      </c>
    </row>
    <row r="86" spans="2:23" ht="12.75">
      <c r="B86" s="19">
        <v>51</v>
      </c>
      <c r="C86" s="58">
        <v>36941</v>
      </c>
      <c r="D86" s="50">
        <v>0</v>
      </c>
      <c r="E86" s="10">
        <f ca="1" t="shared" si="17"/>
        <v>11.35</v>
      </c>
      <c r="F86" s="10">
        <f ca="1" t="shared" si="17"/>
        <v>0.761</v>
      </c>
      <c r="G86" s="10">
        <f ca="1" t="shared" si="17"/>
        <v>18.78</v>
      </c>
      <c r="H86" s="10">
        <f t="shared" si="8"/>
        <v>11.35</v>
      </c>
      <c r="I86" s="10">
        <f>IF((SUM(H$36:H86)&gt;GDD_budbreak),(IF(((E86-10)&gt;0),(E86-10),0)),0)</f>
        <v>0</v>
      </c>
      <c r="J86" s="4">
        <f>IF((B86&lt;LeafDropDay),(SUM(I$36:I86)),0)</f>
        <v>0</v>
      </c>
      <c r="K86" s="4">
        <f t="shared" si="2"/>
        <v>0</v>
      </c>
      <c r="L86" s="4">
        <f t="shared" si="3"/>
        <v>0</v>
      </c>
      <c r="M86" s="4">
        <f t="shared" si="9"/>
        <v>1</v>
      </c>
      <c r="N86" s="4">
        <f t="shared" si="4"/>
        <v>0</v>
      </c>
      <c r="O86" s="4">
        <f t="shared" si="10"/>
        <v>0.5756048803935419</v>
      </c>
      <c r="P86" s="10">
        <f t="shared" si="11"/>
        <v>-0.43803531397948536</v>
      </c>
      <c r="Q86" s="10">
        <f t="shared" si="12"/>
        <v>0</v>
      </c>
      <c r="R86" s="4">
        <f t="shared" si="13"/>
        <v>0</v>
      </c>
      <c r="S86" s="4">
        <f t="shared" si="5"/>
        <v>0</v>
      </c>
      <c r="T86" s="4">
        <f t="shared" si="15"/>
        <v>352.1894661437076</v>
      </c>
      <c r="U86" s="4">
        <f t="shared" si="14"/>
        <v>333.4981128399711</v>
      </c>
      <c r="V86" s="4">
        <f t="shared" si="6"/>
        <v>-18.691353303736463</v>
      </c>
      <c r="W86" s="4">
        <f t="shared" si="7"/>
        <v>0.10740495475784184</v>
      </c>
    </row>
    <row r="87" spans="2:23" ht="12.75">
      <c r="B87" s="19">
        <v>52</v>
      </c>
      <c r="C87" s="58">
        <v>36942</v>
      </c>
      <c r="D87" s="50">
        <v>0</v>
      </c>
      <c r="E87" s="10">
        <f ca="1" t="shared" si="17"/>
        <v>10</v>
      </c>
      <c r="F87" s="10">
        <f ca="1" t="shared" si="17"/>
        <v>1.269</v>
      </c>
      <c r="G87" s="10">
        <f ca="1" t="shared" si="17"/>
        <v>17</v>
      </c>
      <c r="H87" s="10">
        <f t="shared" si="8"/>
        <v>10</v>
      </c>
      <c r="I87" s="10">
        <f>IF((SUM(H$36:H87)&gt;GDD_budbreak),(IF(((E87-10)&gt;0),(E87-10),0)),0)</f>
        <v>0</v>
      </c>
      <c r="J87" s="4">
        <f>IF((B87&lt;LeafDropDay),(SUM(I$36:I87)),0)</f>
        <v>0</v>
      </c>
      <c r="K87" s="4">
        <f t="shared" si="2"/>
        <v>0</v>
      </c>
      <c r="L87" s="4">
        <f t="shared" si="3"/>
        <v>0</v>
      </c>
      <c r="M87" s="4">
        <f t="shared" si="9"/>
        <v>1</v>
      </c>
      <c r="N87" s="4">
        <f t="shared" si="4"/>
        <v>0</v>
      </c>
      <c r="O87" s="4">
        <f t="shared" si="10"/>
        <v>0.5742175665608009</v>
      </c>
      <c r="P87" s="10">
        <f t="shared" si="11"/>
        <v>-0.7286820919656564</v>
      </c>
      <c r="Q87" s="10">
        <f t="shared" si="12"/>
        <v>0</v>
      </c>
      <c r="R87" s="4">
        <f t="shared" si="13"/>
        <v>0</v>
      </c>
      <c r="S87" s="4">
        <f t="shared" si="5"/>
        <v>0</v>
      </c>
      <c r="T87" s="4">
        <f t="shared" si="15"/>
        <v>349.76943074800545</v>
      </c>
      <c r="U87" s="4">
        <f t="shared" si="14"/>
        <v>332.28809514212</v>
      </c>
      <c r="V87" s="4">
        <f t="shared" si="6"/>
        <v>-17.48133560588539</v>
      </c>
      <c r="W87" s="4">
        <f t="shared" si="7"/>
        <v>0.10968983309227871</v>
      </c>
    </row>
    <row r="88" spans="2:23" ht="12.75">
      <c r="B88" s="19">
        <v>53</v>
      </c>
      <c r="C88" s="58">
        <v>36943</v>
      </c>
      <c r="D88" s="50">
        <v>0</v>
      </c>
      <c r="E88" s="10">
        <f ca="1" t="shared" si="17"/>
        <v>8.05</v>
      </c>
      <c r="F88" s="10">
        <f ca="1" t="shared" si="17"/>
        <v>1.523</v>
      </c>
      <c r="G88" s="10">
        <f ca="1" t="shared" si="17"/>
        <v>26.14</v>
      </c>
      <c r="H88" s="10">
        <f t="shared" si="8"/>
        <v>8.05</v>
      </c>
      <c r="I88" s="10">
        <f>IF((SUM(H$36:H88)&gt;GDD_budbreak),(IF(((E88-10)&gt;0),(E88-10),0)),0)</f>
        <v>0</v>
      </c>
      <c r="J88" s="4">
        <f>IF((B88&lt;LeafDropDay),(SUM(I$36:I88)),0)</f>
        <v>0</v>
      </c>
      <c r="K88" s="4">
        <f t="shared" si="2"/>
        <v>0</v>
      </c>
      <c r="L88" s="4">
        <f t="shared" si="3"/>
        <v>0</v>
      </c>
      <c r="M88" s="4">
        <f t="shared" si="9"/>
        <v>1</v>
      </c>
      <c r="N88" s="4">
        <f t="shared" si="4"/>
        <v>0</v>
      </c>
      <c r="O88" s="4">
        <f t="shared" si="10"/>
        <v>0.5694129615880803</v>
      </c>
      <c r="P88" s="10">
        <f t="shared" si="11"/>
        <v>-0.8672159404986463</v>
      </c>
      <c r="Q88" s="10">
        <f t="shared" si="12"/>
        <v>0</v>
      </c>
      <c r="R88" s="4">
        <f t="shared" si="13"/>
        <v>0</v>
      </c>
      <c r="S88" s="4">
        <f t="shared" si="5"/>
        <v>0</v>
      </c>
      <c r="T88" s="4">
        <f t="shared" si="15"/>
        <v>357.5608792016214</v>
      </c>
      <c r="U88" s="4">
        <f t="shared" si="14"/>
        <v>336.183819368928</v>
      </c>
      <c r="V88" s="4">
        <f t="shared" si="6"/>
        <v>-21.377059832693362</v>
      </c>
      <c r="W88" s="4">
        <f t="shared" si="7"/>
        <v>0.10252999230785134</v>
      </c>
    </row>
    <row r="89" spans="2:23" ht="12.75">
      <c r="B89" s="19">
        <v>54</v>
      </c>
      <c r="C89" s="58">
        <v>36944</v>
      </c>
      <c r="D89" s="50">
        <v>0</v>
      </c>
      <c r="E89" s="10">
        <f ca="1" t="shared" si="17"/>
        <v>8.05</v>
      </c>
      <c r="F89" s="10">
        <f ca="1" t="shared" si="17"/>
        <v>2.031</v>
      </c>
      <c r="G89" s="10">
        <f ca="1" t="shared" si="17"/>
        <v>0.254</v>
      </c>
      <c r="H89" s="10">
        <f t="shared" si="8"/>
        <v>8.05</v>
      </c>
      <c r="I89" s="10">
        <f>IF((SUM(H$36:H89)&gt;GDD_budbreak),(IF(((E89-10)&gt;0),(E89-10),0)),0)</f>
        <v>0</v>
      </c>
      <c r="J89" s="4">
        <f>IF((B89&lt;LeafDropDay),(SUM(I$36:I89)),0)</f>
        <v>0</v>
      </c>
      <c r="K89" s="4">
        <f t="shared" si="2"/>
        <v>0</v>
      </c>
      <c r="L89" s="4">
        <f t="shared" si="3"/>
        <v>0</v>
      </c>
      <c r="M89" s="4">
        <f t="shared" si="9"/>
        <v>1</v>
      </c>
      <c r="N89" s="4">
        <f t="shared" si="4"/>
        <v>0</v>
      </c>
      <c r="O89" s="4">
        <f t="shared" si="10"/>
        <v>0.5848816741744424</v>
      </c>
      <c r="P89" s="10">
        <f t="shared" si="11"/>
        <v>-1.1878946802482926</v>
      </c>
      <c r="Q89" s="10">
        <f t="shared" si="12"/>
        <v>0</v>
      </c>
      <c r="R89" s="4">
        <f t="shared" si="13"/>
        <v>0</v>
      </c>
      <c r="S89" s="4">
        <f t="shared" si="5"/>
        <v>0</v>
      </c>
      <c r="T89" s="4">
        <f t="shared" si="15"/>
        <v>335.24992468867976</v>
      </c>
      <c r="U89" s="4">
        <f t="shared" si="14"/>
        <v>325.0283421124572</v>
      </c>
      <c r="V89" s="4">
        <f t="shared" si="6"/>
        <v>-10.221582576222545</v>
      </c>
      <c r="W89" s="4">
        <f t="shared" si="7"/>
        <v>0.12465939624355782</v>
      </c>
    </row>
    <row r="90" spans="2:23" ht="12.75">
      <c r="B90" s="19">
        <v>55</v>
      </c>
      <c r="C90" s="58">
        <v>36945</v>
      </c>
      <c r="D90" s="50">
        <v>0</v>
      </c>
      <c r="E90" s="10">
        <f ca="1" t="shared" si="17"/>
        <v>8.35</v>
      </c>
      <c r="F90" s="10">
        <f ca="1" t="shared" si="17"/>
        <v>0.254</v>
      </c>
      <c r="G90" s="10">
        <f ca="1" t="shared" si="17"/>
        <v>24.61</v>
      </c>
      <c r="H90" s="10">
        <f t="shared" si="8"/>
        <v>8.35</v>
      </c>
      <c r="I90" s="10">
        <f>IF((SUM(H$36:H90)&gt;GDD_budbreak),(IF(((E90-10)&gt;0),(E90-10),0)),0)</f>
        <v>0</v>
      </c>
      <c r="J90" s="4">
        <f>IF((B90&lt;LeafDropDay),(SUM(I$36:I90)),0)</f>
        <v>0</v>
      </c>
      <c r="K90" s="4">
        <f t="shared" si="2"/>
        <v>0</v>
      </c>
      <c r="L90" s="4">
        <f t="shared" si="3"/>
        <v>0</v>
      </c>
      <c r="M90" s="4">
        <f t="shared" si="9"/>
        <v>1</v>
      </c>
      <c r="N90" s="4">
        <f t="shared" si="4"/>
        <v>0</v>
      </c>
      <c r="O90" s="4">
        <f t="shared" si="10"/>
        <v>0.5405867340304283</v>
      </c>
      <c r="P90" s="10">
        <f t="shared" si="11"/>
        <v>-0.1373090304437288</v>
      </c>
      <c r="Q90" s="10">
        <f t="shared" si="12"/>
        <v>0</v>
      </c>
      <c r="R90" s="4">
        <f t="shared" si="13"/>
        <v>0</v>
      </c>
      <c r="S90" s="4">
        <f t="shared" si="5"/>
        <v>0</v>
      </c>
      <c r="T90" s="4">
        <f t="shared" si="15"/>
        <v>349.50103308201346</v>
      </c>
      <c r="U90" s="4">
        <f t="shared" si="14"/>
        <v>332.1538963091241</v>
      </c>
      <c r="V90" s="4">
        <f t="shared" si="6"/>
        <v>-17.3471367728894</v>
      </c>
      <c r="W90" s="4">
        <f t="shared" si="7"/>
        <v>0.10994673565666821</v>
      </c>
    </row>
    <row r="91" spans="2:23" ht="12.75">
      <c r="B91" s="19">
        <v>56</v>
      </c>
      <c r="C91" s="58">
        <v>36946</v>
      </c>
      <c r="D91" s="50">
        <v>0</v>
      </c>
      <c r="E91" s="10">
        <f ca="1" t="shared" si="17"/>
        <v>10</v>
      </c>
      <c r="F91" s="10">
        <f ca="1" t="shared" si="17"/>
        <v>1.015</v>
      </c>
      <c r="G91" s="10">
        <f ca="1" t="shared" si="17"/>
        <v>19.79</v>
      </c>
      <c r="H91" s="10">
        <f t="shared" si="8"/>
        <v>10</v>
      </c>
      <c r="I91" s="10">
        <f>IF((SUM(H$36:H91)&gt;GDD_budbreak),(IF(((E91-10)&gt;0),(E91-10),0)),0)</f>
        <v>0</v>
      </c>
      <c r="J91" s="4">
        <f>IF((B91&lt;LeafDropDay),(SUM(I$36:I91)),0)</f>
        <v>0</v>
      </c>
      <c r="K91" s="4">
        <f t="shared" si="2"/>
        <v>0</v>
      </c>
      <c r="L91" s="4">
        <f t="shared" si="3"/>
        <v>0</v>
      </c>
      <c r="M91" s="4">
        <f t="shared" si="9"/>
        <v>1</v>
      </c>
      <c r="N91" s="4">
        <f t="shared" si="4"/>
        <v>0</v>
      </c>
      <c r="O91" s="4">
        <f t="shared" si="10"/>
        <v>0.5688800996460686</v>
      </c>
      <c r="P91" s="10">
        <f t="shared" si="11"/>
        <v>-0.5774133011407595</v>
      </c>
      <c r="Q91" s="10">
        <f t="shared" si="12"/>
        <v>0</v>
      </c>
      <c r="R91" s="4">
        <f t="shared" si="13"/>
        <v>0</v>
      </c>
      <c r="S91" s="4">
        <f t="shared" si="5"/>
        <v>0</v>
      </c>
      <c r="T91" s="4">
        <f t="shared" si="15"/>
        <v>351.36648300798333</v>
      </c>
      <c r="U91" s="4">
        <f t="shared" si="14"/>
        <v>333.086621272109</v>
      </c>
      <c r="V91" s="4">
        <f t="shared" si="6"/>
        <v>-18.279861735874334</v>
      </c>
      <c r="W91" s="4">
        <f t="shared" si="7"/>
        <v>0.1081756555263817</v>
      </c>
    </row>
    <row r="92" spans="2:23" ht="12.75">
      <c r="B92" s="19">
        <v>57</v>
      </c>
      <c r="C92" s="58">
        <v>36947</v>
      </c>
      <c r="D92" s="50">
        <v>0</v>
      </c>
      <c r="E92" s="10">
        <f ca="1" t="shared" si="17"/>
        <v>10.85</v>
      </c>
      <c r="F92" s="10">
        <f ca="1" t="shared" si="17"/>
        <v>2.284</v>
      </c>
      <c r="G92" s="10">
        <f ca="1" t="shared" si="17"/>
        <v>0</v>
      </c>
      <c r="H92" s="10">
        <f t="shared" si="8"/>
        <v>10.85</v>
      </c>
      <c r="I92" s="10">
        <f>IF((SUM(H$36:H92)&gt;GDD_budbreak),(IF(((E92-10)&gt;0),(E92-10),0)),0)</f>
        <v>0</v>
      </c>
      <c r="J92" s="4">
        <f>IF((B92&lt;LeafDropDay),(SUM(I$36:I92)),0)</f>
        <v>0</v>
      </c>
      <c r="K92" s="4">
        <f t="shared" si="2"/>
        <v>0</v>
      </c>
      <c r="L92" s="4">
        <f t="shared" si="3"/>
        <v>0</v>
      </c>
      <c r="M92" s="4">
        <f t="shared" si="9"/>
        <v>1</v>
      </c>
      <c r="N92" s="4">
        <f t="shared" si="4"/>
        <v>0</v>
      </c>
      <c r="O92" s="4">
        <f t="shared" si="10"/>
        <v>0.5725836611752071</v>
      </c>
      <c r="P92" s="10">
        <f t="shared" si="11"/>
        <v>-1.3077810821241729</v>
      </c>
      <c r="Q92" s="10">
        <f t="shared" si="12"/>
        <v>0</v>
      </c>
      <c r="R92" s="4">
        <f t="shared" si="13"/>
        <v>0</v>
      </c>
      <c r="S92" s="4">
        <f t="shared" si="5"/>
        <v>0</v>
      </c>
      <c r="T92" s="4">
        <f t="shared" si="15"/>
        <v>331.77884018998486</v>
      </c>
      <c r="U92" s="4">
        <f t="shared" si="14"/>
        <v>323.29279986310974</v>
      </c>
      <c r="V92" s="4">
        <f t="shared" si="6"/>
        <v>-8.486040326875099</v>
      </c>
      <c r="W92" s="4">
        <f t="shared" si="7"/>
        <v>0.12858515561458334</v>
      </c>
    </row>
    <row r="93" spans="2:23" ht="12.75">
      <c r="B93" s="19">
        <v>58</v>
      </c>
      <c r="C93" s="58">
        <v>36948</v>
      </c>
      <c r="D93" s="50">
        <v>0</v>
      </c>
      <c r="E93" s="10">
        <f ca="1" t="shared" si="17"/>
        <v>13.65</v>
      </c>
      <c r="F93" s="10">
        <f ca="1" t="shared" si="17"/>
        <v>4.061</v>
      </c>
      <c r="G93" s="10">
        <f ca="1" t="shared" si="17"/>
        <v>0</v>
      </c>
      <c r="H93" s="10">
        <f t="shared" si="8"/>
        <v>13.65</v>
      </c>
      <c r="I93" s="10">
        <f>IF((SUM(H$36:H93)&gt;GDD_budbreak),(IF(((E93-10)&gt;0),(E93-10),0)),0)</f>
        <v>0</v>
      </c>
      <c r="J93" s="4">
        <f>IF((B93&lt;LeafDropDay),(SUM(I$36:I93)),0)</f>
        <v>0</v>
      </c>
      <c r="K93" s="4">
        <f t="shared" si="2"/>
        <v>0</v>
      </c>
      <c r="L93" s="4">
        <f t="shared" si="3"/>
        <v>0</v>
      </c>
      <c r="M93" s="4">
        <f t="shared" si="9"/>
        <v>1</v>
      </c>
      <c r="N93" s="4">
        <f t="shared" si="4"/>
        <v>0</v>
      </c>
      <c r="O93" s="4">
        <f t="shared" si="10"/>
        <v>0.5336954340631713</v>
      </c>
      <c r="P93" s="10">
        <f t="shared" si="11"/>
        <v>-2.1673371577305387</v>
      </c>
      <c r="Q93" s="10">
        <f t="shared" si="12"/>
        <v>0</v>
      </c>
      <c r="R93" s="4">
        <f t="shared" si="13"/>
        <v>0</v>
      </c>
      <c r="S93" s="4">
        <f t="shared" si="5"/>
        <v>0</v>
      </c>
      <c r="T93" s="4">
        <f t="shared" si="15"/>
        <v>321.1254627053792</v>
      </c>
      <c r="U93" s="4">
        <f t="shared" si="14"/>
        <v>317.96611112080694</v>
      </c>
      <c r="V93" s="4">
        <f t="shared" si="6"/>
        <v>-3.1593515845722777</v>
      </c>
      <c r="W93" s="4">
        <f t="shared" si="7"/>
        <v>0.14157150383056588</v>
      </c>
    </row>
    <row r="94" spans="2:23" ht="12.75">
      <c r="B94" s="19">
        <v>59</v>
      </c>
      <c r="C94" s="58">
        <v>36949</v>
      </c>
      <c r="D94" s="50">
        <v>0</v>
      </c>
      <c r="E94" s="10">
        <f ca="1" t="shared" si="17"/>
        <v>9.45</v>
      </c>
      <c r="F94" s="10">
        <f ca="1" t="shared" si="17"/>
        <v>4.061</v>
      </c>
      <c r="G94" s="10">
        <f ca="1" t="shared" si="17"/>
        <v>0</v>
      </c>
      <c r="H94" s="10">
        <f t="shared" si="8"/>
        <v>9.45</v>
      </c>
      <c r="I94" s="10">
        <f>IF((SUM(H$36:H94)&gt;GDD_budbreak),(IF(((E94-10)&gt;0),(E94-10),0)),0)</f>
        <v>0</v>
      </c>
      <c r="J94" s="4">
        <f>IF((B94&lt;LeafDropDay),(SUM(I$36:I94)),0)</f>
        <v>0</v>
      </c>
      <c r="K94" s="4">
        <f t="shared" si="2"/>
        <v>0</v>
      </c>
      <c r="L94" s="4">
        <f t="shared" si="3"/>
        <v>0</v>
      </c>
      <c r="M94" s="4">
        <f t="shared" si="9"/>
        <v>1</v>
      </c>
      <c r="N94" s="4">
        <f t="shared" si="4"/>
        <v>0</v>
      </c>
      <c r="O94" s="4">
        <f t="shared" si="10"/>
        <v>0.5125448052212512</v>
      </c>
      <c r="P94" s="10">
        <f t="shared" si="11"/>
        <v>-2.0814444540035013</v>
      </c>
      <c r="Q94" s="10">
        <f t="shared" si="12"/>
        <v>0</v>
      </c>
      <c r="R94" s="4">
        <f t="shared" si="13"/>
        <v>0</v>
      </c>
      <c r="S94" s="4">
        <f t="shared" si="5"/>
        <v>0</v>
      </c>
      <c r="T94" s="4">
        <f t="shared" si="15"/>
        <v>315.88466666680347</v>
      </c>
      <c r="U94" s="4">
        <f t="shared" si="14"/>
        <v>315.3457131015191</v>
      </c>
      <c r="V94" s="4">
        <f t="shared" si="6"/>
        <v>-0.5389535652844017</v>
      </c>
      <c r="W94" s="4">
        <f t="shared" si="7"/>
        <v>0.1485214022362881</v>
      </c>
    </row>
    <row r="95" spans="2:23" ht="12.75">
      <c r="B95" s="19">
        <v>60</v>
      </c>
      <c r="C95" s="58">
        <v>36950</v>
      </c>
      <c r="D95" s="50">
        <v>0</v>
      </c>
      <c r="E95" s="10">
        <f ca="1" t="shared" si="17"/>
        <v>7.2</v>
      </c>
      <c r="F95" s="10">
        <f ca="1" t="shared" si="17"/>
        <v>1.269</v>
      </c>
      <c r="G95" s="10">
        <f ca="1" t="shared" si="17"/>
        <v>1.777</v>
      </c>
      <c r="H95" s="10">
        <f t="shared" si="8"/>
        <v>7.2</v>
      </c>
      <c r="I95" s="10">
        <f>IF((SUM(H$36:H95)&gt;GDD_budbreak),(IF(((E95-10)&gt;0),(E95-10),0)),0)</f>
        <v>0</v>
      </c>
      <c r="J95" s="4">
        <f>IF((B95&lt;LeafDropDay),(SUM(I$36:I95)),0)</f>
        <v>0</v>
      </c>
      <c r="K95" s="4">
        <f t="shared" si="2"/>
        <v>0</v>
      </c>
      <c r="L95" s="4">
        <f t="shared" si="3"/>
        <v>0</v>
      </c>
      <c r="M95" s="4">
        <f t="shared" si="9"/>
        <v>1</v>
      </c>
      <c r="N95" s="4">
        <f t="shared" si="4"/>
        <v>0</v>
      </c>
      <c r="O95" s="4">
        <f t="shared" si="10"/>
        <v>0.5021400174430752</v>
      </c>
      <c r="P95" s="10">
        <f t="shared" si="11"/>
        <v>-0.6372156821352625</v>
      </c>
      <c r="Q95" s="10">
        <f t="shared" si="12"/>
        <v>0</v>
      </c>
      <c r="R95" s="4">
        <f t="shared" si="13"/>
        <v>0</v>
      </c>
      <c r="S95" s="4">
        <f t="shared" si="5"/>
        <v>0</v>
      </c>
      <c r="T95" s="4">
        <f t="shared" si="15"/>
        <v>316.4854974193838</v>
      </c>
      <c r="U95" s="4">
        <f t="shared" si="14"/>
        <v>315.64612847780927</v>
      </c>
      <c r="V95" s="4">
        <f t="shared" si="6"/>
        <v>-0.8393689415745769</v>
      </c>
      <c r="W95" s="4">
        <f t="shared" si="7"/>
        <v>0.14770464516581192</v>
      </c>
    </row>
    <row r="96" spans="2:23" ht="12.75">
      <c r="B96" s="19">
        <v>61</v>
      </c>
      <c r="C96" s="58">
        <v>36951</v>
      </c>
      <c r="D96" s="50">
        <v>0</v>
      </c>
      <c r="E96" s="10">
        <f ca="1" t="shared" si="18" ref="E96:G115">INDIRECT(WeatherSheet&amp;"!"&amp;E465)</f>
        <v>8.6</v>
      </c>
      <c r="F96" s="10">
        <f ca="1" t="shared" si="18"/>
        <v>0.761</v>
      </c>
      <c r="G96" s="10">
        <f ca="1" t="shared" si="18"/>
        <v>3.3</v>
      </c>
      <c r="H96" s="10">
        <f t="shared" si="8"/>
        <v>8.6</v>
      </c>
      <c r="I96" s="10">
        <f>IF((SUM(H$36:H96)&gt;GDD_budbreak),(IF(((E96-10)&gt;0),(E96-10),0)),0)</f>
        <v>0</v>
      </c>
      <c r="J96" s="4">
        <f>IF((B96&lt;LeafDropDay),(SUM(I$36:I96)),0)</f>
        <v>0</v>
      </c>
      <c r="K96" s="4">
        <f t="shared" si="2"/>
        <v>0</v>
      </c>
      <c r="L96" s="4">
        <f t="shared" si="3"/>
        <v>0</v>
      </c>
      <c r="M96" s="4">
        <f t="shared" si="9"/>
        <v>1</v>
      </c>
      <c r="N96" s="4">
        <f t="shared" si="4"/>
        <v>0</v>
      </c>
      <c r="O96" s="4">
        <f t="shared" si="10"/>
        <v>0.5033328737239122</v>
      </c>
      <c r="P96" s="10">
        <f t="shared" si="11"/>
        <v>-0.3830363169038972</v>
      </c>
      <c r="Q96" s="10">
        <f t="shared" si="12"/>
        <v>0</v>
      </c>
      <c r="R96" s="4">
        <f t="shared" si="13"/>
        <v>0</v>
      </c>
      <c r="S96" s="4">
        <f t="shared" si="5"/>
        <v>0</v>
      </c>
      <c r="T96" s="4">
        <f t="shared" si="15"/>
        <v>318.5630921609054</v>
      </c>
      <c r="U96" s="4">
        <f t="shared" si="14"/>
        <v>316.68492584857006</v>
      </c>
      <c r="V96" s="4">
        <f t="shared" si="6"/>
        <v>-1.8781663123353667</v>
      </c>
      <c r="W96" s="4">
        <f t="shared" si="7"/>
        <v>0.14492071781916246</v>
      </c>
    </row>
    <row r="97" spans="2:23" ht="12.75">
      <c r="B97" s="19">
        <v>62</v>
      </c>
      <c r="C97" s="58">
        <v>36952</v>
      </c>
      <c r="D97" s="50">
        <v>0</v>
      </c>
      <c r="E97" s="10">
        <f ca="1" t="shared" si="18"/>
        <v>7.25</v>
      </c>
      <c r="F97" s="10">
        <f ca="1" t="shared" si="18"/>
        <v>1.269</v>
      </c>
      <c r="G97" s="10">
        <f ca="1" t="shared" si="18"/>
        <v>4.315</v>
      </c>
      <c r="H97" s="10">
        <f t="shared" si="8"/>
        <v>7.25</v>
      </c>
      <c r="I97" s="10">
        <f>IF((SUM(H$36:H97)&gt;GDD_budbreak),(IF(((E97-10)&gt;0),(E97-10),0)),0)</f>
        <v>0</v>
      </c>
      <c r="J97" s="4">
        <f>IF((B97&lt;LeafDropDay),(SUM(I$36:I97)),0)</f>
        <v>0</v>
      </c>
      <c r="K97" s="4">
        <f t="shared" si="2"/>
        <v>0</v>
      </c>
      <c r="L97" s="4">
        <f t="shared" si="3"/>
        <v>0</v>
      </c>
      <c r="M97" s="4">
        <f t="shared" si="9"/>
        <v>1</v>
      </c>
      <c r="N97" s="4">
        <f t="shared" si="4"/>
        <v>0</v>
      </c>
      <c r="O97" s="4">
        <f t="shared" si="10"/>
        <v>0.5074576158843533</v>
      </c>
      <c r="P97" s="10">
        <f t="shared" si="11"/>
        <v>-0.6439637145572443</v>
      </c>
      <c r="Q97" s="10">
        <f t="shared" si="12"/>
        <v>0</v>
      </c>
      <c r="R97" s="4">
        <f t="shared" si="13"/>
        <v>0</v>
      </c>
      <c r="S97" s="4">
        <f t="shared" si="5"/>
        <v>0</v>
      </c>
      <c r="T97" s="4">
        <f t="shared" si="15"/>
        <v>320.3559621340128</v>
      </c>
      <c r="U97" s="4">
        <f t="shared" si="14"/>
        <v>317.58136083512375</v>
      </c>
      <c r="V97" s="4">
        <f t="shared" si="6"/>
        <v>-2.774601298889081</v>
      </c>
      <c r="W97" s="4">
        <f t="shared" si="7"/>
        <v>0.14256767199569023</v>
      </c>
    </row>
    <row r="98" spans="2:23" ht="12.75">
      <c r="B98" s="19">
        <v>63</v>
      </c>
      <c r="C98" s="58">
        <v>36953</v>
      </c>
      <c r="D98" s="50">
        <v>0</v>
      </c>
      <c r="E98" s="10">
        <f ca="1" t="shared" si="18"/>
        <v>10.25</v>
      </c>
      <c r="F98" s="10">
        <f ca="1" t="shared" si="18"/>
        <v>1</v>
      </c>
      <c r="G98" s="10">
        <f ca="1" t="shared" si="18"/>
        <v>61.16</v>
      </c>
      <c r="H98" s="10">
        <f t="shared" si="8"/>
        <v>10.25</v>
      </c>
      <c r="I98" s="10">
        <f>IF((SUM(H$36:H98)&gt;GDD_budbreak),(IF(((E98-10)&gt;0),(E98-10),0)),0)</f>
        <v>0</v>
      </c>
      <c r="J98" s="4">
        <f>IF((B98&lt;LeafDropDay),(SUM(I$36:I98)),0)</f>
        <v>0</v>
      </c>
      <c r="K98" s="4">
        <f t="shared" si="2"/>
        <v>0</v>
      </c>
      <c r="L98" s="4">
        <f t="shared" si="3"/>
        <v>0</v>
      </c>
      <c r="M98" s="4">
        <f t="shared" si="9"/>
        <v>1</v>
      </c>
      <c r="N98" s="4">
        <f t="shared" si="4"/>
        <v>0</v>
      </c>
      <c r="O98" s="4">
        <f t="shared" si="10"/>
        <v>0.5110170811729732</v>
      </c>
      <c r="P98" s="10">
        <f t="shared" si="11"/>
        <v>-0.5110170811729732</v>
      </c>
      <c r="Q98" s="10">
        <f t="shared" si="12"/>
        <v>0</v>
      </c>
      <c r="R98" s="4">
        <f t="shared" si="13"/>
        <v>0</v>
      </c>
      <c r="S98" s="4">
        <f t="shared" si="5"/>
        <v>0</v>
      </c>
      <c r="T98" s="4">
        <f t="shared" si="15"/>
        <v>378.23034375395076</v>
      </c>
      <c r="U98" s="4">
        <f t="shared" si="14"/>
        <v>346.5185516450927</v>
      </c>
      <c r="V98" s="4">
        <f t="shared" si="6"/>
        <v>-31.71179210885805</v>
      </c>
      <c r="W98" s="4">
        <f t="shared" si="7"/>
        <v>0.08603948843622776</v>
      </c>
    </row>
    <row r="99" spans="2:23" ht="12.75">
      <c r="B99" s="19">
        <v>64</v>
      </c>
      <c r="C99" s="58">
        <v>36954</v>
      </c>
      <c r="D99" s="50">
        <v>0</v>
      </c>
      <c r="E99" s="10">
        <f ca="1" t="shared" si="18"/>
        <v>11.7</v>
      </c>
      <c r="F99" s="10">
        <f ca="1" t="shared" si="18"/>
        <v>0.761</v>
      </c>
      <c r="G99" s="10">
        <f ca="1" t="shared" si="18"/>
        <v>2.792</v>
      </c>
      <c r="H99" s="10">
        <f t="shared" si="8"/>
        <v>11.7</v>
      </c>
      <c r="I99" s="10">
        <f>IF((SUM(H$36:H99)&gt;GDD_budbreak),(IF(((E99-10)&gt;0),(E99-10),0)),0)</f>
        <v>0</v>
      </c>
      <c r="J99" s="4">
        <f>IF((B99&lt;LeafDropDay),(SUM(I$36:I99)),0)</f>
        <v>0</v>
      </c>
      <c r="K99" s="4">
        <f t="shared" si="2"/>
        <v>0</v>
      </c>
      <c r="L99" s="4">
        <f t="shared" si="3"/>
        <v>0</v>
      </c>
      <c r="M99" s="4">
        <f t="shared" si="9"/>
        <v>1</v>
      </c>
      <c r="N99" s="4">
        <f t="shared" si="4"/>
        <v>0</v>
      </c>
      <c r="O99" s="4">
        <f t="shared" si="10"/>
        <v>0.6259176905682357</v>
      </c>
      <c r="P99" s="10">
        <f t="shared" si="11"/>
        <v>-0.47632336252242735</v>
      </c>
      <c r="Q99" s="10">
        <f t="shared" si="12"/>
        <v>0</v>
      </c>
      <c r="R99" s="4">
        <f t="shared" si="13"/>
        <v>0</v>
      </c>
      <c r="S99" s="4">
        <f t="shared" si="5"/>
        <v>0</v>
      </c>
      <c r="T99" s="4">
        <f t="shared" si="15"/>
        <v>348.8342282825703</v>
      </c>
      <c r="U99" s="4">
        <f t="shared" si="14"/>
        <v>331.82049390940244</v>
      </c>
      <c r="V99" s="4">
        <f t="shared" si="6"/>
        <v>-17.013734373167807</v>
      </c>
      <c r="W99" s="4">
        <f t="shared" si="7"/>
        <v>0.11058804210165364</v>
      </c>
    </row>
    <row r="100" spans="2:23" ht="12.75">
      <c r="B100" s="19">
        <v>65</v>
      </c>
      <c r="C100" s="58">
        <v>36955</v>
      </c>
      <c r="D100" s="50">
        <v>0</v>
      </c>
      <c r="E100" s="10">
        <f ca="1" t="shared" si="18"/>
        <v>13.05</v>
      </c>
      <c r="F100" s="10">
        <f ca="1" t="shared" si="18"/>
        <v>2.284</v>
      </c>
      <c r="G100" s="10">
        <f ca="1" t="shared" si="18"/>
        <v>0</v>
      </c>
      <c r="H100" s="10">
        <f t="shared" si="8"/>
        <v>13.05</v>
      </c>
      <c r="I100" s="10">
        <f>IF((SUM(H$36:H100)&gt;GDD_budbreak),(IF(((E100-10)&gt;0),(E100-10),0)),0)</f>
        <v>0</v>
      </c>
      <c r="J100" s="4">
        <f>IF((B100&lt;LeafDropDay),(SUM(I$36:I100)),0)</f>
        <v>0</v>
      </c>
      <c r="K100" s="4">
        <f aca="true" t="shared" si="19" ref="K100:K163">IF(J100&gt;0,((1.0066-1.0118*EXP(-5.0278*(J101/GDD_MaxLAI)^1.9331))*MaxLAI),0)</f>
        <v>0</v>
      </c>
      <c r="L100" s="4">
        <f aca="true" t="shared" si="20" ref="L100:L163">1-EXP(-ExtCoeff*K100)</f>
        <v>0</v>
      </c>
      <c r="M100" s="4">
        <f t="shared" si="9"/>
        <v>1</v>
      </c>
      <c r="N100" s="4">
        <f aca="true" t="shared" si="21" ref="N100:N163">IF(AlterKc?&gt;0,L100*M100,L100)</f>
        <v>0</v>
      </c>
      <c r="O100" s="4">
        <f t="shared" si="10"/>
        <v>0.5675562621266137</v>
      </c>
      <c r="P100" s="10">
        <f t="shared" si="11"/>
        <v>-1.2962985026971856</v>
      </c>
      <c r="Q100" s="10">
        <f t="shared" si="12"/>
        <v>0</v>
      </c>
      <c r="R100" s="4">
        <f t="shared" si="13"/>
        <v>0</v>
      </c>
      <c r="S100" s="4">
        <f aca="true" t="shared" si="22" ref="S100:S163">R100*IrrConv</f>
        <v>0</v>
      </c>
      <c r="T100" s="4">
        <f t="shared" si="15"/>
        <v>330.52419540670525</v>
      </c>
      <c r="U100" s="4">
        <f t="shared" si="14"/>
        <v>322.66547747146996</v>
      </c>
      <c r="V100" s="4">
        <f aca="true" t="shared" si="23" ref="V100:V163">IF((T100&gt;SMatFC),((T100-SMatFC)*-V$29),0)</f>
        <v>-7.8587179352352905</v>
      </c>
      <c r="W100" s="4">
        <f aca="true" t="shared" si="24" ref="W100:W163">((SoilA*(U100/((RootDepth*1000)*(1-(Gravel/100))))^SoilB)/100)</f>
        <v>0.13003969149695915</v>
      </c>
    </row>
    <row r="101" spans="2:23" ht="12.75">
      <c r="B101" s="19">
        <v>66</v>
      </c>
      <c r="C101" s="58">
        <v>36956</v>
      </c>
      <c r="D101" s="50">
        <v>0</v>
      </c>
      <c r="E101" s="10">
        <f ca="1" t="shared" si="18"/>
        <v>11.65</v>
      </c>
      <c r="F101" s="10">
        <f ca="1" t="shared" si="18"/>
        <v>2.538</v>
      </c>
      <c r="G101" s="10">
        <f ca="1" t="shared" si="18"/>
        <v>0</v>
      </c>
      <c r="H101" s="10">
        <f aca="true" t="shared" si="25" ref="H101:H164">IF(((E101-0)&gt;0),(E101-0),0)</f>
        <v>11.65</v>
      </c>
      <c r="I101" s="10">
        <f>IF((SUM(H$36:H101)&gt;GDD_budbreak),(IF(((E101-10)&gt;0),(E101-10),0)),0)</f>
        <v>0</v>
      </c>
      <c r="J101" s="4">
        <f>IF((B101&lt;LeafDropDay),(SUM(I$36:I101)),0)</f>
        <v>0</v>
      </c>
      <c r="K101" s="4">
        <f t="shared" si="19"/>
        <v>0</v>
      </c>
      <c r="L101" s="4">
        <f t="shared" si="20"/>
        <v>0</v>
      </c>
      <c r="M101" s="4">
        <f aca="true" t="shared" si="26" ref="M101:M164">IF((W100&gt;LWP_KcMax),IF(W100&lt;LWP_Kc0,(1-((W100-LWP_KcMax)/(LWP_Kc0-LWP_KcMax))),0),1)</f>
        <v>1</v>
      </c>
      <c r="N101" s="4">
        <f t="shared" si="21"/>
        <v>0</v>
      </c>
      <c r="O101" s="4">
        <f aca="true" t="shared" si="27" ref="O101:O164">IF(CC_cover&gt;0,(IF(B101&lt;CCLastDay,(IF((U100&gt;(SMatFC*CC_SMdeath)),(((U100-(SMatFC*CC_SMdeath))/(SMatFC-(SMatFC*CC_SMdeath)))*CC_cover),0)),0)),0)</f>
        <v>0.5312045314195785</v>
      </c>
      <c r="P101" s="10">
        <f aca="true" t="shared" si="28" ref="P101:P164">F101*O101*-1</f>
        <v>-1.3481971007428901</v>
      </c>
      <c r="Q101" s="10">
        <f aca="true" t="shared" si="29" ref="Q101:Q164">F101*N101*-1</f>
        <v>0</v>
      </c>
      <c r="R101" s="4">
        <f aca="true" t="shared" si="30" ref="R101:R164">IF((SimIrr?=1),(IF((U100&lt;SMatIrrig),((SMatOptLWP-SMatIrrig)*2),0)),D101)</f>
        <v>0</v>
      </c>
      <c r="S101" s="4">
        <f t="shared" si="22"/>
        <v>0</v>
      </c>
      <c r="T101" s="4">
        <f t="shared" si="15"/>
        <v>321.3172803707271</v>
      </c>
      <c r="U101" s="4">
        <f aca="true" t="shared" si="31" ref="U101:U164">T101+V101</f>
        <v>318.0620199534809</v>
      </c>
      <c r="V101" s="4">
        <f t="shared" si="23"/>
        <v>-3.2552604172462054</v>
      </c>
      <c r="W101" s="4">
        <f t="shared" si="24"/>
        <v>0.14132445589357479</v>
      </c>
    </row>
    <row r="102" spans="2:23" ht="12.75">
      <c r="B102" s="19">
        <v>67</v>
      </c>
      <c r="C102" s="58">
        <v>36957</v>
      </c>
      <c r="D102" s="50">
        <v>0</v>
      </c>
      <c r="E102" s="10">
        <f ca="1" t="shared" si="18"/>
        <v>11.95</v>
      </c>
      <c r="F102" s="10">
        <f ca="1" t="shared" si="18"/>
        <v>2.031</v>
      </c>
      <c r="G102" s="10">
        <f ca="1" t="shared" si="18"/>
        <v>0</v>
      </c>
      <c r="H102" s="10">
        <f t="shared" si="25"/>
        <v>11.95</v>
      </c>
      <c r="I102" s="10">
        <f>IF((SUM(H$36:H102)&gt;GDD_budbreak),(IF(((E102-10)&gt;0),(E102-10),0)),0)</f>
        <v>0</v>
      </c>
      <c r="J102" s="4">
        <f>IF((B102&lt;LeafDropDay),(SUM(I$36:I102)),0)</f>
        <v>0</v>
      </c>
      <c r="K102" s="4">
        <f t="shared" si="19"/>
        <v>0</v>
      </c>
      <c r="L102" s="4">
        <f t="shared" si="20"/>
        <v>0</v>
      </c>
      <c r="M102" s="4">
        <f t="shared" si="26"/>
        <v>1</v>
      </c>
      <c r="N102" s="4">
        <f t="shared" si="21"/>
        <v>0</v>
      </c>
      <c r="O102" s="4">
        <f t="shared" si="27"/>
        <v>0.5129256294482122</v>
      </c>
      <c r="P102" s="10">
        <f t="shared" si="28"/>
        <v>-1.041751953409319</v>
      </c>
      <c r="Q102" s="10">
        <f t="shared" si="29"/>
        <v>0</v>
      </c>
      <c r="R102" s="4">
        <f t="shared" si="30"/>
        <v>0</v>
      </c>
      <c r="S102" s="4">
        <f t="shared" si="22"/>
        <v>0</v>
      </c>
      <c r="T102" s="4">
        <f aca="true" t="shared" si="32" ref="T102:T165">G102+P102+Q102+R102+U101</f>
        <v>317.02026800007155</v>
      </c>
      <c r="U102" s="4">
        <f t="shared" si="31"/>
        <v>315.9135137681531</v>
      </c>
      <c r="V102" s="4">
        <f t="shared" si="23"/>
        <v>-1.106754231918444</v>
      </c>
      <c r="W102" s="4">
        <f t="shared" si="24"/>
        <v>0.14698211624309387</v>
      </c>
    </row>
    <row r="103" spans="2:23" ht="12.75">
      <c r="B103" s="19">
        <v>68</v>
      </c>
      <c r="C103" s="58">
        <v>36958</v>
      </c>
      <c r="D103" s="50">
        <v>0</v>
      </c>
      <c r="E103" s="10">
        <f ca="1" t="shared" si="18"/>
        <v>11.1</v>
      </c>
      <c r="F103" s="10">
        <f ca="1" t="shared" si="18"/>
        <v>2.792</v>
      </c>
      <c r="G103" s="10">
        <f ca="1" t="shared" si="18"/>
        <v>1.269</v>
      </c>
      <c r="H103" s="10">
        <f t="shared" si="25"/>
        <v>11.1</v>
      </c>
      <c r="I103" s="10">
        <f>IF((SUM(H$36:H103)&gt;GDD_budbreak),(IF(((E103-10)&gt;0),(E103-10),0)),0)</f>
        <v>0</v>
      </c>
      <c r="J103" s="4">
        <f>IF((B103&lt;LeafDropDay),(SUM(I$36:I103)),0)</f>
        <v>0</v>
      </c>
      <c r="K103" s="4">
        <f t="shared" si="19"/>
        <v>0</v>
      </c>
      <c r="L103" s="4">
        <f t="shared" si="20"/>
        <v>0</v>
      </c>
      <c r="M103" s="4">
        <f t="shared" si="26"/>
        <v>1</v>
      </c>
      <c r="N103" s="4">
        <f t="shared" si="21"/>
        <v>0</v>
      </c>
      <c r="O103" s="4">
        <f t="shared" si="27"/>
        <v>0.5043945777782411</v>
      </c>
      <c r="P103" s="10">
        <f t="shared" si="28"/>
        <v>-1.4082696611568493</v>
      </c>
      <c r="Q103" s="10">
        <f t="shared" si="29"/>
        <v>0</v>
      </c>
      <c r="R103" s="4">
        <f t="shared" si="30"/>
        <v>0</v>
      </c>
      <c r="S103" s="4">
        <f t="shared" si="22"/>
        <v>0</v>
      </c>
      <c r="T103" s="4">
        <f t="shared" si="32"/>
        <v>315.77424410699626</v>
      </c>
      <c r="U103" s="4">
        <f t="shared" si="31"/>
        <v>315.29050182161546</v>
      </c>
      <c r="V103" s="4">
        <f t="shared" si="23"/>
        <v>-0.48374228538079933</v>
      </c>
      <c r="W103" s="4">
        <f t="shared" si="24"/>
        <v>0.14867208392251874</v>
      </c>
    </row>
    <row r="104" spans="2:23" ht="12.75">
      <c r="B104" s="19">
        <v>69</v>
      </c>
      <c r="C104" s="58">
        <v>36959</v>
      </c>
      <c r="D104" s="50">
        <v>0</v>
      </c>
      <c r="E104" s="10">
        <f ca="1" t="shared" si="18"/>
        <v>13.05</v>
      </c>
      <c r="F104" s="10">
        <f ca="1" t="shared" si="18"/>
        <v>3.807</v>
      </c>
      <c r="G104" s="10">
        <f ca="1" t="shared" si="18"/>
        <v>0</v>
      </c>
      <c r="H104" s="10">
        <f t="shared" si="25"/>
        <v>13.05</v>
      </c>
      <c r="I104" s="10">
        <f>IF((SUM(H$36:H104)&gt;GDD_budbreak),(IF(((E104-10)&gt;0),(E104-10),0)),0)</f>
        <v>0</v>
      </c>
      <c r="J104" s="4">
        <f>IF((B104&lt;LeafDropDay),(SUM(I$36:I104)),0)</f>
        <v>0</v>
      </c>
      <c r="K104" s="4">
        <f t="shared" si="19"/>
        <v>0</v>
      </c>
      <c r="L104" s="4">
        <f t="shared" si="20"/>
        <v>0</v>
      </c>
      <c r="M104" s="4">
        <f t="shared" si="26"/>
        <v>1</v>
      </c>
      <c r="N104" s="4">
        <f t="shared" si="21"/>
        <v>0</v>
      </c>
      <c r="O104" s="4">
        <f t="shared" si="27"/>
        <v>0.5019207905751986</v>
      </c>
      <c r="P104" s="10">
        <f t="shared" si="28"/>
        <v>-1.910812449719781</v>
      </c>
      <c r="Q104" s="10">
        <f t="shared" si="29"/>
        <v>0</v>
      </c>
      <c r="R104" s="4">
        <f t="shared" si="30"/>
        <v>0</v>
      </c>
      <c r="S104" s="4">
        <f t="shared" si="22"/>
        <v>0</v>
      </c>
      <c r="T104" s="4">
        <f t="shared" si="32"/>
        <v>313.37968937189567</v>
      </c>
      <c r="U104" s="4">
        <f t="shared" si="31"/>
        <v>313.37968937189567</v>
      </c>
      <c r="V104" s="4">
        <f t="shared" si="23"/>
        <v>0</v>
      </c>
      <c r="W104" s="4">
        <f t="shared" si="24"/>
        <v>0.15399923811346306</v>
      </c>
    </row>
    <row r="105" spans="2:23" ht="12.75">
      <c r="B105" s="19">
        <v>70</v>
      </c>
      <c r="C105" s="58">
        <v>36960</v>
      </c>
      <c r="D105" s="50">
        <v>0</v>
      </c>
      <c r="E105" s="10">
        <f ca="1" t="shared" si="18"/>
        <v>12.5</v>
      </c>
      <c r="F105" s="10">
        <f ca="1" t="shared" si="18"/>
        <v>2.792</v>
      </c>
      <c r="G105" s="10">
        <f ca="1" t="shared" si="18"/>
        <v>0</v>
      </c>
      <c r="H105" s="10">
        <f t="shared" si="25"/>
        <v>12.5</v>
      </c>
      <c r="I105" s="10">
        <f>IF((SUM(H$36:H105)&gt;GDD_budbreak),(IF(((E105-10)&gt;0),(E105-10),0)),0)</f>
        <v>0</v>
      </c>
      <c r="J105" s="4">
        <f>IF((B105&lt;LeafDropDay),(SUM(I$36:I105)),0)</f>
        <v>0</v>
      </c>
      <c r="K105" s="4">
        <f t="shared" si="19"/>
        <v>0</v>
      </c>
      <c r="L105" s="4">
        <f t="shared" si="20"/>
        <v>0</v>
      </c>
      <c r="M105" s="4">
        <f t="shared" si="26"/>
        <v>1</v>
      </c>
      <c r="N105" s="4">
        <f t="shared" si="21"/>
        <v>0</v>
      </c>
      <c r="O105" s="4">
        <f t="shared" si="27"/>
        <v>0.49433354700498916</v>
      </c>
      <c r="P105" s="10">
        <f t="shared" si="28"/>
        <v>-1.3801792632379297</v>
      </c>
      <c r="Q105" s="10">
        <f t="shared" si="29"/>
        <v>0</v>
      </c>
      <c r="R105" s="4">
        <f t="shared" si="30"/>
        <v>0</v>
      </c>
      <c r="S105" s="4">
        <f t="shared" si="22"/>
        <v>0</v>
      </c>
      <c r="T105" s="4">
        <f t="shared" si="32"/>
        <v>311.9995101086577</v>
      </c>
      <c r="U105" s="4">
        <f t="shared" si="31"/>
        <v>311.9995101086577</v>
      </c>
      <c r="V105" s="4">
        <f t="shared" si="23"/>
        <v>0</v>
      </c>
      <c r="W105" s="4">
        <f t="shared" si="24"/>
        <v>0.15798651317858575</v>
      </c>
    </row>
    <row r="106" spans="1:23" ht="12.75">
      <c r="A106" s="56">
        <f>SUM(H36:H105)</f>
        <v>618.3999999999999</v>
      </c>
      <c r="B106" s="19">
        <v>71</v>
      </c>
      <c r="C106" s="58">
        <v>36961</v>
      </c>
      <c r="D106" s="50">
        <v>0</v>
      </c>
      <c r="E106" s="10">
        <f ca="1" t="shared" si="18"/>
        <v>13.6</v>
      </c>
      <c r="F106" s="10">
        <f ca="1" t="shared" si="18"/>
        <v>3.553</v>
      </c>
      <c r="G106" s="10">
        <f ca="1" t="shared" si="18"/>
        <v>0</v>
      </c>
      <c r="H106" s="10">
        <f t="shared" si="25"/>
        <v>13.6</v>
      </c>
      <c r="I106" s="10">
        <f>IF((SUM(H$36:H106)&gt;GDD_budbreak),(IF(((E106-10)&gt;0),(E106-10),0)),0)</f>
        <v>0</v>
      </c>
      <c r="J106" s="4">
        <f>IF((B106&lt;LeafDropDay),(SUM(I$36:I106)),0)</f>
        <v>0</v>
      </c>
      <c r="K106" s="4">
        <f t="shared" si="19"/>
        <v>0</v>
      </c>
      <c r="L106" s="4">
        <f t="shared" si="20"/>
        <v>0</v>
      </c>
      <c r="M106" s="4">
        <f t="shared" si="26"/>
        <v>1</v>
      </c>
      <c r="N106" s="4">
        <f t="shared" si="21"/>
        <v>0</v>
      </c>
      <c r="O106" s="4">
        <f t="shared" si="27"/>
        <v>0.48885328323432237</v>
      </c>
      <c r="P106" s="10">
        <f t="shared" si="28"/>
        <v>-1.7368957153315474</v>
      </c>
      <c r="Q106" s="10">
        <f t="shared" si="29"/>
        <v>0</v>
      </c>
      <c r="R106" s="4">
        <f t="shared" si="30"/>
        <v>0</v>
      </c>
      <c r="S106" s="4">
        <f t="shared" si="22"/>
        <v>0</v>
      </c>
      <c r="T106" s="4">
        <f t="shared" si="32"/>
        <v>310.26261439332615</v>
      </c>
      <c r="U106" s="4">
        <f t="shared" si="31"/>
        <v>310.26261439332615</v>
      </c>
      <c r="V106" s="4">
        <f t="shared" si="23"/>
        <v>0</v>
      </c>
      <c r="W106" s="4">
        <f t="shared" si="24"/>
        <v>0.16317765723368105</v>
      </c>
    </row>
    <row r="107" spans="2:23" ht="12.75">
      <c r="B107" s="19">
        <v>72</v>
      </c>
      <c r="C107" s="58">
        <v>36962</v>
      </c>
      <c r="D107" s="50">
        <v>0</v>
      </c>
      <c r="E107" s="10">
        <f ca="1" t="shared" si="18"/>
        <v>11.1</v>
      </c>
      <c r="F107" s="10">
        <f ca="1" t="shared" si="18"/>
        <v>3.046</v>
      </c>
      <c r="G107" s="10">
        <f ca="1" t="shared" si="18"/>
        <v>0</v>
      </c>
      <c r="H107" s="10">
        <f t="shared" si="25"/>
        <v>11.1</v>
      </c>
      <c r="I107" s="10">
        <f>IF((SUM(H$36:H107)&gt;GDD_budbreak),(IF(((E107-10)&gt;0),(E107-10),0)),0)</f>
        <v>0</v>
      </c>
      <c r="J107" s="4">
        <f>IF((B107&lt;LeafDropDay),(SUM(I$36:I107)),0)</f>
        <v>0</v>
      </c>
      <c r="K107" s="4">
        <f t="shared" si="19"/>
        <v>0</v>
      </c>
      <c r="L107" s="4">
        <f t="shared" si="20"/>
        <v>0</v>
      </c>
      <c r="M107" s="4">
        <f t="shared" si="26"/>
        <v>1</v>
      </c>
      <c r="N107" s="4">
        <f t="shared" si="21"/>
        <v>0</v>
      </c>
      <c r="O107" s="4">
        <f t="shared" si="27"/>
        <v>0.4819566090734406</v>
      </c>
      <c r="P107" s="10">
        <f t="shared" si="28"/>
        <v>-1.4680398312377</v>
      </c>
      <c r="Q107" s="10">
        <f t="shared" si="29"/>
        <v>0</v>
      </c>
      <c r="R107" s="4">
        <f t="shared" si="30"/>
        <v>0</v>
      </c>
      <c r="S107" s="4">
        <f t="shared" si="22"/>
        <v>0</v>
      </c>
      <c r="T107" s="4">
        <f t="shared" si="32"/>
        <v>308.7945745620884</v>
      </c>
      <c r="U107" s="4">
        <f t="shared" si="31"/>
        <v>308.7945745620884</v>
      </c>
      <c r="V107" s="4">
        <f t="shared" si="23"/>
        <v>0</v>
      </c>
      <c r="W107" s="4">
        <f t="shared" si="24"/>
        <v>0.16772176795968652</v>
      </c>
    </row>
    <row r="108" spans="2:23" ht="12.75">
      <c r="B108" s="19">
        <v>73</v>
      </c>
      <c r="C108" s="58">
        <v>36963</v>
      </c>
      <c r="D108" s="50">
        <v>0</v>
      </c>
      <c r="E108" s="10">
        <f ca="1" t="shared" si="18"/>
        <v>13.3</v>
      </c>
      <c r="F108" s="10">
        <f ca="1" t="shared" si="18"/>
        <v>3.3</v>
      </c>
      <c r="G108" s="10">
        <f ca="1" t="shared" si="18"/>
        <v>0.254</v>
      </c>
      <c r="H108" s="10">
        <f t="shared" si="25"/>
        <v>13.3</v>
      </c>
      <c r="I108" s="10">
        <f>IF((SUM(H$36:H108)&gt;GDD_budbreak),(IF(((E108-10)&gt;0),(E108-10),0)),0)</f>
        <v>0</v>
      </c>
      <c r="J108" s="4">
        <f>IF((B108&lt;LeafDropDay),(SUM(I$36:I108)),0)</f>
        <v>0</v>
      </c>
      <c r="K108" s="4">
        <f t="shared" si="19"/>
        <v>0</v>
      </c>
      <c r="L108" s="4">
        <f t="shared" si="20"/>
        <v>0</v>
      </c>
      <c r="M108" s="4">
        <f t="shared" si="26"/>
        <v>1</v>
      </c>
      <c r="N108" s="4">
        <f t="shared" si="21"/>
        <v>0</v>
      </c>
      <c r="O108" s="4">
        <f t="shared" si="27"/>
        <v>0.4761274782385421</v>
      </c>
      <c r="P108" s="10">
        <f t="shared" si="28"/>
        <v>-1.571220678187189</v>
      </c>
      <c r="Q108" s="10">
        <f t="shared" si="29"/>
        <v>0</v>
      </c>
      <c r="R108" s="4">
        <f t="shared" si="30"/>
        <v>0</v>
      </c>
      <c r="S108" s="4">
        <f t="shared" si="22"/>
        <v>0</v>
      </c>
      <c r="T108" s="4">
        <f t="shared" si="32"/>
        <v>307.47735388390123</v>
      </c>
      <c r="U108" s="4">
        <f t="shared" si="31"/>
        <v>307.47735388390123</v>
      </c>
      <c r="V108" s="4">
        <f t="shared" si="23"/>
        <v>0</v>
      </c>
      <c r="W108" s="4">
        <f t="shared" si="24"/>
        <v>0.17192579451365597</v>
      </c>
    </row>
    <row r="109" spans="2:23" ht="12.75">
      <c r="B109" s="19">
        <v>74</v>
      </c>
      <c r="C109" s="58">
        <v>36964</v>
      </c>
      <c r="D109" s="50">
        <v>0</v>
      </c>
      <c r="E109" s="10">
        <f ca="1" t="shared" si="18"/>
        <v>11.1</v>
      </c>
      <c r="F109" s="10">
        <f ca="1" t="shared" si="18"/>
        <v>1.777</v>
      </c>
      <c r="G109" s="10">
        <f ca="1" t="shared" si="18"/>
        <v>0</v>
      </c>
      <c r="H109" s="10">
        <f t="shared" si="25"/>
        <v>11.1</v>
      </c>
      <c r="I109" s="10">
        <f>IF((SUM(H$36:H109)&gt;GDD_budbreak),(IF(((E109-10)&gt;0),(E109-10),0)),0)</f>
        <v>0</v>
      </c>
      <c r="J109" s="4">
        <f>IF((B109&lt;LeafDropDay),(SUM(I$36:I109)),0)</f>
        <v>0</v>
      </c>
      <c r="K109" s="4">
        <f t="shared" si="19"/>
        <v>0</v>
      </c>
      <c r="L109" s="4">
        <f t="shared" si="20"/>
        <v>0</v>
      </c>
      <c r="M109" s="4">
        <f t="shared" si="26"/>
        <v>1</v>
      </c>
      <c r="N109" s="4">
        <f t="shared" si="21"/>
        <v>0</v>
      </c>
      <c r="O109" s="4">
        <f t="shared" si="27"/>
        <v>0.4708972034815464</v>
      </c>
      <c r="P109" s="10">
        <f t="shared" si="28"/>
        <v>-0.8367843305867079</v>
      </c>
      <c r="Q109" s="10">
        <f t="shared" si="29"/>
        <v>0</v>
      </c>
      <c r="R109" s="4">
        <f t="shared" si="30"/>
        <v>0</v>
      </c>
      <c r="S109" s="4">
        <f t="shared" si="22"/>
        <v>0</v>
      </c>
      <c r="T109" s="4">
        <f t="shared" si="32"/>
        <v>306.64056955331455</v>
      </c>
      <c r="U109" s="4">
        <f t="shared" si="31"/>
        <v>306.64056955331455</v>
      </c>
      <c r="V109" s="4">
        <f t="shared" si="23"/>
        <v>0</v>
      </c>
      <c r="W109" s="4">
        <f t="shared" si="24"/>
        <v>0.17466066602382457</v>
      </c>
    </row>
    <row r="110" spans="2:23" ht="12.75">
      <c r="B110" s="19">
        <v>75</v>
      </c>
      <c r="C110" s="58">
        <v>36965</v>
      </c>
      <c r="D110" s="50">
        <v>0</v>
      </c>
      <c r="E110" s="10">
        <f ca="1" t="shared" si="18"/>
        <v>12.2</v>
      </c>
      <c r="F110" s="10">
        <f ca="1" t="shared" si="18"/>
        <v>3.3</v>
      </c>
      <c r="G110" s="10">
        <f ca="1" t="shared" si="18"/>
        <v>0.254</v>
      </c>
      <c r="H110" s="10">
        <f t="shared" si="25"/>
        <v>12.2</v>
      </c>
      <c r="I110" s="10">
        <f>IF((SUM(H$36:H110)&gt;GDD_budbreak),(IF(((E110-10)&gt;0),(E110-10),0)),0)</f>
        <v>0</v>
      </c>
      <c r="J110" s="4">
        <f>IF((B110&lt;LeafDropDay),(SUM(I$36:I110)),0)</f>
        <v>0</v>
      </c>
      <c r="K110" s="4">
        <f t="shared" si="19"/>
        <v>0</v>
      </c>
      <c r="L110" s="4">
        <f t="shared" si="20"/>
        <v>0</v>
      </c>
      <c r="M110" s="4">
        <f t="shared" si="26"/>
        <v>1</v>
      </c>
      <c r="N110" s="4">
        <f t="shared" si="21"/>
        <v>0</v>
      </c>
      <c r="O110" s="4">
        <f t="shared" si="27"/>
        <v>0.46757459244621075</v>
      </c>
      <c r="P110" s="10">
        <f t="shared" si="28"/>
        <v>-1.5429961550724953</v>
      </c>
      <c r="Q110" s="10">
        <f t="shared" si="29"/>
        <v>0</v>
      </c>
      <c r="R110" s="4">
        <f t="shared" si="30"/>
        <v>0</v>
      </c>
      <c r="S110" s="4">
        <f t="shared" si="22"/>
        <v>0</v>
      </c>
      <c r="T110" s="4">
        <f t="shared" si="32"/>
        <v>305.35157339824207</v>
      </c>
      <c r="U110" s="4">
        <f t="shared" si="31"/>
        <v>305.35157339824207</v>
      </c>
      <c r="V110" s="4">
        <f t="shared" si="23"/>
        <v>0</v>
      </c>
      <c r="W110" s="4">
        <f t="shared" si="24"/>
        <v>0.17897398932053335</v>
      </c>
    </row>
    <row r="111" spans="2:23" ht="12.75">
      <c r="B111" s="19">
        <v>76</v>
      </c>
      <c r="C111" s="58">
        <v>36966</v>
      </c>
      <c r="D111" s="50">
        <v>0</v>
      </c>
      <c r="E111" s="10">
        <f ca="1" t="shared" si="18"/>
        <v>14.75</v>
      </c>
      <c r="F111" s="10">
        <f ca="1" t="shared" si="18"/>
        <v>3.3</v>
      </c>
      <c r="G111" s="10">
        <f ca="1" t="shared" si="18"/>
        <v>0</v>
      </c>
      <c r="H111" s="10">
        <f t="shared" si="25"/>
        <v>14.75</v>
      </c>
      <c r="I111" s="10">
        <f>IF((SUM(H$36:H111)&gt;GDD_budbreak),(IF(((E111-10)&gt;0),(E111-10),0)),0)</f>
        <v>0</v>
      </c>
      <c r="J111" s="4">
        <f>IF((B111&lt;LeafDropDay),(SUM(I$36:I111)),0)</f>
        <v>0</v>
      </c>
      <c r="K111" s="4">
        <f t="shared" si="19"/>
        <v>0</v>
      </c>
      <c r="L111" s="4">
        <f t="shared" si="20"/>
        <v>0</v>
      </c>
      <c r="M111" s="4">
        <f t="shared" si="26"/>
        <v>1</v>
      </c>
      <c r="N111" s="4">
        <f t="shared" si="21"/>
        <v>0</v>
      </c>
      <c r="O111" s="4">
        <f t="shared" si="27"/>
        <v>0.46245638851623716</v>
      </c>
      <c r="P111" s="10">
        <f t="shared" si="28"/>
        <v>-1.5261060821035826</v>
      </c>
      <c r="Q111" s="10">
        <f t="shared" si="29"/>
        <v>0</v>
      </c>
      <c r="R111" s="4">
        <f t="shared" si="30"/>
        <v>0</v>
      </c>
      <c r="S111" s="4">
        <f t="shared" si="22"/>
        <v>0</v>
      </c>
      <c r="T111" s="4">
        <f t="shared" si="32"/>
        <v>303.8254673161385</v>
      </c>
      <c r="U111" s="4">
        <f t="shared" si="31"/>
        <v>303.8254673161385</v>
      </c>
      <c r="V111" s="4">
        <f t="shared" si="23"/>
        <v>0</v>
      </c>
      <c r="W111" s="4">
        <f t="shared" si="24"/>
        <v>0.18424325882751108</v>
      </c>
    </row>
    <row r="112" spans="2:23" ht="12.75">
      <c r="B112" s="19">
        <v>77</v>
      </c>
      <c r="C112" s="58">
        <v>36967</v>
      </c>
      <c r="D112" s="50">
        <v>0</v>
      </c>
      <c r="E112" s="10">
        <f ca="1" t="shared" si="18"/>
        <v>16.15</v>
      </c>
      <c r="F112" s="10">
        <f ca="1" t="shared" si="18"/>
        <v>3.553</v>
      </c>
      <c r="G112" s="10">
        <f ca="1" t="shared" si="18"/>
        <v>0</v>
      </c>
      <c r="H112" s="10">
        <f t="shared" si="25"/>
        <v>16.15</v>
      </c>
      <c r="I112" s="10">
        <f>IF((SUM(H$36:H112)&gt;GDD_budbreak),(IF(((E112-10)&gt;0),(E112-10),0)),0)</f>
        <v>0</v>
      </c>
      <c r="J112" s="4">
        <f>IF((B112&lt;LeafDropDay),(SUM(I$36:I112)),0)</f>
        <v>0</v>
      </c>
      <c r="K112" s="4">
        <f t="shared" si="19"/>
        <v>0</v>
      </c>
      <c r="L112" s="4">
        <f t="shared" si="20"/>
        <v>0</v>
      </c>
      <c r="M112" s="4">
        <f t="shared" si="26"/>
        <v>1</v>
      </c>
      <c r="N112" s="4">
        <f t="shared" si="21"/>
        <v>0</v>
      </c>
      <c r="O112" s="4">
        <f t="shared" si="27"/>
        <v>0.4563966946092837</v>
      </c>
      <c r="P112" s="10">
        <f t="shared" si="28"/>
        <v>-1.621577455946785</v>
      </c>
      <c r="Q112" s="10">
        <f t="shared" si="29"/>
        <v>0</v>
      </c>
      <c r="R112" s="4">
        <f t="shared" si="30"/>
        <v>0</v>
      </c>
      <c r="S112" s="4">
        <f t="shared" si="22"/>
        <v>0</v>
      </c>
      <c r="T112" s="4">
        <f t="shared" si="32"/>
        <v>302.2038898601917</v>
      </c>
      <c r="U112" s="4">
        <f t="shared" si="31"/>
        <v>302.2038898601917</v>
      </c>
      <c r="V112" s="4">
        <f t="shared" si="23"/>
        <v>0</v>
      </c>
      <c r="W112" s="4">
        <f t="shared" si="24"/>
        <v>0.19004270017628636</v>
      </c>
    </row>
    <row r="113" spans="2:23" ht="12.75">
      <c r="B113" s="19">
        <v>78</v>
      </c>
      <c r="C113" s="58">
        <v>36968</v>
      </c>
      <c r="D113" s="50">
        <v>0</v>
      </c>
      <c r="E113" s="10">
        <f ca="1" t="shared" si="18"/>
        <v>17.5</v>
      </c>
      <c r="F113" s="10">
        <f ca="1" t="shared" si="18"/>
        <v>3.3</v>
      </c>
      <c r="G113" s="10">
        <f ca="1" t="shared" si="18"/>
        <v>0</v>
      </c>
      <c r="H113" s="10">
        <f t="shared" si="25"/>
        <v>17.5</v>
      </c>
      <c r="I113" s="10">
        <f>IF((SUM(H$36:H113)&gt;GDD_budbreak),(IF(((E113-10)&gt;0),(E113-10),0)),0)</f>
        <v>0</v>
      </c>
      <c r="J113" s="4">
        <f>IF((B113&lt;LeafDropDay),(SUM(I$36:I113)),0)</f>
        <v>0</v>
      </c>
      <c r="K113" s="4">
        <f t="shared" si="19"/>
        <v>0</v>
      </c>
      <c r="L113" s="4">
        <f t="shared" si="20"/>
        <v>0</v>
      </c>
      <c r="M113" s="4">
        <f t="shared" si="26"/>
        <v>1</v>
      </c>
      <c r="N113" s="4">
        <f t="shared" si="21"/>
        <v>0</v>
      </c>
      <c r="O113" s="4">
        <f t="shared" si="27"/>
        <v>0.44995791348870173</v>
      </c>
      <c r="P113" s="10">
        <f t="shared" si="28"/>
        <v>-1.4848611145127157</v>
      </c>
      <c r="Q113" s="10">
        <f t="shared" si="29"/>
        <v>0</v>
      </c>
      <c r="R113" s="4">
        <f t="shared" si="30"/>
        <v>0</v>
      </c>
      <c r="S113" s="4">
        <f t="shared" si="22"/>
        <v>0</v>
      </c>
      <c r="T113" s="4">
        <f t="shared" si="32"/>
        <v>300.71902874567894</v>
      </c>
      <c r="U113" s="4">
        <f t="shared" si="31"/>
        <v>300.71902874567894</v>
      </c>
      <c r="V113" s="4">
        <f t="shared" si="23"/>
        <v>0</v>
      </c>
      <c r="W113" s="4">
        <f t="shared" si="24"/>
        <v>0.1955417454095781</v>
      </c>
    </row>
    <row r="114" spans="2:23" ht="12.75">
      <c r="B114" s="19">
        <v>79</v>
      </c>
      <c r="C114" s="58">
        <v>36969</v>
      </c>
      <c r="D114" s="50">
        <v>0</v>
      </c>
      <c r="E114" s="10">
        <f ca="1" t="shared" si="18"/>
        <v>18.9</v>
      </c>
      <c r="F114" s="10">
        <f ca="1" t="shared" si="18"/>
        <v>3.807</v>
      </c>
      <c r="G114" s="10">
        <f ca="1" t="shared" si="18"/>
        <v>0</v>
      </c>
      <c r="H114" s="10">
        <f t="shared" si="25"/>
        <v>18.9</v>
      </c>
      <c r="I114" s="10">
        <f>IF((SUM(H$36:H114)&gt;GDD_budbreak),(IF(((E114-10)&gt;0),(E114-10),0)),0)</f>
        <v>0</v>
      </c>
      <c r="J114" s="4">
        <f>IF((B114&lt;LeafDropDay),(SUM(I$36:I114)),0)</f>
        <v>0</v>
      </c>
      <c r="K114" s="4">
        <f t="shared" si="19"/>
        <v>0</v>
      </c>
      <c r="L114" s="4">
        <f t="shared" si="20"/>
        <v>0</v>
      </c>
      <c r="M114" s="4">
        <f t="shared" si="26"/>
        <v>1</v>
      </c>
      <c r="N114" s="4">
        <f t="shared" si="21"/>
        <v>0</v>
      </c>
      <c r="O114" s="4">
        <f t="shared" si="27"/>
        <v>0.44406199055529566</v>
      </c>
      <c r="P114" s="10">
        <f t="shared" si="28"/>
        <v>-1.6905439980440105</v>
      </c>
      <c r="Q114" s="10">
        <f t="shared" si="29"/>
        <v>0</v>
      </c>
      <c r="R114" s="4">
        <f t="shared" si="30"/>
        <v>0</v>
      </c>
      <c r="S114" s="4">
        <f t="shared" si="22"/>
        <v>0</v>
      </c>
      <c r="T114" s="4">
        <f t="shared" si="32"/>
        <v>299.02848474763493</v>
      </c>
      <c r="U114" s="4">
        <f t="shared" si="31"/>
        <v>299.02848474763493</v>
      </c>
      <c r="V114" s="4">
        <f t="shared" si="23"/>
        <v>0</v>
      </c>
      <c r="W114" s="4">
        <f t="shared" si="24"/>
        <v>0.20203122334124252</v>
      </c>
    </row>
    <row r="115" spans="2:23" ht="12.75">
      <c r="B115" s="19">
        <v>80</v>
      </c>
      <c r="C115" s="58">
        <v>36970</v>
      </c>
      <c r="D115" s="50">
        <v>0</v>
      </c>
      <c r="E115" s="10">
        <f ca="1" t="shared" si="18"/>
        <v>14.45</v>
      </c>
      <c r="F115" s="10">
        <f ca="1" t="shared" si="18"/>
        <v>3.3</v>
      </c>
      <c r="G115" s="10">
        <f ca="1" t="shared" si="18"/>
        <v>0</v>
      </c>
      <c r="H115" s="10">
        <f t="shared" si="25"/>
        <v>14.45</v>
      </c>
      <c r="I115" s="10">
        <f>IF((SUM(H$36:H115)&gt;GDD_budbreak),(IF(((E115-10)&gt;0),(E115-10),0)),0)</f>
        <v>0</v>
      </c>
      <c r="J115" s="4">
        <f>IF((B115&lt;LeafDropDay),(SUM(I$36:I115)),0)</f>
        <v>0</v>
      </c>
      <c r="K115" s="4">
        <f t="shared" si="19"/>
        <v>0</v>
      </c>
      <c r="L115" s="4">
        <f t="shared" si="20"/>
        <v>0</v>
      </c>
      <c r="M115" s="4">
        <f t="shared" si="26"/>
        <v>1</v>
      </c>
      <c r="N115" s="4">
        <f t="shared" si="21"/>
        <v>0</v>
      </c>
      <c r="O115" s="4">
        <f t="shared" si="27"/>
        <v>0.4373493646870707</v>
      </c>
      <c r="P115" s="10">
        <f t="shared" si="28"/>
        <v>-1.4432529034673331</v>
      </c>
      <c r="Q115" s="10">
        <f t="shared" si="29"/>
        <v>0</v>
      </c>
      <c r="R115" s="4">
        <f t="shared" si="30"/>
        <v>0</v>
      </c>
      <c r="S115" s="4">
        <f t="shared" si="22"/>
        <v>0</v>
      </c>
      <c r="T115" s="4">
        <f t="shared" si="32"/>
        <v>297.5852318441676</v>
      </c>
      <c r="U115" s="4">
        <f t="shared" si="31"/>
        <v>297.5852318441676</v>
      </c>
      <c r="V115" s="4">
        <f t="shared" si="23"/>
        <v>0</v>
      </c>
      <c r="W115" s="4">
        <f t="shared" si="24"/>
        <v>0.20777198222386573</v>
      </c>
    </row>
    <row r="116" spans="2:23" ht="12.75">
      <c r="B116" s="19">
        <v>81</v>
      </c>
      <c r="C116" s="58">
        <v>36971</v>
      </c>
      <c r="D116" s="50">
        <v>0</v>
      </c>
      <c r="E116" s="10">
        <f ca="1" t="shared" si="33" ref="E116:G135">INDIRECT(WeatherSheet&amp;"!"&amp;E485)</f>
        <v>13.6</v>
      </c>
      <c r="F116" s="10">
        <f ca="1" t="shared" si="33"/>
        <v>2.538</v>
      </c>
      <c r="G116" s="10">
        <f ca="1" t="shared" si="33"/>
        <v>0</v>
      </c>
      <c r="H116" s="10">
        <f t="shared" si="25"/>
        <v>13.6</v>
      </c>
      <c r="I116" s="10">
        <f>IF((SUM(H$36:H116)&gt;GDD_budbreak),(IF(((E116-10)&gt;0),(E116-10),0)),0)</f>
        <v>0</v>
      </c>
      <c r="J116" s="4">
        <f>IF((B116&lt;LeafDropDay),(SUM(I$36:I116)),0)</f>
        <v>0</v>
      </c>
      <c r="K116" s="4">
        <f t="shared" si="19"/>
        <v>0</v>
      </c>
      <c r="L116" s="4">
        <f t="shared" si="20"/>
        <v>0</v>
      </c>
      <c r="M116" s="4">
        <f t="shared" si="26"/>
        <v>1</v>
      </c>
      <c r="N116" s="4">
        <f t="shared" si="21"/>
        <v>0</v>
      </c>
      <c r="O116" s="4">
        <f t="shared" si="27"/>
        <v>0.43161865505430463</v>
      </c>
      <c r="P116" s="10">
        <f t="shared" si="28"/>
        <v>-1.0954481465278252</v>
      </c>
      <c r="Q116" s="10">
        <f t="shared" si="29"/>
        <v>0</v>
      </c>
      <c r="R116" s="4">
        <f t="shared" si="30"/>
        <v>0</v>
      </c>
      <c r="S116" s="4">
        <f t="shared" si="22"/>
        <v>0</v>
      </c>
      <c r="T116" s="4">
        <f t="shared" si="32"/>
        <v>296.4897836976398</v>
      </c>
      <c r="U116" s="4">
        <f t="shared" si="31"/>
        <v>296.4897836976398</v>
      </c>
      <c r="V116" s="4">
        <f t="shared" si="23"/>
        <v>0</v>
      </c>
      <c r="W116" s="4">
        <f t="shared" si="24"/>
        <v>0.21225722885575568</v>
      </c>
    </row>
    <row r="117" spans="2:23" ht="12.75">
      <c r="B117" s="19">
        <v>82</v>
      </c>
      <c r="C117" s="58">
        <v>36972</v>
      </c>
      <c r="D117" s="50">
        <v>0</v>
      </c>
      <c r="E117" s="10">
        <f ca="1" t="shared" si="33"/>
        <v>14.7</v>
      </c>
      <c r="F117" s="10">
        <f ca="1" t="shared" si="33"/>
        <v>3.553</v>
      </c>
      <c r="G117" s="10">
        <f ca="1" t="shared" si="33"/>
        <v>0</v>
      </c>
      <c r="H117" s="10">
        <f t="shared" si="25"/>
        <v>14.7</v>
      </c>
      <c r="I117" s="10">
        <f>IF((SUM(H$36:H117)&gt;GDD_budbreak),(IF(((E117-10)&gt;0),(E117-10),0)),0)</f>
        <v>0</v>
      </c>
      <c r="J117" s="4">
        <f>IF((B117&lt;LeafDropDay),(SUM(I$36:I117)),0)</f>
        <v>0</v>
      </c>
      <c r="K117" s="4">
        <f t="shared" si="19"/>
        <v>0</v>
      </c>
      <c r="L117" s="4">
        <f t="shared" si="20"/>
        <v>0</v>
      </c>
      <c r="M117" s="4">
        <f t="shared" si="26"/>
        <v>1</v>
      </c>
      <c r="N117" s="4">
        <f t="shared" si="21"/>
        <v>0</v>
      </c>
      <c r="O117" s="4">
        <f t="shared" si="27"/>
        <v>0.4272689702343948</v>
      </c>
      <c r="P117" s="10">
        <f t="shared" si="28"/>
        <v>-1.5180866512428046</v>
      </c>
      <c r="Q117" s="10">
        <f t="shared" si="29"/>
        <v>0</v>
      </c>
      <c r="R117" s="4">
        <f t="shared" si="30"/>
        <v>0</v>
      </c>
      <c r="S117" s="4">
        <f t="shared" si="22"/>
        <v>0</v>
      </c>
      <c r="T117" s="4">
        <f t="shared" si="32"/>
        <v>294.97169704639697</v>
      </c>
      <c r="U117" s="4">
        <f t="shared" si="31"/>
        <v>294.97169704639697</v>
      </c>
      <c r="V117" s="4">
        <f t="shared" si="23"/>
        <v>0</v>
      </c>
      <c r="W117" s="4">
        <f t="shared" si="24"/>
        <v>0.2186620544375337</v>
      </c>
    </row>
    <row r="118" spans="2:23" ht="12.75">
      <c r="B118" s="19">
        <v>83</v>
      </c>
      <c r="C118" s="58">
        <v>36973</v>
      </c>
      <c r="D118" s="50">
        <v>0</v>
      </c>
      <c r="E118" s="10">
        <f ca="1" t="shared" si="33"/>
        <v>13.9</v>
      </c>
      <c r="F118" s="10">
        <f ca="1" t="shared" si="33"/>
        <v>1.523</v>
      </c>
      <c r="G118" s="10">
        <f ca="1" t="shared" si="33"/>
        <v>6.091</v>
      </c>
      <c r="H118" s="10">
        <f t="shared" si="25"/>
        <v>13.9</v>
      </c>
      <c r="I118" s="10">
        <f>IF((SUM(H$36:H118)&gt;GDD_budbreak),(IF(((E118-10)&gt;0),(E118-10),0)),0)</f>
        <v>0</v>
      </c>
      <c r="J118" s="4">
        <f>IF((B118&lt;LeafDropDay),(SUM(I$36:I118)),0)</f>
        <v>0</v>
      </c>
      <c r="K118" s="4">
        <f t="shared" si="19"/>
        <v>0</v>
      </c>
      <c r="L118" s="4">
        <f t="shared" si="20"/>
        <v>0</v>
      </c>
      <c r="M118" s="4">
        <f t="shared" si="26"/>
        <v>1</v>
      </c>
      <c r="N118" s="4">
        <f t="shared" si="21"/>
        <v>0</v>
      </c>
      <c r="O118" s="4">
        <f t="shared" si="27"/>
        <v>0.4212411190000407</v>
      </c>
      <c r="P118" s="10">
        <f t="shared" si="28"/>
        <v>-0.641550224237062</v>
      </c>
      <c r="Q118" s="10">
        <f t="shared" si="29"/>
        <v>0</v>
      </c>
      <c r="R118" s="4">
        <f t="shared" si="30"/>
        <v>0</v>
      </c>
      <c r="S118" s="4">
        <f t="shared" si="22"/>
        <v>0</v>
      </c>
      <c r="T118" s="4">
        <f t="shared" si="32"/>
        <v>300.4211468221599</v>
      </c>
      <c r="U118" s="4">
        <f t="shared" si="31"/>
        <v>300.4211468221599</v>
      </c>
      <c r="V118" s="4">
        <f t="shared" si="23"/>
        <v>0</v>
      </c>
      <c r="W118" s="4">
        <f t="shared" si="24"/>
        <v>0.19666727555333996</v>
      </c>
    </row>
    <row r="119" spans="2:23" ht="12.75">
      <c r="B119" s="19">
        <v>84</v>
      </c>
      <c r="C119" s="58">
        <v>36974</v>
      </c>
      <c r="D119" s="50">
        <v>0</v>
      </c>
      <c r="E119" s="10">
        <f ca="1" t="shared" si="33"/>
        <v>13.35</v>
      </c>
      <c r="F119" s="10">
        <f ca="1" t="shared" si="33"/>
        <v>3.3</v>
      </c>
      <c r="G119" s="10">
        <f ca="1" t="shared" si="33"/>
        <v>0.761</v>
      </c>
      <c r="H119" s="10">
        <f t="shared" si="25"/>
        <v>13.35</v>
      </c>
      <c r="I119" s="10">
        <f>IF((SUM(H$36:H119)&gt;GDD_budbreak),(IF(((E119-10)&gt;0),(E119-10),0)),0)</f>
        <v>0</v>
      </c>
      <c r="J119" s="4">
        <f>IF((B119&lt;LeafDropDay),(SUM(I$36:I119)),0)</f>
        <v>0</v>
      </c>
      <c r="K119" s="4">
        <f t="shared" si="19"/>
        <v>0</v>
      </c>
      <c r="L119" s="4">
        <f t="shared" si="20"/>
        <v>0</v>
      </c>
      <c r="M119" s="4">
        <f t="shared" si="26"/>
        <v>1</v>
      </c>
      <c r="N119" s="4">
        <f t="shared" si="21"/>
        <v>0</v>
      </c>
      <c r="O119" s="4">
        <f t="shared" si="27"/>
        <v>0.442879193829624</v>
      </c>
      <c r="P119" s="10">
        <f t="shared" si="28"/>
        <v>-1.461501339637759</v>
      </c>
      <c r="Q119" s="10">
        <f t="shared" si="29"/>
        <v>0</v>
      </c>
      <c r="R119" s="4">
        <f t="shared" si="30"/>
        <v>0</v>
      </c>
      <c r="S119" s="4">
        <f t="shared" si="22"/>
        <v>0</v>
      </c>
      <c r="T119" s="4">
        <f t="shared" si="32"/>
        <v>299.7206454825222</v>
      </c>
      <c r="U119" s="4">
        <f t="shared" si="31"/>
        <v>299.7206454825222</v>
      </c>
      <c r="V119" s="4">
        <f t="shared" si="23"/>
        <v>0</v>
      </c>
      <c r="W119" s="4">
        <f t="shared" si="24"/>
        <v>0.1993441544005932</v>
      </c>
    </row>
    <row r="120" spans="2:23" ht="12.75">
      <c r="B120" s="19">
        <v>85</v>
      </c>
      <c r="C120" s="58">
        <v>36975</v>
      </c>
      <c r="D120" s="50">
        <v>0</v>
      </c>
      <c r="E120" s="10">
        <f ca="1" t="shared" si="33"/>
        <v>13.9</v>
      </c>
      <c r="F120" s="10">
        <f ca="1" t="shared" si="33"/>
        <v>3.807</v>
      </c>
      <c r="G120" s="10">
        <f ca="1" t="shared" si="33"/>
        <v>0</v>
      </c>
      <c r="H120" s="10">
        <f t="shared" si="25"/>
        <v>13.9</v>
      </c>
      <c r="I120" s="10">
        <f>IF((SUM(H$36:H120)&gt;GDD_budbreak),(IF(((E120-10)&gt;0),(E120-10),0)),0)</f>
        <v>0</v>
      </c>
      <c r="J120" s="4">
        <f>IF((B120&lt;LeafDropDay),(SUM(I$36:I120)),0)</f>
        <v>0</v>
      </c>
      <c r="K120" s="4">
        <f t="shared" si="19"/>
        <v>0</v>
      </c>
      <c r="L120" s="4">
        <f t="shared" si="20"/>
        <v>0</v>
      </c>
      <c r="M120" s="4">
        <f t="shared" si="26"/>
        <v>1</v>
      </c>
      <c r="N120" s="4">
        <f t="shared" si="21"/>
        <v>0</v>
      </c>
      <c r="O120" s="4">
        <f t="shared" si="27"/>
        <v>0.4400977202810981</v>
      </c>
      <c r="P120" s="10">
        <f t="shared" si="28"/>
        <v>-1.6754520211101405</v>
      </c>
      <c r="Q120" s="10">
        <f t="shared" si="29"/>
        <v>0</v>
      </c>
      <c r="R120" s="4">
        <f t="shared" si="30"/>
        <v>0</v>
      </c>
      <c r="S120" s="4">
        <f t="shared" si="22"/>
        <v>0</v>
      </c>
      <c r="T120" s="4">
        <f t="shared" si="32"/>
        <v>298.04519346141205</v>
      </c>
      <c r="U120" s="4">
        <f t="shared" si="31"/>
        <v>298.04519346141205</v>
      </c>
      <c r="V120" s="4">
        <f t="shared" si="23"/>
        <v>0</v>
      </c>
      <c r="W120" s="4">
        <f t="shared" si="24"/>
        <v>0.20592189028408836</v>
      </c>
    </row>
    <row r="121" spans="2:23" ht="12.75">
      <c r="B121" s="19">
        <v>86</v>
      </c>
      <c r="C121" s="58">
        <v>36976</v>
      </c>
      <c r="D121" s="50">
        <v>0</v>
      </c>
      <c r="E121" s="10">
        <f ca="1" t="shared" si="33"/>
        <v>15.6</v>
      </c>
      <c r="F121" s="10">
        <f ca="1" t="shared" si="33"/>
        <v>3.807</v>
      </c>
      <c r="G121" s="10">
        <f ca="1" t="shared" si="33"/>
        <v>0</v>
      </c>
      <c r="H121" s="10">
        <f t="shared" si="25"/>
        <v>15.6</v>
      </c>
      <c r="I121" s="10">
        <f>IF((SUM(H$36:H121)&gt;GDD_budbreak),(IF(((E121-10)&gt;0),(E121-10),0)),0)</f>
        <v>0</v>
      </c>
      <c r="J121" s="4">
        <f>IF((B121&lt;LeafDropDay),(SUM(I$36:I121)),0)</f>
        <v>0</v>
      </c>
      <c r="K121" s="4">
        <f t="shared" si="19"/>
        <v>0</v>
      </c>
      <c r="L121" s="4">
        <f t="shared" si="20"/>
        <v>0</v>
      </c>
      <c r="M121" s="4">
        <f t="shared" si="26"/>
        <v>1</v>
      </c>
      <c r="N121" s="4">
        <f t="shared" si="21"/>
        <v>0</v>
      </c>
      <c r="O121" s="4">
        <f t="shared" si="27"/>
        <v>0.43344501997227075</v>
      </c>
      <c r="P121" s="10">
        <f t="shared" si="28"/>
        <v>-1.6501251910344348</v>
      </c>
      <c r="Q121" s="10">
        <f t="shared" si="29"/>
        <v>0</v>
      </c>
      <c r="R121" s="4">
        <f t="shared" si="30"/>
        <v>0</v>
      </c>
      <c r="S121" s="4">
        <f t="shared" si="22"/>
        <v>0</v>
      </c>
      <c r="T121" s="4">
        <f t="shared" si="32"/>
        <v>296.39506827037764</v>
      </c>
      <c r="U121" s="4">
        <f t="shared" si="31"/>
        <v>296.39506827037764</v>
      </c>
      <c r="V121" s="4">
        <f t="shared" si="23"/>
        <v>0</v>
      </c>
      <c r="W121" s="4">
        <f t="shared" si="24"/>
        <v>0.2126503415155755</v>
      </c>
    </row>
    <row r="122" spans="2:23" ht="12.75">
      <c r="B122" s="19">
        <v>87</v>
      </c>
      <c r="C122" s="58">
        <v>36977</v>
      </c>
      <c r="D122" s="50">
        <v>0</v>
      </c>
      <c r="E122" s="10">
        <f ca="1" t="shared" si="33"/>
        <v>18.65</v>
      </c>
      <c r="F122" s="10">
        <f ca="1" t="shared" si="33"/>
        <v>4.315</v>
      </c>
      <c r="G122" s="10">
        <f ca="1" t="shared" si="33"/>
        <v>0</v>
      </c>
      <c r="H122" s="10">
        <f t="shared" si="25"/>
        <v>18.65</v>
      </c>
      <c r="I122" s="10">
        <f>IF((SUM(H$36:H122)&gt;GDD_budbreak),(IF(((E122-10)&gt;0),(E122-10),0)),0)</f>
        <v>8.649999999999999</v>
      </c>
      <c r="J122" s="4">
        <f>IF((B122&lt;LeafDropDay),(SUM(I$36:I122)),0)</f>
        <v>8.649999999999999</v>
      </c>
      <c r="K122" s="4">
        <f t="shared" si="19"/>
        <v>-0.0007752473632363088</v>
      </c>
      <c r="L122" s="4">
        <f t="shared" si="20"/>
        <v>-0.0004652566162426375</v>
      </c>
      <c r="M122" s="4">
        <f t="shared" si="26"/>
        <v>1</v>
      </c>
      <c r="N122" s="4">
        <f t="shared" si="21"/>
        <v>-0.0004652566162426375</v>
      </c>
      <c r="O122" s="4">
        <f t="shared" si="27"/>
        <v>0.42689288465017133</v>
      </c>
      <c r="P122" s="10">
        <f t="shared" si="28"/>
        <v>-1.8420427972654894</v>
      </c>
      <c r="Q122" s="10">
        <f t="shared" si="29"/>
        <v>0.002007582299086981</v>
      </c>
      <c r="R122" s="4">
        <f t="shared" si="30"/>
        <v>0</v>
      </c>
      <c r="S122" s="4">
        <f t="shared" si="22"/>
        <v>0</v>
      </c>
      <c r="T122" s="4">
        <f t="shared" si="32"/>
        <v>294.55503305541123</v>
      </c>
      <c r="U122" s="4">
        <f t="shared" si="31"/>
        <v>294.55503305541123</v>
      </c>
      <c r="V122" s="4">
        <f t="shared" si="23"/>
        <v>0</v>
      </c>
      <c r="W122" s="4">
        <f t="shared" si="24"/>
        <v>0.2204594228580293</v>
      </c>
    </row>
    <row r="123" spans="2:23" ht="12.75">
      <c r="B123" s="19">
        <v>88</v>
      </c>
      <c r="C123" s="58">
        <v>36978</v>
      </c>
      <c r="D123" s="50">
        <v>0</v>
      </c>
      <c r="E123" s="10">
        <f ca="1" t="shared" si="33"/>
        <v>17.5</v>
      </c>
      <c r="F123" s="10">
        <f ca="1" t="shared" si="33"/>
        <v>4.569</v>
      </c>
      <c r="G123" s="10">
        <f ca="1" t="shared" si="33"/>
        <v>0</v>
      </c>
      <c r="H123" s="10">
        <f t="shared" si="25"/>
        <v>17.5</v>
      </c>
      <c r="I123" s="10">
        <f>IF((SUM(H$36:H123)&gt;GDD_budbreak),(IF(((E123-10)&gt;0),(E123-10),0)),0)</f>
        <v>7.5</v>
      </c>
      <c r="J123" s="4">
        <f>IF((B123&lt;LeafDropDay),(SUM(I$36:I123)),0)</f>
        <v>16.15</v>
      </c>
      <c r="K123" s="4">
        <f t="shared" si="19"/>
        <v>0.007207182610948881</v>
      </c>
      <c r="L123" s="4">
        <f t="shared" si="20"/>
        <v>0.004314973202579786</v>
      </c>
      <c r="M123" s="4">
        <f t="shared" si="26"/>
        <v>1</v>
      </c>
      <c r="N123" s="4">
        <f t="shared" si="21"/>
        <v>0.004314973202579786</v>
      </c>
      <c r="O123" s="4">
        <f t="shared" si="27"/>
        <v>0.4195866755265287</v>
      </c>
      <c r="P123" s="10">
        <f t="shared" si="28"/>
        <v>-1.9170915204807095</v>
      </c>
      <c r="Q123" s="10">
        <f t="shared" si="29"/>
        <v>-0.019715112562587043</v>
      </c>
      <c r="R123" s="4">
        <f t="shared" si="30"/>
        <v>0</v>
      </c>
      <c r="S123" s="4">
        <f t="shared" si="22"/>
        <v>0</v>
      </c>
      <c r="T123" s="4">
        <f t="shared" si="32"/>
        <v>292.6182264223679</v>
      </c>
      <c r="U123" s="4">
        <f t="shared" si="31"/>
        <v>292.6182264223679</v>
      </c>
      <c r="V123" s="4">
        <f t="shared" si="23"/>
        <v>0</v>
      </c>
      <c r="W123" s="4">
        <f t="shared" si="24"/>
        <v>0.22904511156597432</v>
      </c>
    </row>
    <row r="124" spans="2:23" ht="12.75">
      <c r="B124" s="19">
        <v>89</v>
      </c>
      <c r="C124" s="58">
        <v>36979</v>
      </c>
      <c r="D124" s="50">
        <v>0</v>
      </c>
      <c r="E124" s="10">
        <f ca="1" t="shared" si="33"/>
        <v>17.8</v>
      </c>
      <c r="F124" s="10">
        <f ca="1" t="shared" si="33"/>
        <v>4.569</v>
      </c>
      <c r="G124" s="10">
        <f ca="1" t="shared" si="33"/>
        <v>0</v>
      </c>
      <c r="H124" s="10">
        <f t="shared" si="25"/>
        <v>17.8</v>
      </c>
      <c r="I124" s="10">
        <f>IF((SUM(H$36:H124)&gt;GDD_budbreak),(IF(((E124-10)&gt;0),(E124-10),0)),0)</f>
        <v>7.800000000000001</v>
      </c>
      <c r="J124" s="4">
        <f>IF((B124&lt;LeafDropDay),(SUM(I$36:I124)),0)</f>
        <v>23.95</v>
      </c>
      <c r="K124" s="4">
        <f t="shared" si="19"/>
        <v>0.01885126170419471</v>
      </c>
      <c r="L124" s="4">
        <f t="shared" si="20"/>
        <v>0.011247030900160215</v>
      </c>
      <c r="M124" s="4">
        <f t="shared" si="26"/>
        <v>1</v>
      </c>
      <c r="N124" s="4">
        <f t="shared" si="21"/>
        <v>0.011247030900160215</v>
      </c>
      <c r="O124" s="4">
        <f t="shared" si="27"/>
        <v>0.4118962171168341</v>
      </c>
      <c r="P124" s="10">
        <f t="shared" si="28"/>
        <v>-1.881953816006815</v>
      </c>
      <c r="Q124" s="10">
        <f t="shared" si="29"/>
        <v>-0.05138768418283202</v>
      </c>
      <c r="R124" s="4">
        <f t="shared" si="30"/>
        <v>0</v>
      </c>
      <c r="S124" s="4">
        <f t="shared" si="22"/>
        <v>0</v>
      </c>
      <c r="T124" s="4">
        <f t="shared" si="32"/>
        <v>290.68488492217824</v>
      </c>
      <c r="U124" s="4">
        <f t="shared" si="31"/>
        <v>290.68488492217824</v>
      </c>
      <c r="V124" s="4">
        <f t="shared" si="23"/>
        <v>0</v>
      </c>
      <c r="W124" s="4">
        <f t="shared" si="24"/>
        <v>0.2380091180000489</v>
      </c>
    </row>
    <row r="125" spans="2:23" ht="12.75">
      <c r="B125" s="19">
        <v>90</v>
      </c>
      <c r="C125" s="58">
        <v>36980</v>
      </c>
      <c r="D125" s="50">
        <v>0</v>
      </c>
      <c r="E125" s="10">
        <f ca="1" t="shared" si="33"/>
        <v>18.35</v>
      </c>
      <c r="F125" s="10">
        <f ca="1" t="shared" si="33"/>
        <v>4.822</v>
      </c>
      <c r="G125" s="10">
        <f ca="1" t="shared" si="33"/>
        <v>0</v>
      </c>
      <c r="H125" s="10">
        <f t="shared" si="25"/>
        <v>18.35</v>
      </c>
      <c r="I125" s="10">
        <f>IF((SUM(H$36:H125)&gt;GDD_budbreak),(IF(((E125-10)&gt;0),(E125-10),0)),0)</f>
        <v>8.350000000000001</v>
      </c>
      <c r="J125" s="4">
        <f>IF((B125&lt;LeafDropDay),(SUM(I$36:I125)),0)</f>
        <v>32.3</v>
      </c>
      <c r="K125" s="4">
        <f t="shared" si="19"/>
        <v>0.026318568280770727</v>
      </c>
      <c r="L125" s="4">
        <f t="shared" si="20"/>
        <v>0.015667114599396292</v>
      </c>
      <c r="M125" s="4">
        <f t="shared" si="26"/>
        <v>1</v>
      </c>
      <c r="N125" s="4">
        <f t="shared" si="21"/>
        <v>0.015667114599396292</v>
      </c>
      <c r="O125" s="4">
        <f t="shared" si="27"/>
        <v>0.40421951767493747</v>
      </c>
      <c r="P125" s="10">
        <f t="shared" si="28"/>
        <v>-1.9491465142285485</v>
      </c>
      <c r="Q125" s="10">
        <f t="shared" si="29"/>
        <v>-0.07554682659828892</v>
      </c>
      <c r="R125" s="4">
        <f t="shared" si="30"/>
        <v>0</v>
      </c>
      <c r="S125" s="4">
        <f t="shared" si="22"/>
        <v>0</v>
      </c>
      <c r="T125" s="4">
        <f t="shared" si="32"/>
        <v>288.6601915813514</v>
      </c>
      <c r="U125" s="4">
        <f t="shared" si="31"/>
        <v>288.6601915813514</v>
      </c>
      <c r="V125" s="4">
        <f t="shared" si="23"/>
        <v>0</v>
      </c>
      <c r="W125" s="4">
        <f t="shared" si="24"/>
        <v>0.24784105489704417</v>
      </c>
    </row>
    <row r="126" spans="2:23" ht="12.75">
      <c r="B126" s="19">
        <v>91</v>
      </c>
      <c r="C126" s="58">
        <v>36981</v>
      </c>
      <c r="D126" s="50">
        <v>0</v>
      </c>
      <c r="E126" s="10">
        <f ca="1" t="shared" si="33"/>
        <v>14.45</v>
      </c>
      <c r="F126" s="10">
        <f ca="1" t="shared" si="33"/>
        <v>4.061</v>
      </c>
      <c r="G126" s="10">
        <f ca="1" t="shared" si="33"/>
        <v>0</v>
      </c>
      <c r="H126" s="10">
        <f t="shared" si="25"/>
        <v>14.45</v>
      </c>
      <c r="I126" s="10">
        <f>IF((SUM(H$36:H126)&gt;GDD_budbreak),(IF(((E126-10)&gt;0),(E126-10),0)),0)</f>
        <v>4.449999999999999</v>
      </c>
      <c r="J126" s="4">
        <f>IF((B126&lt;LeafDropDay),(SUM(I$36:I126)),0)</f>
        <v>36.75</v>
      </c>
      <c r="K126" s="4">
        <f t="shared" si="19"/>
        <v>0.026318568280770727</v>
      </c>
      <c r="L126" s="4">
        <f t="shared" si="20"/>
        <v>0.015667114599396292</v>
      </c>
      <c r="M126" s="4">
        <f t="shared" si="26"/>
        <v>1</v>
      </c>
      <c r="N126" s="4">
        <f t="shared" si="21"/>
        <v>0.015667114599396292</v>
      </c>
      <c r="O126" s="4">
        <f t="shared" si="27"/>
        <v>0.3961800884080375</v>
      </c>
      <c r="P126" s="10">
        <f t="shared" si="28"/>
        <v>-1.6088873390250402</v>
      </c>
      <c r="Q126" s="10">
        <f t="shared" si="29"/>
        <v>-0.06362415238814834</v>
      </c>
      <c r="R126" s="4">
        <f t="shared" si="30"/>
        <v>0</v>
      </c>
      <c r="S126" s="4">
        <f t="shared" si="22"/>
        <v>0</v>
      </c>
      <c r="T126" s="4">
        <f t="shared" si="32"/>
        <v>286.98768008993824</v>
      </c>
      <c r="U126" s="4">
        <f t="shared" si="31"/>
        <v>286.98768008993824</v>
      </c>
      <c r="V126" s="4">
        <f t="shared" si="23"/>
        <v>0</v>
      </c>
      <c r="W126" s="4">
        <f t="shared" si="24"/>
        <v>0.25632342075589426</v>
      </c>
    </row>
    <row r="127" spans="2:23" ht="12.75">
      <c r="B127" s="19">
        <v>92</v>
      </c>
      <c r="C127" s="58">
        <v>36982</v>
      </c>
      <c r="D127" s="50">
        <v>0</v>
      </c>
      <c r="E127" s="10">
        <f ca="1" t="shared" si="33"/>
        <v>8.35</v>
      </c>
      <c r="F127" s="10">
        <f ca="1" t="shared" si="33"/>
        <v>3.807</v>
      </c>
      <c r="G127" s="10">
        <f ca="1" t="shared" si="33"/>
        <v>0</v>
      </c>
      <c r="H127" s="10">
        <f t="shared" si="25"/>
        <v>8.35</v>
      </c>
      <c r="I127" s="10">
        <f>IF((SUM(H$36:H127)&gt;GDD_budbreak),(IF(((E127-10)&gt;0),(E127-10),0)),0)</f>
        <v>0</v>
      </c>
      <c r="J127" s="4">
        <f>IF((B127&lt;LeafDropDay),(SUM(I$36:I127)),0)</f>
        <v>36.75</v>
      </c>
      <c r="K127" s="4">
        <f t="shared" si="19"/>
        <v>0.026318568280770727</v>
      </c>
      <c r="L127" s="4">
        <f t="shared" si="20"/>
        <v>0.015667114599396292</v>
      </c>
      <c r="M127" s="4">
        <f t="shared" si="26"/>
        <v>1</v>
      </c>
      <c r="N127" s="4">
        <f t="shared" si="21"/>
        <v>0.015667114599396292</v>
      </c>
      <c r="O127" s="4">
        <f t="shared" si="27"/>
        <v>0.38953906403058663</v>
      </c>
      <c r="P127" s="10">
        <f t="shared" si="28"/>
        <v>-1.4829752167644432</v>
      </c>
      <c r="Q127" s="10">
        <f t="shared" si="29"/>
        <v>-0.059644705279901684</v>
      </c>
      <c r="R127" s="4">
        <f t="shared" si="30"/>
        <v>0</v>
      </c>
      <c r="S127" s="4">
        <f t="shared" si="22"/>
        <v>0</v>
      </c>
      <c r="T127" s="4">
        <f t="shared" si="32"/>
        <v>285.44506016789387</v>
      </c>
      <c r="U127" s="4">
        <f t="shared" si="31"/>
        <v>285.44506016789387</v>
      </c>
      <c r="V127" s="4">
        <f t="shared" si="23"/>
        <v>0</v>
      </c>
      <c r="W127" s="4">
        <f t="shared" si="24"/>
        <v>0.2644502587758458</v>
      </c>
    </row>
    <row r="128" spans="2:23" ht="12.75">
      <c r="B128" s="19">
        <v>93</v>
      </c>
      <c r="C128" s="58">
        <v>36983</v>
      </c>
      <c r="D128" s="50">
        <v>0</v>
      </c>
      <c r="E128" s="10">
        <f ca="1" t="shared" si="33"/>
        <v>7.8</v>
      </c>
      <c r="F128" s="10">
        <f ca="1" t="shared" si="33"/>
        <v>3.807</v>
      </c>
      <c r="G128" s="10">
        <f ca="1" t="shared" si="33"/>
        <v>0</v>
      </c>
      <c r="H128" s="10">
        <f t="shared" si="25"/>
        <v>7.8</v>
      </c>
      <c r="I128" s="10">
        <f>IF((SUM(H$36:H128)&gt;GDD_budbreak),(IF(((E128-10)&gt;0),(E128-10),0)),0)</f>
        <v>0</v>
      </c>
      <c r="J128" s="4">
        <f>IF((B128&lt;LeafDropDay),(SUM(I$36:I128)),0)</f>
        <v>36.75</v>
      </c>
      <c r="K128" s="4">
        <f t="shared" si="19"/>
        <v>0.026318568280770727</v>
      </c>
      <c r="L128" s="4">
        <f t="shared" si="20"/>
        <v>0.015667114599396292</v>
      </c>
      <c r="M128" s="4">
        <f t="shared" si="26"/>
        <v>1</v>
      </c>
      <c r="N128" s="4">
        <f t="shared" si="21"/>
        <v>0.015667114599396292</v>
      </c>
      <c r="O128" s="4">
        <f t="shared" si="27"/>
        <v>0.3834137987872477</v>
      </c>
      <c r="P128" s="10">
        <f t="shared" si="28"/>
        <v>-1.459656331983052</v>
      </c>
      <c r="Q128" s="10">
        <f t="shared" si="29"/>
        <v>-0.059644705279901684</v>
      </c>
      <c r="R128" s="4">
        <f t="shared" si="30"/>
        <v>0</v>
      </c>
      <c r="S128" s="4">
        <f t="shared" si="22"/>
        <v>0</v>
      </c>
      <c r="T128" s="4">
        <f t="shared" si="32"/>
        <v>283.9257591306309</v>
      </c>
      <c r="U128" s="4">
        <f t="shared" si="31"/>
        <v>283.9257591306309</v>
      </c>
      <c r="V128" s="4">
        <f t="shared" si="23"/>
        <v>0</v>
      </c>
      <c r="W128" s="4">
        <f t="shared" si="24"/>
        <v>0.2727511465880742</v>
      </c>
    </row>
    <row r="129" spans="2:23" ht="12.75">
      <c r="B129" s="19">
        <v>94</v>
      </c>
      <c r="C129" s="58">
        <v>36984</v>
      </c>
      <c r="D129" s="50">
        <v>0</v>
      </c>
      <c r="E129" s="10">
        <f ca="1" t="shared" si="33"/>
        <v>9.45</v>
      </c>
      <c r="F129" s="10">
        <f ca="1" t="shared" si="33"/>
        <v>3.807</v>
      </c>
      <c r="G129" s="10">
        <f ca="1" t="shared" si="33"/>
        <v>0</v>
      </c>
      <c r="H129" s="10">
        <f t="shared" si="25"/>
        <v>9.45</v>
      </c>
      <c r="I129" s="10">
        <f>IF((SUM(H$36:H129)&gt;GDD_budbreak),(IF(((E129-10)&gt;0),(E129-10),0)),0)</f>
        <v>0</v>
      </c>
      <c r="J129" s="4">
        <f>IF((B129&lt;LeafDropDay),(SUM(I$36:I129)),0)</f>
        <v>36.75</v>
      </c>
      <c r="K129" s="4">
        <f t="shared" si="19"/>
        <v>0.0268528063071109</v>
      </c>
      <c r="L129" s="4">
        <f t="shared" si="20"/>
        <v>0.015982584870605443</v>
      </c>
      <c r="M129" s="4">
        <f t="shared" si="26"/>
        <v>1</v>
      </c>
      <c r="N129" s="4">
        <f t="shared" si="21"/>
        <v>0.015982584870605443</v>
      </c>
      <c r="O129" s="4">
        <f t="shared" si="27"/>
        <v>0.37738112560266796</v>
      </c>
      <c r="P129" s="10">
        <f t="shared" si="28"/>
        <v>-1.4366899451693569</v>
      </c>
      <c r="Q129" s="10">
        <f t="shared" si="29"/>
        <v>-0.06084570060239492</v>
      </c>
      <c r="R129" s="4">
        <f t="shared" si="30"/>
        <v>0</v>
      </c>
      <c r="S129" s="4">
        <f t="shared" si="22"/>
        <v>0</v>
      </c>
      <c r="T129" s="4">
        <f t="shared" si="32"/>
        <v>282.4282234848592</v>
      </c>
      <c r="U129" s="4">
        <f t="shared" si="31"/>
        <v>282.4282234848592</v>
      </c>
      <c r="V129" s="4">
        <f t="shared" si="23"/>
        <v>0</v>
      </c>
      <c r="W129" s="4">
        <f t="shared" si="24"/>
        <v>0.2812336974925381</v>
      </c>
    </row>
    <row r="130" spans="2:23" ht="12.75">
      <c r="B130" s="19">
        <v>95</v>
      </c>
      <c r="C130" s="58">
        <v>36985</v>
      </c>
      <c r="D130" s="50">
        <v>0</v>
      </c>
      <c r="E130" s="10">
        <f ca="1" t="shared" si="33"/>
        <v>10.3</v>
      </c>
      <c r="F130" s="10">
        <f ca="1" t="shared" si="33"/>
        <v>4.569</v>
      </c>
      <c r="G130" s="10">
        <f ca="1" t="shared" si="33"/>
        <v>0</v>
      </c>
      <c r="H130" s="10">
        <f t="shared" si="25"/>
        <v>10.3</v>
      </c>
      <c r="I130" s="10">
        <f>IF((SUM(H$36:H130)&gt;GDD_budbreak),(IF(((E130-10)&gt;0),(E130-10),0)),0)</f>
        <v>0.3000000000000007</v>
      </c>
      <c r="J130" s="4">
        <f>IF((B130&lt;LeafDropDay),(SUM(I$36:I130)),0)</f>
        <v>37.05</v>
      </c>
      <c r="K130" s="4">
        <f t="shared" si="19"/>
        <v>0.0268528063071109</v>
      </c>
      <c r="L130" s="4">
        <f t="shared" si="20"/>
        <v>0.015982584870605443</v>
      </c>
      <c r="M130" s="4">
        <f t="shared" si="26"/>
        <v>1</v>
      </c>
      <c r="N130" s="4">
        <f t="shared" si="21"/>
        <v>0.015982584870605443</v>
      </c>
      <c r="O130" s="4">
        <f t="shared" si="27"/>
        <v>0.3714348760368316</v>
      </c>
      <c r="P130" s="10">
        <f t="shared" si="28"/>
        <v>-1.6970859486122836</v>
      </c>
      <c r="Q130" s="10">
        <f t="shared" si="29"/>
        <v>-0.07302443027379626</v>
      </c>
      <c r="R130" s="4">
        <f t="shared" si="30"/>
        <v>0</v>
      </c>
      <c r="S130" s="4">
        <f t="shared" si="22"/>
        <v>0</v>
      </c>
      <c r="T130" s="4">
        <f t="shared" si="32"/>
        <v>280.6581131059731</v>
      </c>
      <c r="U130" s="4">
        <f t="shared" si="31"/>
        <v>280.6581131059731</v>
      </c>
      <c r="V130" s="4">
        <f t="shared" si="23"/>
        <v>0</v>
      </c>
      <c r="W130" s="4">
        <f t="shared" si="24"/>
        <v>0.2916623195767627</v>
      </c>
    </row>
    <row r="131" spans="2:23" ht="12.75">
      <c r="B131" s="19">
        <v>96</v>
      </c>
      <c r="C131" s="58">
        <v>36986</v>
      </c>
      <c r="D131" s="50">
        <v>0</v>
      </c>
      <c r="E131" s="10">
        <f ca="1" t="shared" si="33"/>
        <v>9.15</v>
      </c>
      <c r="F131" s="10">
        <f ca="1" t="shared" si="33"/>
        <v>1.015</v>
      </c>
      <c r="G131" s="10">
        <f ca="1" t="shared" si="33"/>
        <v>5.33</v>
      </c>
      <c r="H131" s="10">
        <f t="shared" si="25"/>
        <v>9.15</v>
      </c>
      <c r="I131" s="10">
        <f>IF((SUM(H$36:H131)&gt;GDD_budbreak),(IF(((E131-10)&gt;0),(E131-10),0)),0)</f>
        <v>0</v>
      </c>
      <c r="J131" s="4">
        <f>IF((B131&lt;LeafDropDay),(SUM(I$36:I131)),0)</f>
        <v>37.05</v>
      </c>
      <c r="K131" s="4">
        <f t="shared" si="19"/>
        <v>0.0268528063071109</v>
      </c>
      <c r="L131" s="4">
        <f t="shared" si="20"/>
        <v>0.015982584870605443</v>
      </c>
      <c r="M131" s="4">
        <f t="shared" si="26"/>
        <v>1</v>
      </c>
      <c r="N131" s="4">
        <f t="shared" si="21"/>
        <v>0.015982584870605443</v>
      </c>
      <c r="O131" s="4">
        <f t="shared" si="27"/>
        <v>0.36440631674900936</v>
      </c>
      <c r="P131" s="10">
        <f t="shared" si="28"/>
        <v>-0.36987241150024447</v>
      </c>
      <c r="Q131" s="10">
        <f t="shared" si="29"/>
        <v>-0.016222323643664525</v>
      </c>
      <c r="R131" s="4">
        <f t="shared" si="30"/>
        <v>0</v>
      </c>
      <c r="S131" s="4">
        <f t="shared" si="22"/>
        <v>0</v>
      </c>
      <c r="T131" s="4">
        <f t="shared" si="32"/>
        <v>285.60201837082917</v>
      </c>
      <c r="U131" s="4">
        <f t="shared" si="31"/>
        <v>285.60201837082917</v>
      </c>
      <c r="V131" s="4">
        <f t="shared" si="23"/>
        <v>0</v>
      </c>
      <c r="W131" s="4">
        <f t="shared" si="24"/>
        <v>0.2636097015232832</v>
      </c>
    </row>
    <row r="132" spans="2:23" ht="12.75">
      <c r="B132" s="19">
        <v>97</v>
      </c>
      <c r="C132" s="58">
        <v>36987</v>
      </c>
      <c r="D132" s="50">
        <v>0</v>
      </c>
      <c r="E132" s="10">
        <f ca="1" t="shared" si="33"/>
        <v>8.3</v>
      </c>
      <c r="F132" s="10">
        <f ca="1" t="shared" si="33"/>
        <v>3.553</v>
      </c>
      <c r="G132" s="10">
        <f ca="1" t="shared" si="33"/>
        <v>0</v>
      </c>
      <c r="H132" s="10">
        <f t="shared" si="25"/>
        <v>8.3</v>
      </c>
      <c r="I132" s="10">
        <f>IF((SUM(H$36:H132)&gt;GDD_budbreak),(IF(((E132-10)&gt;0),(E132-10),0)),0)</f>
        <v>0</v>
      </c>
      <c r="J132" s="4">
        <f>IF((B132&lt;LeafDropDay),(SUM(I$36:I132)),0)</f>
        <v>37.05</v>
      </c>
      <c r="K132" s="4">
        <f t="shared" si="19"/>
        <v>0.0268528063071109</v>
      </c>
      <c r="L132" s="4">
        <f t="shared" si="20"/>
        <v>0.015982584870605443</v>
      </c>
      <c r="M132" s="4">
        <f t="shared" si="26"/>
        <v>1</v>
      </c>
      <c r="N132" s="4">
        <f t="shared" si="21"/>
        <v>0.015982584870605443</v>
      </c>
      <c r="O132" s="4">
        <f t="shared" si="27"/>
        <v>0.38403703112812293</v>
      </c>
      <c r="P132" s="10">
        <f t="shared" si="28"/>
        <v>-1.3644835715982206</v>
      </c>
      <c r="Q132" s="10">
        <f t="shared" si="29"/>
        <v>-0.056786124045261135</v>
      </c>
      <c r="R132" s="4">
        <f t="shared" si="30"/>
        <v>0</v>
      </c>
      <c r="S132" s="4">
        <f t="shared" si="22"/>
        <v>0</v>
      </c>
      <c r="T132" s="4">
        <f t="shared" si="32"/>
        <v>284.18074867518567</v>
      </c>
      <c r="U132" s="4">
        <f t="shared" si="31"/>
        <v>284.18074867518567</v>
      </c>
      <c r="V132" s="4">
        <f t="shared" si="23"/>
        <v>0</v>
      </c>
      <c r="W132" s="4">
        <f t="shared" si="24"/>
        <v>0.2713368739565013</v>
      </c>
    </row>
    <row r="133" spans="2:23" ht="12.75">
      <c r="B133" s="19">
        <v>98</v>
      </c>
      <c r="C133" s="58">
        <v>36988</v>
      </c>
      <c r="D133" s="50">
        <v>0</v>
      </c>
      <c r="E133" s="10">
        <f ca="1" t="shared" si="33"/>
        <v>7.25</v>
      </c>
      <c r="F133" s="10">
        <f ca="1" t="shared" si="33"/>
        <v>2.792</v>
      </c>
      <c r="G133" s="10">
        <f ca="1" t="shared" si="33"/>
        <v>0</v>
      </c>
      <c r="H133" s="10">
        <f t="shared" si="25"/>
        <v>7.25</v>
      </c>
      <c r="I133" s="10">
        <f>IF((SUM(H$36:H133)&gt;GDD_budbreak),(IF(((E133-10)&gt;0),(E133-10),0)),0)</f>
        <v>0</v>
      </c>
      <c r="J133" s="4">
        <f>IF((B133&lt;LeafDropDay),(SUM(I$36:I133)),0)</f>
        <v>37.05</v>
      </c>
      <c r="K133" s="4">
        <f t="shared" si="19"/>
        <v>0.02784225587121736</v>
      </c>
      <c r="L133" s="4">
        <f t="shared" si="20"/>
        <v>0.01656659286100126</v>
      </c>
      <c r="M133" s="4">
        <f t="shared" si="26"/>
        <v>1</v>
      </c>
      <c r="N133" s="4">
        <f t="shared" si="21"/>
        <v>0.01656659286100126</v>
      </c>
      <c r="O133" s="4">
        <f t="shared" si="27"/>
        <v>0.3783936099951981</v>
      </c>
      <c r="P133" s="10">
        <f t="shared" si="28"/>
        <v>-1.056474959106593</v>
      </c>
      <c r="Q133" s="10">
        <f t="shared" si="29"/>
        <v>-0.046253927267915516</v>
      </c>
      <c r="R133" s="4">
        <f t="shared" si="30"/>
        <v>0</v>
      </c>
      <c r="S133" s="4">
        <f t="shared" si="22"/>
        <v>0</v>
      </c>
      <c r="T133" s="4">
        <f t="shared" si="32"/>
        <v>283.07801978881116</v>
      </c>
      <c r="U133" s="4">
        <f t="shared" si="31"/>
        <v>283.07801978881116</v>
      </c>
      <c r="V133" s="4">
        <f t="shared" si="23"/>
        <v>0</v>
      </c>
      <c r="W133" s="4">
        <f t="shared" si="24"/>
        <v>0.2775155817693383</v>
      </c>
    </row>
    <row r="134" spans="2:23" ht="12.75">
      <c r="B134" s="19">
        <v>99</v>
      </c>
      <c r="C134" s="58">
        <v>36989</v>
      </c>
      <c r="D134" s="50">
        <v>0</v>
      </c>
      <c r="E134" s="10">
        <f ca="1" t="shared" si="33"/>
        <v>10.55</v>
      </c>
      <c r="F134" s="10">
        <f ca="1" t="shared" si="33"/>
        <v>4.822</v>
      </c>
      <c r="G134" s="10">
        <f ca="1" t="shared" si="33"/>
        <v>0</v>
      </c>
      <c r="H134" s="10">
        <f t="shared" si="25"/>
        <v>10.55</v>
      </c>
      <c r="I134" s="10">
        <f>IF((SUM(H$36:H134)&gt;GDD_budbreak),(IF(((E134-10)&gt;0),(E134-10),0)),0)</f>
        <v>0.5500000000000007</v>
      </c>
      <c r="J134" s="4">
        <f>IF((B134&lt;LeafDropDay),(SUM(I$36:I134)),0)</f>
        <v>37.599999999999994</v>
      </c>
      <c r="K134" s="4">
        <f t="shared" si="19"/>
        <v>0.031454169057482606</v>
      </c>
      <c r="L134" s="4">
        <f t="shared" si="20"/>
        <v>0.01869553082069164</v>
      </c>
      <c r="M134" s="4">
        <f t="shared" si="26"/>
        <v>1</v>
      </c>
      <c r="N134" s="4">
        <f t="shared" si="21"/>
        <v>0.01869553082069164</v>
      </c>
      <c r="O134" s="4">
        <f t="shared" si="27"/>
        <v>0.37401501561558953</v>
      </c>
      <c r="P134" s="10">
        <f t="shared" si="28"/>
        <v>-1.8035004052983727</v>
      </c>
      <c r="Q134" s="10">
        <f t="shared" si="29"/>
        <v>-0.0901498496173751</v>
      </c>
      <c r="R134" s="4">
        <f t="shared" si="30"/>
        <v>0</v>
      </c>
      <c r="S134" s="4">
        <f t="shared" si="22"/>
        <v>0</v>
      </c>
      <c r="T134" s="4">
        <f t="shared" si="32"/>
        <v>281.1843695338954</v>
      </c>
      <c r="U134" s="4">
        <f t="shared" si="31"/>
        <v>281.1843695338954</v>
      </c>
      <c r="V134" s="4">
        <f t="shared" si="23"/>
        <v>0</v>
      </c>
      <c r="W134" s="4">
        <f t="shared" si="24"/>
        <v>0.2885152095704064</v>
      </c>
    </row>
    <row r="135" spans="2:23" ht="12.75">
      <c r="B135" s="19">
        <v>100</v>
      </c>
      <c r="C135" s="58">
        <v>36990</v>
      </c>
      <c r="D135" s="50">
        <v>0</v>
      </c>
      <c r="E135" s="10">
        <f ca="1" t="shared" si="33"/>
        <v>11.95</v>
      </c>
      <c r="F135" s="10">
        <f ca="1" t="shared" si="33"/>
        <v>4.822</v>
      </c>
      <c r="G135" s="10">
        <f ca="1" t="shared" si="33"/>
        <v>0</v>
      </c>
      <c r="H135" s="10">
        <f t="shared" si="25"/>
        <v>11.95</v>
      </c>
      <c r="I135" s="10">
        <f>IF((SUM(H$36:H135)&gt;GDD_budbreak),(IF(((E135-10)&gt;0),(E135-10),0)),0)</f>
        <v>1.9499999999999993</v>
      </c>
      <c r="J135" s="4">
        <f>IF((B135&lt;LeafDropDay),(SUM(I$36:I135)),0)</f>
        <v>39.55</v>
      </c>
      <c r="K135" s="4">
        <f t="shared" si="19"/>
        <v>0.03463595872755426</v>
      </c>
      <c r="L135" s="4">
        <f t="shared" si="20"/>
        <v>0.020567126399157143</v>
      </c>
      <c r="M135" s="4">
        <f t="shared" si="26"/>
        <v>1</v>
      </c>
      <c r="N135" s="4">
        <f t="shared" si="21"/>
        <v>0.020567126399157143</v>
      </c>
      <c r="O135" s="4">
        <f t="shared" si="27"/>
        <v>0.3664959177978305</v>
      </c>
      <c r="P135" s="10">
        <f t="shared" si="28"/>
        <v>-1.7672433156211385</v>
      </c>
      <c r="Q135" s="10">
        <f t="shared" si="29"/>
        <v>-0.09917468349673575</v>
      </c>
      <c r="R135" s="4">
        <f t="shared" si="30"/>
        <v>0</v>
      </c>
      <c r="S135" s="4">
        <f t="shared" si="22"/>
        <v>0</v>
      </c>
      <c r="T135" s="4">
        <f t="shared" si="32"/>
        <v>279.31795153477754</v>
      </c>
      <c r="U135" s="4">
        <f t="shared" si="31"/>
        <v>279.31795153477754</v>
      </c>
      <c r="V135" s="4">
        <f t="shared" si="23"/>
        <v>0</v>
      </c>
      <c r="W135" s="4">
        <f t="shared" si="24"/>
        <v>0.2998602523496962</v>
      </c>
    </row>
    <row r="136" spans="2:23" ht="12.75">
      <c r="B136" s="19">
        <v>101</v>
      </c>
      <c r="C136" s="58">
        <v>36991</v>
      </c>
      <c r="D136" s="50">
        <v>0</v>
      </c>
      <c r="E136" s="10">
        <f ca="1" t="shared" si="34" ref="E136:G155">INDIRECT(WeatherSheet&amp;"!"&amp;E505)</f>
        <v>11.65</v>
      </c>
      <c r="F136" s="10">
        <f ca="1" t="shared" si="34"/>
        <v>3.807</v>
      </c>
      <c r="G136" s="10">
        <f ca="1" t="shared" si="34"/>
        <v>0</v>
      </c>
      <c r="H136" s="10">
        <f t="shared" si="25"/>
        <v>11.65</v>
      </c>
      <c r="I136" s="10">
        <f>IF((SUM(H$36:H136)&gt;GDD_budbreak),(IF(((E136-10)&gt;0),(E136-10),0)),0)</f>
        <v>1.6500000000000004</v>
      </c>
      <c r="J136" s="4">
        <f>IF((B136&lt;LeafDropDay),(SUM(I$36:I136)),0)</f>
        <v>41.199999999999996</v>
      </c>
      <c r="K136" s="4">
        <f t="shared" si="19"/>
        <v>0.035721926582046426</v>
      </c>
      <c r="L136" s="4">
        <f t="shared" si="20"/>
        <v>0.02120509810137572</v>
      </c>
      <c r="M136" s="4">
        <f t="shared" si="26"/>
        <v>1</v>
      </c>
      <c r="N136" s="4">
        <f t="shared" si="21"/>
        <v>0.02120509810137572</v>
      </c>
      <c r="O136" s="4">
        <f t="shared" si="27"/>
        <v>0.3590849508213454</v>
      </c>
      <c r="P136" s="10">
        <f t="shared" si="28"/>
        <v>-1.367036407776862</v>
      </c>
      <c r="Q136" s="10">
        <f t="shared" si="29"/>
        <v>-0.08072780847193736</v>
      </c>
      <c r="R136" s="4">
        <f t="shared" si="30"/>
        <v>0</v>
      </c>
      <c r="S136" s="4">
        <f t="shared" si="22"/>
        <v>0</v>
      </c>
      <c r="T136" s="4">
        <f t="shared" si="32"/>
        <v>277.87018731852874</v>
      </c>
      <c r="U136" s="4">
        <f t="shared" si="31"/>
        <v>277.87018731852874</v>
      </c>
      <c r="V136" s="4">
        <f t="shared" si="23"/>
        <v>0</v>
      </c>
      <c r="W136" s="4">
        <f t="shared" si="24"/>
        <v>0.3090218174823408</v>
      </c>
    </row>
    <row r="137" spans="2:23" ht="12.75">
      <c r="B137" s="19">
        <v>102</v>
      </c>
      <c r="C137" s="58">
        <v>36992</v>
      </c>
      <c r="D137" s="50">
        <v>0</v>
      </c>
      <c r="E137" s="10">
        <f ca="1" t="shared" si="34"/>
        <v>10.55</v>
      </c>
      <c r="F137" s="10">
        <f ca="1" t="shared" si="34"/>
        <v>4.569</v>
      </c>
      <c r="G137" s="10">
        <f ca="1" t="shared" si="34"/>
        <v>0.508</v>
      </c>
      <c r="H137" s="10">
        <f t="shared" si="25"/>
        <v>10.55</v>
      </c>
      <c r="I137" s="10">
        <f>IF((SUM(H$36:H137)&gt;GDD_budbreak),(IF(((E137-10)&gt;0),(E137-10),0)),0)</f>
        <v>0.5500000000000007</v>
      </c>
      <c r="J137" s="4">
        <f>IF((B137&lt;LeafDropDay),(SUM(I$36:I137)),0)</f>
        <v>41.75</v>
      </c>
      <c r="K137" s="4">
        <f t="shared" si="19"/>
        <v>0.037931673298940594</v>
      </c>
      <c r="L137" s="4">
        <f t="shared" si="20"/>
        <v>0.022501971475483162</v>
      </c>
      <c r="M137" s="4">
        <f t="shared" si="26"/>
        <v>1</v>
      </c>
      <c r="N137" s="4">
        <f t="shared" si="21"/>
        <v>0.022501971475483162</v>
      </c>
      <c r="O137" s="4">
        <f t="shared" si="27"/>
        <v>0.35333632816477656</v>
      </c>
      <c r="P137" s="10">
        <f t="shared" si="28"/>
        <v>-1.614393683384864</v>
      </c>
      <c r="Q137" s="10">
        <f t="shared" si="29"/>
        <v>-0.10281150767148257</v>
      </c>
      <c r="R137" s="4">
        <f t="shared" si="30"/>
        <v>0</v>
      </c>
      <c r="S137" s="4">
        <f t="shared" si="22"/>
        <v>0</v>
      </c>
      <c r="T137" s="4">
        <f t="shared" si="32"/>
        <v>276.6609821274724</v>
      </c>
      <c r="U137" s="4">
        <f t="shared" si="31"/>
        <v>276.6609821274724</v>
      </c>
      <c r="V137" s="4">
        <f t="shared" si="23"/>
        <v>0</v>
      </c>
      <c r="W137" s="4">
        <f t="shared" si="24"/>
        <v>0.3169260944872161</v>
      </c>
    </row>
    <row r="138" spans="2:23" ht="12.75">
      <c r="B138" s="19">
        <v>103</v>
      </c>
      <c r="C138" s="58">
        <v>36993</v>
      </c>
      <c r="D138" s="50">
        <v>0</v>
      </c>
      <c r="E138" s="10">
        <f ca="1" t="shared" si="34"/>
        <v>11.1</v>
      </c>
      <c r="F138" s="10">
        <f ca="1" t="shared" si="34"/>
        <v>3.807</v>
      </c>
      <c r="G138" s="10">
        <f ca="1" t="shared" si="34"/>
        <v>0</v>
      </c>
      <c r="H138" s="10">
        <f t="shared" si="25"/>
        <v>11.1</v>
      </c>
      <c r="I138" s="10">
        <f>IF((SUM(H$36:H138)&gt;GDD_budbreak),(IF(((E138-10)&gt;0),(E138-10),0)),0)</f>
        <v>1.0999999999999996</v>
      </c>
      <c r="J138" s="4">
        <f>IF((B138&lt;LeafDropDay),(SUM(I$36:I138)),0)</f>
        <v>42.85</v>
      </c>
      <c r="K138" s="4">
        <f t="shared" si="19"/>
        <v>0.03905536975613061</v>
      </c>
      <c r="L138" s="4">
        <f t="shared" si="20"/>
        <v>0.02316079599782983</v>
      </c>
      <c r="M138" s="4">
        <f t="shared" si="26"/>
        <v>1</v>
      </c>
      <c r="N138" s="4">
        <f t="shared" si="21"/>
        <v>0.02316079599782983</v>
      </c>
      <c r="O138" s="4">
        <f t="shared" si="27"/>
        <v>0.34853494940452645</v>
      </c>
      <c r="P138" s="10">
        <f t="shared" si="28"/>
        <v>-1.3268725523830323</v>
      </c>
      <c r="Q138" s="10">
        <f t="shared" si="29"/>
        <v>-0.08817315036373817</v>
      </c>
      <c r="R138" s="4">
        <f t="shared" si="30"/>
        <v>0</v>
      </c>
      <c r="S138" s="4">
        <f t="shared" si="22"/>
        <v>0</v>
      </c>
      <c r="T138" s="4">
        <f t="shared" si="32"/>
        <v>275.2459364247256</v>
      </c>
      <c r="U138" s="4">
        <f t="shared" si="31"/>
        <v>275.2459364247256</v>
      </c>
      <c r="V138" s="4">
        <f t="shared" si="23"/>
        <v>0</v>
      </c>
      <c r="W138" s="4">
        <f t="shared" si="24"/>
        <v>0.32647888816886655</v>
      </c>
    </row>
    <row r="139" spans="2:23" ht="12.75">
      <c r="B139" s="19">
        <v>104</v>
      </c>
      <c r="C139" s="58">
        <v>36994</v>
      </c>
      <c r="D139" s="50">
        <v>0</v>
      </c>
      <c r="E139" s="10">
        <f ca="1" t="shared" si="34"/>
        <v>10.55</v>
      </c>
      <c r="F139" s="10">
        <f ca="1" t="shared" si="34"/>
        <v>3.807</v>
      </c>
      <c r="G139" s="10">
        <f ca="1" t="shared" si="34"/>
        <v>0</v>
      </c>
      <c r="H139" s="10">
        <f t="shared" si="25"/>
        <v>10.55</v>
      </c>
      <c r="I139" s="10">
        <f>IF((SUM(H$36:H139)&gt;GDD_budbreak),(IF(((E139-10)&gt;0),(E139-10),0)),0)</f>
        <v>0.5500000000000007</v>
      </c>
      <c r="J139" s="4">
        <f>IF((B139&lt;LeafDropDay),(SUM(I$36:I139)),0)</f>
        <v>43.400000000000006</v>
      </c>
      <c r="K139" s="4">
        <f t="shared" si="19"/>
        <v>0.04081655087039354</v>
      </c>
      <c r="L139" s="4">
        <f t="shared" si="20"/>
        <v>0.024192485258991647</v>
      </c>
      <c r="M139" s="4">
        <f t="shared" si="26"/>
        <v>1</v>
      </c>
      <c r="N139" s="4">
        <f t="shared" si="21"/>
        <v>0.024192485258991647</v>
      </c>
      <c r="O139" s="4">
        <f t="shared" si="27"/>
        <v>0.3429162418169281</v>
      </c>
      <c r="P139" s="10">
        <f t="shared" si="28"/>
        <v>-1.3054821325970452</v>
      </c>
      <c r="Q139" s="10">
        <f t="shared" si="29"/>
        <v>-0.0921007913809812</v>
      </c>
      <c r="R139" s="4">
        <f t="shared" si="30"/>
        <v>0</v>
      </c>
      <c r="S139" s="4">
        <f t="shared" si="22"/>
        <v>0</v>
      </c>
      <c r="T139" s="4">
        <f t="shared" si="32"/>
        <v>273.8483535007476</v>
      </c>
      <c r="U139" s="4">
        <f t="shared" si="31"/>
        <v>273.8483535007476</v>
      </c>
      <c r="V139" s="4">
        <f t="shared" si="23"/>
        <v>0</v>
      </c>
      <c r="W139" s="4">
        <f t="shared" si="24"/>
        <v>0.3362469034371266</v>
      </c>
    </row>
    <row r="140" spans="2:23" ht="12.75">
      <c r="B140" s="19">
        <v>105</v>
      </c>
      <c r="C140" s="58">
        <v>36995</v>
      </c>
      <c r="D140" s="50">
        <v>0</v>
      </c>
      <c r="E140" s="10">
        <f ca="1" t="shared" si="34"/>
        <v>10.85</v>
      </c>
      <c r="F140" s="10">
        <f ca="1" t="shared" si="34"/>
        <v>4.569</v>
      </c>
      <c r="G140" s="10">
        <f ca="1" t="shared" si="34"/>
        <v>0</v>
      </c>
      <c r="H140" s="10">
        <f t="shared" si="25"/>
        <v>10.85</v>
      </c>
      <c r="I140" s="10">
        <f>IF((SUM(H$36:H140)&gt;GDD_budbreak),(IF(((E140-10)&gt;0),(E140-10),0)),0)</f>
        <v>0.8499999999999996</v>
      </c>
      <c r="J140" s="4">
        <f>IF((B140&lt;LeafDropDay),(SUM(I$36:I140)),0)</f>
        <v>44.25000000000001</v>
      </c>
      <c r="K140" s="4">
        <f t="shared" si="19"/>
        <v>0.041971967465750826</v>
      </c>
      <c r="L140" s="4">
        <f t="shared" si="20"/>
        <v>0.024868729346659624</v>
      </c>
      <c r="M140" s="4">
        <f t="shared" si="26"/>
        <v>1</v>
      </c>
      <c r="N140" s="4">
        <f t="shared" si="21"/>
        <v>0.024868729346659624</v>
      </c>
      <c r="O140" s="4">
        <f t="shared" si="27"/>
        <v>0.3373668735074734</v>
      </c>
      <c r="P140" s="10">
        <f t="shared" si="28"/>
        <v>-1.541429245055646</v>
      </c>
      <c r="Q140" s="10">
        <f t="shared" si="29"/>
        <v>-0.11362522438488781</v>
      </c>
      <c r="R140" s="4">
        <f t="shared" si="30"/>
        <v>0</v>
      </c>
      <c r="S140" s="4">
        <f t="shared" si="22"/>
        <v>0</v>
      </c>
      <c r="T140" s="4">
        <f t="shared" si="32"/>
        <v>272.19329903130705</v>
      </c>
      <c r="U140" s="4">
        <f t="shared" si="31"/>
        <v>272.19329903130705</v>
      </c>
      <c r="V140" s="4">
        <f t="shared" si="23"/>
        <v>0</v>
      </c>
      <c r="W140" s="4">
        <f t="shared" si="24"/>
        <v>0.3482610819149704</v>
      </c>
    </row>
    <row r="141" spans="2:23" ht="12.75">
      <c r="B141" s="19">
        <v>106</v>
      </c>
      <c r="C141" s="58">
        <v>36996</v>
      </c>
      <c r="D141" s="50">
        <v>0</v>
      </c>
      <c r="E141" s="10">
        <f ca="1" t="shared" si="34"/>
        <v>10.55</v>
      </c>
      <c r="F141" s="10">
        <f ca="1" t="shared" si="34"/>
        <v>4.061</v>
      </c>
      <c r="G141" s="10">
        <f ca="1" t="shared" si="34"/>
        <v>0</v>
      </c>
      <c r="H141" s="10">
        <f t="shared" si="25"/>
        <v>10.55</v>
      </c>
      <c r="I141" s="10">
        <f>IF((SUM(H$36:H141)&gt;GDD_budbreak),(IF(((E141-10)&gt;0),(E141-10),0)),0)</f>
        <v>0.5500000000000007</v>
      </c>
      <c r="J141" s="4">
        <f>IF((B141&lt;LeafDropDay),(SUM(I$36:I141)),0)</f>
        <v>44.80000000000001</v>
      </c>
      <c r="K141" s="4">
        <f t="shared" si="19"/>
        <v>0.0550196181393518</v>
      </c>
      <c r="L141" s="4">
        <f t="shared" si="20"/>
        <v>0.03247282912771443</v>
      </c>
      <c r="M141" s="4">
        <f t="shared" si="26"/>
        <v>1</v>
      </c>
      <c r="N141" s="4">
        <f t="shared" si="21"/>
        <v>0.03247282912771443</v>
      </c>
      <c r="O141" s="4">
        <f t="shared" si="27"/>
        <v>0.3307951655497142</v>
      </c>
      <c r="P141" s="10">
        <f t="shared" si="28"/>
        <v>-1.3433591672973895</v>
      </c>
      <c r="Q141" s="10">
        <f t="shared" si="29"/>
        <v>-0.1318721590876483</v>
      </c>
      <c r="R141" s="4">
        <f t="shared" si="30"/>
        <v>0</v>
      </c>
      <c r="S141" s="4">
        <f t="shared" si="22"/>
        <v>0</v>
      </c>
      <c r="T141" s="4">
        <f t="shared" si="32"/>
        <v>270.718067704922</v>
      </c>
      <c r="U141" s="4">
        <f t="shared" si="31"/>
        <v>270.718067704922</v>
      </c>
      <c r="V141" s="4">
        <f t="shared" si="23"/>
        <v>0</v>
      </c>
      <c r="W141" s="4">
        <f t="shared" si="24"/>
        <v>0.3593961187303567</v>
      </c>
    </row>
    <row r="142" spans="2:23" ht="12.75">
      <c r="B142" s="19">
        <v>107</v>
      </c>
      <c r="C142" s="58">
        <v>36997</v>
      </c>
      <c r="D142" s="50">
        <v>0</v>
      </c>
      <c r="E142" s="10">
        <f ca="1" t="shared" si="34"/>
        <v>15.85</v>
      </c>
      <c r="F142" s="10">
        <f ca="1" t="shared" si="34"/>
        <v>4.315</v>
      </c>
      <c r="G142" s="10">
        <f ca="1" t="shared" si="34"/>
        <v>0</v>
      </c>
      <c r="H142" s="10">
        <f t="shared" si="25"/>
        <v>15.85</v>
      </c>
      <c r="I142" s="10">
        <f>IF((SUM(H$36:H142)&gt;GDD_budbreak),(IF(((E142-10)&gt;0),(E142-10),0)),0)</f>
        <v>5.85</v>
      </c>
      <c r="J142" s="4">
        <f>IF((B142&lt;LeafDropDay),(SUM(I$36:I142)),0)</f>
        <v>50.65000000000001</v>
      </c>
      <c r="K142" s="4">
        <f t="shared" si="19"/>
        <v>0.062360995949306386</v>
      </c>
      <c r="L142" s="4">
        <f t="shared" si="20"/>
        <v>0.036725246173710424</v>
      </c>
      <c r="M142" s="4">
        <f t="shared" si="26"/>
        <v>1</v>
      </c>
      <c r="N142" s="4">
        <f t="shared" si="21"/>
        <v>0.036725246173710424</v>
      </c>
      <c r="O142" s="4">
        <f t="shared" si="27"/>
        <v>0.3249374795181376</v>
      </c>
      <c r="P142" s="10">
        <f t="shared" si="28"/>
        <v>-1.4021052241207639</v>
      </c>
      <c r="Q142" s="10">
        <f t="shared" si="29"/>
        <v>-0.1584694372395605</v>
      </c>
      <c r="R142" s="4">
        <f t="shared" si="30"/>
        <v>0</v>
      </c>
      <c r="S142" s="4">
        <f t="shared" si="22"/>
        <v>0</v>
      </c>
      <c r="T142" s="4">
        <f t="shared" si="32"/>
        <v>269.1574930435617</v>
      </c>
      <c r="U142" s="4">
        <f t="shared" si="31"/>
        <v>269.1574930435617</v>
      </c>
      <c r="V142" s="4">
        <f t="shared" si="23"/>
        <v>0</v>
      </c>
      <c r="W142" s="4">
        <f t="shared" si="24"/>
        <v>0.37163264953406183</v>
      </c>
    </row>
    <row r="143" spans="2:23" ht="12.75">
      <c r="B143" s="19">
        <v>108</v>
      </c>
      <c r="C143" s="58">
        <v>36998</v>
      </c>
      <c r="D143" s="50">
        <v>0</v>
      </c>
      <c r="E143" s="10">
        <f ca="1" t="shared" si="34"/>
        <v>13.05</v>
      </c>
      <c r="F143" s="10">
        <f ca="1" t="shared" si="34"/>
        <v>3.3</v>
      </c>
      <c r="G143" s="10">
        <f ca="1" t="shared" si="34"/>
        <v>0.508</v>
      </c>
      <c r="H143" s="10">
        <f t="shared" si="25"/>
        <v>13.05</v>
      </c>
      <c r="I143" s="10">
        <f>IF((SUM(H$36:H143)&gt;GDD_budbreak),(IF(((E143-10)&gt;0),(E143-10),0)),0)</f>
        <v>3.0500000000000007</v>
      </c>
      <c r="J143" s="4">
        <f>IF((B143&lt;LeafDropDay),(SUM(I$36:I143)),0)</f>
        <v>53.70000000000002</v>
      </c>
      <c r="K143" s="4">
        <f t="shared" si="19"/>
        <v>0.0658516664900512</v>
      </c>
      <c r="L143" s="4">
        <f t="shared" si="20"/>
        <v>0.03874061981887511</v>
      </c>
      <c r="M143" s="4">
        <f t="shared" si="26"/>
        <v>1</v>
      </c>
      <c r="N143" s="4">
        <f t="shared" si="21"/>
        <v>0.03874061981887511</v>
      </c>
      <c r="O143" s="4">
        <f t="shared" si="27"/>
        <v>0.3187409215739114</v>
      </c>
      <c r="P143" s="10">
        <f t="shared" si="28"/>
        <v>-1.0518450411939075</v>
      </c>
      <c r="Q143" s="10">
        <f t="shared" si="29"/>
        <v>-0.12784404540228786</v>
      </c>
      <c r="R143" s="4">
        <f t="shared" si="30"/>
        <v>0</v>
      </c>
      <c r="S143" s="4">
        <f t="shared" si="22"/>
        <v>0</v>
      </c>
      <c r="T143" s="4">
        <f t="shared" si="32"/>
        <v>268.4858039569655</v>
      </c>
      <c r="U143" s="4">
        <f t="shared" si="31"/>
        <v>268.4858039569655</v>
      </c>
      <c r="V143" s="4">
        <f t="shared" si="23"/>
        <v>0</v>
      </c>
      <c r="W143" s="4">
        <f t="shared" si="24"/>
        <v>0.37704936995901756</v>
      </c>
    </row>
    <row r="144" spans="2:23" ht="12.75">
      <c r="B144" s="19">
        <v>109</v>
      </c>
      <c r="C144" s="58">
        <v>36999</v>
      </c>
      <c r="D144" s="50">
        <v>0</v>
      </c>
      <c r="E144" s="10">
        <f ca="1" t="shared" si="34"/>
        <v>11.4</v>
      </c>
      <c r="F144" s="10">
        <f ca="1" t="shared" si="34"/>
        <v>4.315</v>
      </c>
      <c r="G144" s="10">
        <f ca="1" t="shared" si="34"/>
        <v>0</v>
      </c>
      <c r="H144" s="10">
        <f t="shared" si="25"/>
        <v>11.4</v>
      </c>
      <c r="I144" s="10">
        <f>IF((SUM(H$36:H144)&gt;GDD_budbreak),(IF(((E144-10)&gt;0),(E144-10),0)),0)</f>
        <v>1.4000000000000004</v>
      </c>
      <c r="J144" s="4">
        <f>IF((B144&lt;LeafDropDay),(SUM(I$36:I144)),0)</f>
        <v>55.100000000000016</v>
      </c>
      <c r="K144" s="4">
        <f t="shared" si="19"/>
        <v>0.0658516664900512</v>
      </c>
      <c r="L144" s="4">
        <f t="shared" si="20"/>
        <v>0.03874061981887511</v>
      </c>
      <c r="M144" s="4">
        <f t="shared" si="26"/>
        <v>1</v>
      </c>
      <c r="N144" s="4">
        <f t="shared" si="21"/>
        <v>0.03874061981887511</v>
      </c>
      <c r="O144" s="4">
        <f t="shared" si="27"/>
        <v>0.31607385254565373</v>
      </c>
      <c r="P144" s="10">
        <f t="shared" si="28"/>
        <v>-1.363858673734496</v>
      </c>
      <c r="Q144" s="10">
        <f t="shared" si="29"/>
        <v>-0.1671657745184461</v>
      </c>
      <c r="R144" s="4">
        <f t="shared" si="30"/>
        <v>0</v>
      </c>
      <c r="S144" s="4">
        <f t="shared" si="22"/>
        <v>0</v>
      </c>
      <c r="T144" s="4">
        <f t="shared" si="32"/>
        <v>266.9547795087126</v>
      </c>
      <c r="U144" s="4">
        <f t="shared" si="31"/>
        <v>266.9547795087126</v>
      </c>
      <c r="V144" s="4">
        <f t="shared" si="23"/>
        <v>0</v>
      </c>
      <c r="W144" s="4">
        <f t="shared" si="24"/>
        <v>0.389745870989918</v>
      </c>
    </row>
    <row r="145" spans="2:23" ht="12.75">
      <c r="B145" s="19">
        <v>110</v>
      </c>
      <c r="C145" s="58">
        <v>37000</v>
      </c>
      <c r="D145" s="50">
        <v>0</v>
      </c>
      <c r="E145" s="10">
        <f ca="1" t="shared" si="34"/>
        <v>6.95</v>
      </c>
      <c r="F145" s="10">
        <f ca="1" t="shared" si="34"/>
        <v>0.508</v>
      </c>
      <c r="G145" s="10">
        <f ca="1" t="shared" si="34"/>
        <v>20.55</v>
      </c>
      <c r="H145" s="10">
        <f t="shared" si="25"/>
        <v>6.95</v>
      </c>
      <c r="I145" s="10">
        <f>IF((SUM(H$36:H145)&gt;GDD_budbreak),(IF(((E145-10)&gt;0),(E145-10),0)),0)</f>
        <v>0</v>
      </c>
      <c r="J145" s="4">
        <f>IF((B145&lt;LeafDropDay),(SUM(I$36:I145)),0)</f>
        <v>55.100000000000016</v>
      </c>
      <c r="K145" s="4">
        <f t="shared" si="19"/>
        <v>0.07083854452581778</v>
      </c>
      <c r="L145" s="4">
        <f t="shared" si="20"/>
        <v>0.0416125310886829</v>
      </c>
      <c r="M145" s="4">
        <f t="shared" si="26"/>
        <v>1</v>
      </c>
      <c r="N145" s="4">
        <f t="shared" si="21"/>
        <v>0.0416125310886829</v>
      </c>
      <c r="O145" s="4">
        <f t="shared" si="27"/>
        <v>0.3099946293322275</v>
      </c>
      <c r="P145" s="10">
        <f t="shared" si="28"/>
        <v>-0.15747727170077155</v>
      </c>
      <c r="Q145" s="10">
        <f t="shared" si="29"/>
        <v>-0.021139165793050915</v>
      </c>
      <c r="R145" s="4">
        <f t="shared" si="30"/>
        <v>0</v>
      </c>
      <c r="S145" s="4">
        <f t="shared" si="22"/>
        <v>0</v>
      </c>
      <c r="T145" s="4">
        <f t="shared" si="32"/>
        <v>287.3261630712188</v>
      </c>
      <c r="U145" s="4">
        <f t="shared" si="31"/>
        <v>287.3261630712188</v>
      </c>
      <c r="V145" s="4">
        <f t="shared" si="23"/>
        <v>0</v>
      </c>
      <c r="W145" s="4">
        <f t="shared" si="24"/>
        <v>0.25457962057677513</v>
      </c>
    </row>
    <row r="146" spans="2:23" ht="12.75">
      <c r="B146" s="19">
        <v>111</v>
      </c>
      <c r="C146" s="58">
        <v>37001</v>
      </c>
      <c r="D146" s="50">
        <v>0</v>
      </c>
      <c r="E146" s="10">
        <f ca="1" t="shared" si="34"/>
        <v>11.95</v>
      </c>
      <c r="F146" s="10">
        <f ca="1" t="shared" si="34"/>
        <v>4.569</v>
      </c>
      <c r="G146" s="10">
        <f ca="1" t="shared" si="34"/>
        <v>0</v>
      </c>
      <c r="H146" s="10">
        <f t="shared" si="25"/>
        <v>11.95</v>
      </c>
      <c r="I146" s="10">
        <f>IF((SUM(H$36:H146)&gt;GDD_budbreak),(IF(((E146-10)&gt;0),(E146-10),0)),0)</f>
        <v>1.9499999999999993</v>
      </c>
      <c r="J146" s="4">
        <f>IF((B146&lt;LeafDropDay),(SUM(I$36:I146)),0)</f>
        <v>57.05000000000001</v>
      </c>
      <c r="K146" s="4">
        <f t="shared" si="19"/>
        <v>0.08055723814154192</v>
      </c>
      <c r="L146" s="4">
        <f t="shared" si="20"/>
        <v>0.04718483315541433</v>
      </c>
      <c r="M146" s="4">
        <f t="shared" si="26"/>
        <v>1</v>
      </c>
      <c r="N146" s="4">
        <f t="shared" si="21"/>
        <v>0.04718483315541433</v>
      </c>
      <c r="O146" s="4">
        <f t="shared" si="27"/>
        <v>0.390883074963592</v>
      </c>
      <c r="P146" s="10">
        <f t="shared" si="28"/>
        <v>-1.7859447695086517</v>
      </c>
      <c r="Q146" s="10">
        <f t="shared" si="29"/>
        <v>-0.21558750268708807</v>
      </c>
      <c r="R146" s="4">
        <f t="shared" si="30"/>
        <v>0</v>
      </c>
      <c r="S146" s="4">
        <f t="shared" si="22"/>
        <v>0</v>
      </c>
      <c r="T146" s="4">
        <f t="shared" si="32"/>
        <v>285.32463079902305</v>
      </c>
      <c r="U146" s="4">
        <f t="shared" si="31"/>
        <v>285.32463079902305</v>
      </c>
      <c r="V146" s="4">
        <f t="shared" si="23"/>
        <v>0</v>
      </c>
      <c r="W146" s="4">
        <f t="shared" si="24"/>
        <v>0.26509732480696774</v>
      </c>
    </row>
    <row r="147" spans="2:23" ht="12.75">
      <c r="B147" s="19">
        <v>112</v>
      </c>
      <c r="C147" s="58">
        <v>37002</v>
      </c>
      <c r="D147" s="50">
        <v>0</v>
      </c>
      <c r="E147" s="10">
        <f ca="1" t="shared" si="34"/>
        <v>13.65</v>
      </c>
      <c r="F147" s="10">
        <f ca="1" t="shared" si="34"/>
        <v>4.061</v>
      </c>
      <c r="G147" s="10">
        <f ca="1" t="shared" si="34"/>
        <v>0</v>
      </c>
      <c r="H147" s="10">
        <f t="shared" si="25"/>
        <v>13.65</v>
      </c>
      <c r="I147" s="10">
        <f>IF((SUM(H$36:H147)&gt;GDD_budbreak),(IF(((E147-10)&gt;0),(E147-10),0)),0)</f>
        <v>3.6500000000000004</v>
      </c>
      <c r="J147" s="4">
        <f>IF((B147&lt;LeafDropDay),(SUM(I$36:I147)),0)</f>
        <v>60.70000000000001</v>
      </c>
      <c r="K147" s="4">
        <f t="shared" si="19"/>
        <v>0.09553739801841271</v>
      </c>
      <c r="L147" s="4">
        <f t="shared" si="20"/>
        <v>0.05571045532419783</v>
      </c>
      <c r="M147" s="4">
        <f t="shared" si="26"/>
        <v>1</v>
      </c>
      <c r="N147" s="4">
        <f t="shared" si="21"/>
        <v>0.05571045532419783</v>
      </c>
      <c r="O147" s="4">
        <f t="shared" si="27"/>
        <v>0.3829356111164674</v>
      </c>
      <c r="P147" s="10">
        <f t="shared" si="28"/>
        <v>-1.5551015167439741</v>
      </c>
      <c r="Q147" s="10">
        <f t="shared" si="29"/>
        <v>-0.2262401590715674</v>
      </c>
      <c r="R147" s="4">
        <f t="shared" si="30"/>
        <v>0</v>
      </c>
      <c r="S147" s="4">
        <f t="shared" si="22"/>
        <v>0</v>
      </c>
      <c r="T147" s="4">
        <f t="shared" si="32"/>
        <v>283.5432891232075</v>
      </c>
      <c r="U147" s="4">
        <f t="shared" si="31"/>
        <v>283.5432891232075</v>
      </c>
      <c r="V147" s="4">
        <f t="shared" si="23"/>
        <v>0</v>
      </c>
      <c r="W147" s="4">
        <f t="shared" si="24"/>
        <v>0.2748887170166156</v>
      </c>
    </row>
    <row r="148" spans="2:23" ht="12.75">
      <c r="B148" s="19">
        <v>113</v>
      </c>
      <c r="C148" s="58">
        <v>37003</v>
      </c>
      <c r="D148" s="50">
        <v>0</v>
      </c>
      <c r="E148" s="10">
        <f ca="1" t="shared" si="34"/>
        <v>15.3</v>
      </c>
      <c r="F148" s="10">
        <f ca="1" t="shared" si="34"/>
        <v>4.822</v>
      </c>
      <c r="G148" s="10">
        <f ca="1" t="shared" si="34"/>
        <v>0</v>
      </c>
      <c r="H148" s="10">
        <f t="shared" si="25"/>
        <v>15.3</v>
      </c>
      <c r="I148" s="10">
        <f>IF((SUM(H$36:H148)&gt;GDD_budbreak),(IF(((E148-10)&gt;0),(E148-10),0)),0)</f>
        <v>5.300000000000001</v>
      </c>
      <c r="J148" s="4">
        <f>IF((B148&lt;LeafDropDay),(SUM(I$36:I148)),0)</f>
        <v>66.00000000000001</v>
      </c>
      <c r="K148" s="4">
        <f t="shared" si="19"/>
        <v>0.12273798556975962</v>
      </c>
      <c r="L148" s="4">
        <f t="shared" si="20"/>
        <v>0.07099651733370671</v>
      </c>
      <c r="M148" s="4">
        <f t="shared" si="26"/>
        <v>1</v>
      </c>
      <c r="N148" s="4">
        <f t="shared" si="21"/>
        <v>0.07099651733370671</v>
      </c>
      <c r="O148" s="4">
        <f t="shared" si="27"/>
        <v>0.3758624558320964</v>
      </c>
      <c r="P148" s="10">
        <f t="shared" si="28"/>
        <v>-1.8124087620223688</v>
      </c>
      <c r="Q148" s="10">
        <f t="shared" si="29"/>
        <v>-0.3423452065831338</v>
      </c>
      <c r="R148" s="4">
        <f t="shared" si="30"/>
        <v>0</v>
      </c>
      <c r="S148" s="4">
        <f t="shared" si="22"/>
        <v>0</v>
      </c>
      <c r="T148" s="4">
        <f t="shared" si="32"/>
        <v>281.388535154602</v>
      </c>
      <c r="U148" s="4">
        <f t="shared" si="31"/>
        <v>281.388535154602</v>
      </c>
      <c r="V148" s="4">
        <f t="shared" si="23"/>
        <v>0</v>
      </c>
      <c r="W148" s="4">
        <f t="shared" si="24"/>
        <v>0.28730499495262385</v>
      </c>
    </row>
    <row r="149" spans="2:23" ht="12.75">
      <c r="B149" s="19">
        <v>114</v>
      </c>
      <c r="C149" s="58">
        <v>37004</v>
      </c>
      <c r="D149" s="50">
        <v>0</v>
      </c>
      <c r="E149" s="10">
        <f ca="1" t="shared" si="34"/>
        <v>18.85</v>
      </c>
      <c r="F149" s="10">
        <f ca="1" t="shared" si="34"/>
        <v>5.584</v>
      </c>
      <c r="G149" s="10">
        <f ca="1" t="shared" si="34"/>
        <v>0</v>
      </c>
      <c r="H149" s="10">
        <f t="shared" si="25"/>
        <v>18.85</v>
      </c>
      <c r="I149" s="10">
        <f>IF((SUM(H$36:H149)&gt;GDD_budbreak),(IF(((E149-10)&gt;0),(E149-10),0)),0)</f>
        <v>8.850000000000001</v>
      </c>
      <c r="J149" s="4">
        <f>IF((B149&lt;LeafDropDay),(SUM(I$36:I149)),0)</f>
        <v>74.85000000000002</v>
      </c>
      <c r="K149" s="4">
        <f t="shared" si="19"/>
        <v>0.15654167808949287</v>
      </c>
      <c r="L149" s="4">
        <f t="shared" si="20"/>
        <v>0.08964897023109974</v>
      </c>
      <c r="M149" s="4">
        <f t="shared" si="26"/>
        <v>1</v>
      </c>
      <c r="N149" s="4">
        <f t="shared" si="21"/>
        <v>0.08964897023109974</v>
      </c>
      <c r="O149" s="4">
        <f t="shared" si="27"/>
        <v>0.3673065961525748</v>
      </c>
      <c r="P149" s="10">
        <f t="shared" si="28"/>
        <v>-2.051040032915978</v>
      </c>
      <c r="Q149" s="10">
        <f t="shared" si="29"/>
        <v>-0.5005998497704609</v>
      </c>
      <c r="R149" s="4">
        <f t="shared" si="30"/>
        <v>0</v>
      </c>
      <c r="S149" s="4">
        <f t="shared" si="22"/>
        <v>0</v>
      </c>
      <c r="T149" s="4">
        <f t="shared" si="32"/>
        <v>278.8368952719155</v>
      </c>
      <c r="U149" s="4">
        <f t="shared" si="31"/>
        <v>278.8368952719155</v>
      </c>
      <c r="V149" s="4">
        <f t="shared" si="23"/>
        <v>0</v>
      </c>
      <c r="W149" s="4">
        <f t="shared" si="24"/>
        <v>0.30286862746909604</v>
      </c>
    </row>
    <row r="150" spans="2:23" ht="12.75">
      <c r="B150" s="19">
        <v>115</v>
      </c>
      <c r="C150" s="58">
        <v>37005</v>
      </c>
      <c r="D150" s="50">
        <v>0</v>
      </c>
      <c r="E150" s="10">
        <f ca="1" t="shared" si="34"/>
        <v>20</v>
      </c>
      <c r="F150" s="10">
        <f ca="1" t="shared" si="34"/>
        <v>5.838</v>
      </c>
      <c r="G150" s="10">
        <f ca="1" t="shared" si="34"/>
        <v>0</v>
      </c>
      <c r="H150" s="10">
        <f t="shared" si="25"/>
        <v>20</v>
      </c>
      <c r="I150" s="10">
        <f>IF((SUM(H$36:H150)&gt;GDD_budbreak),(IF(((E150-10)&gt;0),(E150-10),0)),0)</f>
        <v>10</v>
      </c>
      <c r="J150" s="4">
        <f>IF((B150&lt;LeafDropDay),(SUM(I$36:I150)),0)</f>
        <v>84.85000000000002</v>
      </c>
      <c r="K150" s="4">
        <f t="shared" si="19"/>
        <v>0.17660103492154466</v>
      </c>
      <c r="L150" s="4">
        <f t="shared" si="20"/>
        <v>0.10053993274113826</v>
      </c>
      <c r="M150" s="4">
        <f t="shared" si="26"/>
        <v>1</v>
      </c>
      <c r="N150" s="4">
        <f t="shared" si="21"/>
        <v>0.10053993274113826</v>
      </c>
      <c r="O150" s="4">
        <f t="shared" si="27"/>
        <v>0.35717482560845804</v>
      </c>
      <c r="P150" s="10">
        <f t="shared" si="28"/>
        <v>-2.085186631902178</v>
      </c>
      <c r="Q150" s="10">
        <f t="shared" si="29"/>
        <v>-0.5869521273427651</v>
      </c>
      <c r="R150" s="4">
        <f t="shared" si="30"/>
        <v>0</v>
      </c>
      <c r="S150" s="4">
        <f t="shared" si="22"/>
        <v>0</v>
      </c>
      <c r="T150" s="4">
        <f t="shared" si="32"/>
        <v>276.1647565126706</v>
      </c>
      <c r="U150" s="4">
        <f t="shared" si="31"/>
        <v>276.1647565126706</v>
      </c>
      <c r="V150" s="4">
        <f t="shared" si="23"/>
        <v>0</v>
      </c>
      <c r="W150" s="4">
        <f t="shared" si="24"/>
        <v>0.3202382514317446</v>
      </c>
    </row>
    <row r="151" spans="2:23" ht="12.75">
      <c r="B151" s="19">
        <v>116</v>
      </c>
      <c r="C151" s="58">
        <v>37006</v>
      </c>
      <c r="D151" s="50">
        <v>0</v>
      </c>
      <c r="E151" s="10">
        <f ca="1" t="shared" si="34"/>
        <v>15.55</v>
      </c>
      <c r="F151" s="10">
        <f ca="1" t="shared" si="34"/>
        <v>4.569</v>
      </c>
      <c r="G151" s="10">
        <f ca="1" t="shared" si="34"/>
        <v>0</v>
      </c>
      <c r="H151" s="10">
        <f t="shared" si="25"/>
        <v>15.55</v>
      </c>
      <c r="I151" s="10">
        <f>IF((SUM(H$36:H151)&gt;GDD_budbreak),(IF(((E151-10)&gt;0),(E151-10),0)),0)</f>
        <v>5.550000000000001</v>
      </c>
      <c r="J151" s="4">
        <f>IF((B151&lt;LeafDropDay),(SUM(I$36:I151)),0)</f>
        <v>90.40000000000002</v>
      </c>
      <c r="K151" s="4">
        <f t="shared" si="19"/>
        <v>0.19330778318619907</v>
      </c>
      <c r="L151" s="4">
        <f t="shared" si="20"/>
        <v>0.10951112553410602</v>
      </c>
      <c r="M151" s="4">
        <f t="shared" si="26"/>
        <v>1</v>
      </c>
      <c r="N151" s="4">
        <f t="shared" si="21"/>
        <v>0.10951112553410602</v>
      </c>
      <c r="O151" s="4">
        <f t="shared" si="27"/>
        <v>0.34656459140009216</v>
      </c>
      <c r="P151" s="10">
        <f t="shared" si="28"/>
        <v>-1.5834536181070211</v>
      </c>
      <c r="Q151" s="10">
        <f t="shared" si="29"/>
        <v>-0.5003563325653304</v>
      </c>
      <c r="R151" s="4">
        <f t="shared" si="30"/>
        <v>0</v>
      </c>
      <c r="S151" s="4">
        <f t="shared" si="22"/>
        <v>0</v>
      </c>
      <c r="T151" s="4">
        <f t="shared" si="32"/>
        <v>274.08094656199825</v>
      </c>
      <c r="U151" s="4">
        <f t="shared" si="31"/>
        <v>274.08094656199825</v>
      </c>
      <c r="V151" s="4">
        <f t="shared" si="23"/>
        <v>0</v>
      </c>
      <c r="W151" s="4">
        <f t="shared" si="24"/>
        <v>0.334597732601382</v>
      </c>
    </row>
    <row r="152" spans="2:23" ht="12.75">
      <c r="B152" s="19">
        <v>117</v>
      </c>
      <c r="C152" s="58">
        <v>37007</v>
      </c>
      <c r="D152" s="50">
        <v>0</v>
      </c>
      <c r="E152" s="10">
        <f ca="1" t="shared" si="34"/>
        <v>14.45</v>
      </c>
      <c r="F152" s="10">
        <f ca="1" t="shared" si="34"/>
        <v>4.569</v>
      </c>
      <c r="G152" s="10">
        <f ca="1" t="shared" si="34"/>
        <v>0</v>
      </c>
      <c r="H152" s="10">
        <f t="shared" si="25"/>
        <v>14.45</v>
      </c>
      <c r="I152" s="10">
        <f>IF((SUM(H$36:H152)&gt;GDD_budbreak),(IF(((E152-10)&gt;0),(E152-10),0)),0)</f>
        <v>4.449999999999999</v>
      </c>
      <c r="J152" s="4">
        <f>IF((B152&lt;LeafDropDay),(SUM(I$36:I152)),0)</f>
        <v>94.85000000000002</v>
      </c>
      <c r="K152" s="4">
        <f t="shared" si="19"/>
        <v>0.21053874114570842</v>
      </c>
      <c r="L152" s="4">
        <f t="shared" si="20"/>
        <v>0.11867008447842242</v>
      </c>
      <c r="M152" s="4">
        <f t="shared" si="26"/>
        <v>1</v>
      </c>
      <c r="N152" s="4">
        <f t="shared" si="21"/>
        <v>0.11867008447842242</v>
      </c>
      <c r="O152" s="4">
        <f t="shared" si="27"/>
        <v>0.338290428411414</v>
      </c>
      <c r="P152" s="10">
        <f t="shared" si="28"/>
        <v>-1.5456489674117504</v>
      </c>
      <c r="Q152" s="10">
        <f t="shared" si="29"/>
        <v>-0.542203615981912</v>
      </c>
      <c r="R152" s="4">
        <f t="shared" si="30"/>
        <v>0</v>
      </c>
      <c r="S152" s="4">
        <f t="shared" si="22"/>
        <v>0</v>
      </c>
      <c r="T152" s="4">
        <f t="shared" si="32"/>
        <v>271.9930939786046</v>
      </c>
      <c r="U152" s="4">
        <f t="shared" si="31"/>
        <v>271.9930939786046</v>
      </c>
      <c r="V152" s="4">
        <f t="shared" si="23"/>
        <v>0</v>
      </c>
      <c r="W152" s="4">
        <f t="shared" si="24"/>
        <v>0.3497482506974199</v>
      </c>
    </row>
    <row r="153" spans="2:23" ht="12.75">
      <c r="B153" s="19">
        <v>118</v>
      </c>
      <c r="C153" s="58">
        <v>37008</v>
      </c>
      <c r="D153" s="50">
        <v>0</v>
      </c>
      <c r="E153" s="10">
        <f ca="1" t="shared" si="34"/>
        <v>14.45</v>
      </c>
      <c r="F153" s="10">
        <f ca="1" t="shared" si="34"/>
        <v>5.076</v>
      </c>
      <c r="G153" s="10">
        <f ca="1" t="shared" si="34"/>
        <v>0</v>
      </c>
      <c r="H153" s="10">
        <f t="shared" si="25"/>
        <v>14.45</v>
      </c>
      <c r="I153" s="10">
        <f>IF((SUM(H$36:H153)&gt;GDD_budbreak),(IF(((E153-10)&gt;0),(E153-10),0)),0)</f>
        <v>4.449999999999999</v>
      </c>
      <c r="J153" s="4">
        <f>IF((B153&lt;LeafDropDay),(SUM(I$36:I153)),0)</f>
        <v>99.30000000000003</v>
      </c>
      <c r="K153" s="4">
        <f t="shared" si="19"/>
        <v>0.23272053894599448</v>
      </c>
      <c r="L153" s="4">
        <f t="shared" si="20"/>
        <v>0.13032206312307082</v>
      </c>
      <c r="M153" s="4">
        <f t="shared" si="26"/>
        <v>1</v>
      </c>
      <c r="N153" s="4">
        <f t="shared" si="21"/>
        <v>0.13032206312307082</v>
      </c>
      <c r="O153" s="4">
        <f t="shared" si="27"/>
        <v>0.33000021338208363</v>
      </c>
      <c r="P153" s="10">
        <f t="shared" si="28"/>
        <v>-1.6750810831274563</v>
      </c>
      <c r="Q153" s="10">
        <f t="shared" si="29"/>
        <v>-0.6615147924127074</v>
      </c>
      <c r="R153" s="4">
        <f t="shared" si="30"/>
        <v>0</v>
      </c>
      <c r="S153" s="4">
        <f t="shared" si="22"/>
        <v>0</v>
      </c>
      <c r="T153" s="4">
        <f t="shared" si="32"/>
        <v>269.6564981030644</v>
      </c>
      <c r="U153" s="4">
        <f t="shared" si="31"/>
        <v>269.6564981030644</v>
      </c>
      <c r="V153" s="4">
        <f t="shared" si="23"/>
        <v>0</v>
      </c>
      <c r="W153" s="4">
        <f t="shared" si="24"/>
        <v>0.3676675401236183</v>
      </c>
    </row>
    <row r="154" spans="2:23" ht="12.75">
      <c r="B154" s="19">
        <v>119</v>
      </c>
      <c r="C154" s="58">
        <v>37009</v>
      </c>
      <c r="D154" s="50">
        <v>0</v>
      </c>
      <c r="E154" s="10">
        <f ca="1" t="shared" si="34"/>
        <v>15.55</v>
      </c>
      <c r="F154" s="10">
        <f ca="1" t="shared" si="34"/>
        <v>5.584</v>
      </c>
      <c r="G154" s="10">
        <f ca="1" t="shared" si="34"/>
        <v>0</v>
      </c>
      <c r="H154" s="10">
        <f t="shared" si="25"/>
        <v>15.55</v>
      </c>
      <c r="I154" s="10">
        <f>IF((SUM(H$36:H154)&gt;GDD_budbreak),(IF(((E154-10)&gt;0),(E154-10),0)),0)</f>
        <v>5.550000000000001</v>
      </c>
      <c r="J154" s="4">
        <f>IF((B154&lt;LeafDropDay),(SUM(I$36:I154)),0)</f>
        <v>104.85000000000002</v>
      </c>
      <c r="K154" s="4">
        <f t="shared" si="19"/>
        <v>0.26721132048504076</v>
      </c>
      <c r="L154" s="4">
        <f t="shared" si="20"/>
        <v>0.1481346395582417</v>
      </c>
      <c r="M154" s="4">
        <f t="shared" si="26"/>
        <v>1</v>
      </c>
      <c r="N154" s="4">
        <f t="shared" si="21"/>
        <v>0.1481346395582417</v>
      </c>
      <c r="O154" s="4">
        <f t="shared" si="27"/>
        <v>0.3207223158911657</v>
      </c>
      <c r="P154" s="10">
        <f t="shared" si="28"/>
        <v>-1.790913411936269</v>
      </c>
      <c r="Q154" s="10">
        <f t="shared" si="29"/>
        <v>-0.8271838272932215</v>
      </c>
      <c r="R154" s="4">
        <f t="shared" si="30"/>
        <v>0</v>
      </c>
      <c r="S154" s="4">
        <f t="shared" si="22"/>
        <v>0</v>
      </c>
      <c r="T154" s="4">
        <f t="shared" si="32"/>
        <v>267.0384008638349</v>
      </c>
      <c r="U154" s="4">
        <f t="shared" si="31"/>
        <v>267.0384008638349</v>
      </c>
      <c r="V154" s="4">
        <f t="shared" si="23"/>
        <v>0</v>
      </c>
      <c r="W154" s="4">
        <f t="shared" si="24"/>
        <v>0.38903959973843627</v>
      </c>
    </row>
    <row r="155" spans="2:23" ht="12.75">
      <c r="B155" s="19">
        <v>120</v>
      </c>
      <c r="C155" s="58">
        <v>37010</v>
      </c>
      <c r="D155" s="50">
        <v>0</v>
      </c>
      <c r="E155" s="10">
        <f ca="1" t="shared" si="34"/>
        <v>18.3</v>
      </c>
      <c r="F155" s="10">
        <f ca="1" t="shared" si="34"/>
        <v>5.584</v>
      </c>
      <c r="G155" s="10">
        <f ca="1" t="shared" si="34"/>
        <v>0</v>
      </c>
      <c r="H155" s="10">
        <f t="shared" si="25"/>
        <v>18.3</v>
      </c>
      <c r="I155" s="10">
        <f>IF((SUM(H$36:H155)&gt;GDD_budbreak),(IF(((E155-10)&gt;0),(E155-10),0)),0)</f>
        <v>8.3</v>
      </c>
      <c r="J155" s="4">
        <f>IF((B155&lt;LeafDropDay),(SUM(I$36:I155)),0)</f>
        <v>113.15000000000002</v>
      </c>
      <c r="K155" s="4">
        <f t="shared" si="19"/>
        <v>0.30443637511054344</v>
      </c>
      <c r="L155" s="4">
        <f t="shared" si="20"/>
        <v>0.16695017532307377</v>
      </c>
      <c r="M155" s="4">
        <f t="shared" si="26"/>
        <v>1</v>
      </c>
      <c r="N155" s="4">
        <f t="shared" si="21"/>
        <v>0.16695017532307377</v>
      </c>
      <c r="O155" s="4">
        <f t="shared" si="27"/>
        <v>0.31032666379697943</v>
      </c>
      <c r="P155" s="10">
        <f t="shared" si="28"/>
        <v>-1.732864090642333</v>
      </c>
      <c r="Q155" s="10">
        <f t="shared" si="29"/>
        <v>-0.9322497790040438</v>
      </c>
      <c r="R155" s="4">
        <f t="shared" si="30"/>
        <v>0</v>
      </c>
      <c r="S155" s="4">
        <f t="shared" si="22"/>
        <v>0</v>
      </c>
      <c r="T155" s="4">
        <f t="shared" si="32"/>
        <v>264.3732869941885</v>
      </c>
      <c r="U155" s="4">
        <f t="shared" si="31"/>
        <v>264.3732869941885</v>
      </c>
      <c r="V155" s="4">
        <f t="shared" si="23"/>
        <v>0</v>
      </c>
      <c r="W155" s="4">
        <f t="shared" si="24"/>
        <v>0.4123076104896932</v>
      </c>
    </row>
    <row r="156" spans="2:23" ht="12.75">
      <c r="B156" s="19">
        <v>121</v>
      </c>
      <c r="C156" s="58">
        <v>37011</v>
      </c>
      <c r="D156" s="50">
        <v>0</v>
      </c>
      <c r="E156" s="10">
        <f ca="1" t="shared" si="35" ref="E156:G175">INDIRECT(WeatherSheet&amp;"!"&amp;E525)</f>
        <v>18.6</v>
      </c>
      <c r="F156" s="10">
        <f ca="1" t="shared" si="35"/>
        <v>6.091</v>
      </c>
      <c r="G156" s="10">
        <f ca="1" t="shared" si="35"/>
        <v>0</v>
      </c>
      <c r="H156" s="10">
        <f t="shared" si="25"/>
        <v>18.6</v>
      </c>
      <c r="I156" s="10">
        <f>IF((SUM(H$36:H156)&gt;GDD_budbreak),(IF(((E156-10)&gt;0),(E156-10),0)),0)</f>
        <v>8.600000000000001</v>
      </c>
      <c r="J156" s="4">
        <f>IF((B156&lt;LeafDropDay),(SUM(I$36:I156)),0)</f>
        <v>121.75000000000003</v>
      </c>
      <c r="K156" s="4">
        <f t="shared" si="19"/>
        <v>0.3418313561407512</v>
      </c>
      <c r="L156" s="4">
        <f t="shared" si="20"/>
        <v>0.18543317791441205</v>
      </c>
      <c r="M156" s="4">
        <f t="shared" si="26"/>
        <v>1</v>
      </c>
      <c r="N156" s="4">
        <f t="shared" si="21"/>
        <v>0.18543317791441205</v>
      </c>
      <c r="O156" s="4">
        <f t="shared" si="27"/>
        <v>0.29974432324633266</v>
      </c>
      <c r="P156" s="10">
        <f t="shared" si="28"/>
        <v>-1.8257426728934123</v>
      </c>
      <c r="Q156" s="10">
        <f t="shared" si="29"/>
        <v>-1.1294734866766838</v>
      </c>
      <c r="R156" s="4">
        <f t="shared" si="30"/>
        <v>0</v>
      </c>
      <c r="S156" s="4">
        <f t="shared" si="22"/>
        <v>0</v>
      </c>
      <c r="T156" s="4">
        <f t="shared" si="32"/>
        <v>261.4180708346184</v>
      </c>
      <c r="U156" s="4">
        <f t="shared" si="31"/>
        <v>261.4180708346184</v>
      </c>
      <c r="V156" s="4">
        <f t="shared" si="23"/>
        <v>0</v>
      </c>
      <c r="W156" s="4">
        <f t="shared" si="24"/>
        <v>0.44004190165832957</v>
      </c>
    </row>
    <row r="157" spans="2:23" ht="12.75">
      <c r="B157" s="19">
        <v>122</v>
      </c>
      <c r="C157" s="58">
        <v>37012</v>
      </c>
      <c r="D157" s="50">
        <v>0</v>
      </c>
      <c r="E157" s="10">
        <f ca="1" t="shared" si="35"/>
        <v>18.35</v>
      </c>
      <c r="F157" s="10">
        <f ca="1" t="shared" si="35"/>
        <v>8.376</v>
      </c>
      <c r="G157" s="10">
        <f ca="1" t="shared" si="35"/>
        <v>0.254</v>
      </c>
      <c r="H157" s="10">
        <f t="shared" si="25"/>
        <v>18.35</v>
      </c>
      <c r="I157" s="10">
        <f>IF((SUM(H$36:H157)&gt;GDD_budbreak),(IF(((E157-10)&gt;0),(E157-10),0)),0)</f>
        <v>8.350000000000001</v>
      </c>
      <c r="J157" s="4">
        <f>IF((B157&lt;LeafDropDay),(SUM(I$36:I157)),0)</f>
        <v>130.10000000000002</v>
      </c>
      <c r="K157" s="4">
        <f t="shared" si="19"/>
        <v>0.3828297975165635</v>
      </c>
      <c r="L157" s="4">
        <f t="shared" si="20"/>
        <v>0.20522631555564275</v>
      </c>
      <c r="M157" s="4">
        <f t="shared" si="26"/>
        <v>1</v>
      </c>
      <c r="N157" s="4">
        <f t="shared" si="21"/>
        <v>0.20522631555564275</v>
      </c>
      <c r="O157" s="4">
        <f t="shared" si="27"/>
        <v>0.2880100764820491</v>
      </c>
      <c r="P157" s="10">
        <f t="shared" si="28"/>
        <v>-2.412372400613643</v>
      </c>
      <c r="Q157" s="10">
        <f t="shared" si="29"/>
        <v>-1.7189756190940635</v>
      </c>
      <c r="R157" s="4">
        <f t="shared" si="30"/>
        <v>0</v>
      </c>
      <c r="S157" s="4">
        <f t="shared" si="22"/>
        <v>0</v>
      </c>
      <c r="T157" s="4">
        <f t="shared" si="32"/>
        <v>257.5407228149107</v>
      </c>
      <c r="U157" s="4">
        <f t="shared" si="31"/>
        <v>257.5407228149107</v>
      </c>
      <c r="V157" s="4">
        <f t="shared" si="23"/>
        <v>0</v>
      </c>
      <c r="W157" s="4">
        <f t="shared" si="24"/>
        <v>0.4798190426426649</v>
      </c>
    </row>
    <row r="158" spans="2:23" ht="12.75">
      <c r="B158" s="19">
        <v>123</v>
      </c>
      <c r="C158" s="58">
        <v>37013</v>
      </c>
      <c r="D158" s="50">
        <v>0</v>
      </c>
      <c r="E158" s="10">
        <f ca="1" t="shared" si="35"/>
        <v>18.9</v>
      </c>
      <c r="F158" s="10">
        <f ca="1" t="shared" si="35"/>
        <v>7.614</v>
      </c>
      <c r="G158" s="10">
        <f ca="1" t="shared" si="35"/>
        <v>0</v>
      </c>
      <c r="H158" s="10">
        <f t="shared" si="25"/>
        <v>18.9</v>
      </c>
      <c r="I158" s="10">
        <f>IF((SUM(H$36:H158)&gt;GDD_budbreak),(IF(((E158-10)&gt;0),(E158-10),0)),0)</f>
        <v>8.899999999999999</v>
      </c>
      <c r="J158" s="4">
        <f>IF((B158&lt;LeafDropDay),(SUM(I$36:I158)),0)</f>
        <v>139.00000000000003</v>
      </c>
      <c r="K158" s="4">
        <f t="shared" si="19"/>
        <v>0.4209759710860042</v>
      </c>
      <c r="L158" s="4">
        <f t="shared" si="20"/>
        <v>0.2232102697303775</v>
      </c>
      <c r="M158" s="4">
        <f t="shared" si="26"/>
        <v>1</v>
      </c>
      <c r="N158" s="4">
        <f t="shared" si="21"/>
        <v>0.2232102697303775</v>
      </c>
      <c r="O158" s="4">
        <f t="shared" si="27"/>
        <v>0.2726143301144214</v>
      </c>
      <c r="P158" s="10">
        <f t="shared" si="28"/>
        <v>-2.0756855094912043</v>
      </c>
      <c r="Q158" s="10">
        <f t="shared" si="29"/>
        <v>-1.6995229937270941</v>
      </c>
      <c r="R158" s="4">
        <f t="shared" si="30"/>
        <v>0</v>
      </c>
      <c r="S158" s="4">
        <f t="shared" si="22"/>
        <v>0</v>
      </c>
      <c r="T158" s="4">
        <f t="shared" si="32"/>
        <v>253.76551431169239</v>
      </c>
      <c r="U158" s="4">
        <f t="shared" si="31"/>
        <v>253.76551431169239</v>
      </c>
      <c r="V158" s="4">
        <f t="shared" si="23"/>
        <v>0</v>
      </c>
      <c r="W158" s="4">
        <f t="shared" si="24"/>
        <v>0.5226591356056156</v>
      </c>
    </row>
    <row r="159" spans="2:23" ht="12.75">
      <c r="B159" s="19">
        <v>124</v>
      </c>
      <c r="C159" s="58">
        <v>37014</v>
      </c>
      <c r="D159" s="50">
        <v>0</v>
      </c>
      <c r="E159" s="10">
        <f ca="1" t="shared" si="35"/>
        <v>18.1</v>
      </c>
      <c r="F159" s="10">
        <f ca="1" t="shared" si="35"/>
        <v>6.599</v>
      </c>
      <c r="G159" s="10">
        <f ca="1" t="shared" si="35"/>
        <v>0</v>
      </c>
      <c r="H159" s="10">
        <f t="shared" si="25"/>
        <v>18.1</v>
      </c>
      <c r="I159" s="10">
        <f>IF((SUM(H$36:H159)&gt;GDD_budbreak),(IF(((E159-10)&gt;0),(E159-10),0)),0)</f>
        <v>8.100000000000001</v>
      </c>
      <c r="J159" s="4">
        <f>IF((B159&lt;LeafDropDay),(SUM(I$36:I159)),0)</f>
        <v>147.10000000000002</v>
      </c>
      <c r="K159" s="4">
        <f t="shared" si="19"/>
        <v>0.46239004861326855</v>
      </c>
      <c r="L159" s="4">
        <f t="shared" si="20"/>
        <v>0.24227444926081787</v>
      </c>
      <c r="M159" s="4">
        <f t="shared" si="26"/>
        <v>1</v>
      </c>
      <c r="N159" s="4">
        <f t="shared" si="21"/>
        <v>0.24227444926081787</v>
      </c>
      <c r="O159" s="4">
        <f t="shared" si="27"/>
        <v>0.25762414808664413</v>
      </c>
      <c r="P159" s="10">
        <f t="shared" si="28"/>
        <v>-1.7000617532237647</v>
      </c>
      <c r="Q159" s="10">
        <f t="shared" si="29"/>
        <v>-1.5987690906721372</v>
      </c>
      <c r="R159" s="4">
        <f t="shared" si="30"/>
        <v>0</v>
      </c>
      <c r="S159" s="4">
        <f t="shared" si="22"/>
        <v>0</v>
      </c>
      <c r="T159" s="4">
        <f t="shared" si="32"/>
        <v>250.46668346779649</v>
      </c>
      <c r="U159" s="4">
        <f t="shared" si="31"/>
        <v>250.46668346779649</v>
      </c>
      <c r="V159" s="4">
        <f t="shared" si="23"/>
        <v>0</v>
      </c>
      <c r="W159" s="4">
        <f t="shared" si="24"/>
        <v>0.563803960135722</v>
      </c>
    </row>
    <row r="160" spans="2:23" ht="12.75">
      <c r="B160" s="19">
        <v>125</v>
      </c>
      <c r="C160" s="58">
        <v>37015</v>
      </c>
      <c r="D160" s="50">
        <v>0</v>
      </c>
      <c r="E160" s="10">
        <f ca="1" t="shared" si="35"/>
        <v>18.65</v>
      </c>
      <c r="F160" s="10">
        <f ca="1" t="shared" si="35"/>
        <v>6.091</v>
      </c>
      <c r="G160" s="10">
        <f ca="1" t="shared" si="35"/>
        <v>0</v>
      </c>
      <c r="H160" s="10">
        <f t="shared" si="25"/>
        <v>18.65</v>
      </c>
      <c r="I160" s="10">
        <f>IF((SUM(H$36:H160)&gt;GDD_budbreak),(IF(((E160-10)&gt;0),(E160-10),0)),0)</f>
        <v>8.649999999999999</v>
      </c>
      <c r="J160" s="4">
        <f>IF((B160&lt;LeafDropDay),(SUM(I$36:I160)),0)</f>
        <v>155.75000000000003</v>
      </c>
      <c r="K160" s="4">
        <f t="shared" si="19"/>
        <v>0.5082006108407291</v>
      </c>
      <c r="L160" s="4">
        <f t="shared" si="20"/>
        <v>0.2628179235601149</v>
      </c>
      <c r="M160" s="4">
        <f t="shared" si="26"/>
        <v>1</v>
      </c>
      <c r="N160" s="4">
        <f t="shared" si="21"/>
        <v>0.2628179235601149</v>
      </c>
      <c r="O160" s="4">
        <f t="shared" si="27"/>
        <v>0.2445255139882386</v>
      </c>
      <c r="P160" s="10">
        <f t="shared" si="28"/>
        <v>-1.4894049057023613</v>
      </c>
      <c r="Q160" s="10">
        <f t="shared" si="29"/>
        <v>-1.60082397240466</v>
      </c>
      <c r="R160" s="4">
        <f t="shared" si="30"/>
        <v>0</v>
      </c>
      <c r="S160" s="4">
        <f t="shared" si="22"/>
        <v>0</v>
      </c>
      <c r="T160" s="4">
        <f t="shared" si="32"/>
        <v>247.37645458968947</v>
      </c>
      <c r="U160" s="4">
        <f t="shared" si="31"/>
        <v>247.37645458968947</v>
      </c>
      <c r="V160" s="4">
        <f t="shared" si="23"/>
        <v>0</v>
      </c>
      <c r="W160" s="4">
        <f t="shared" si="24"/>
        <v>0.6058320572670138</v>
      </c>
    </row>
    <row r="161" spans="2:23" ht="12.75">
      <c r="B161" s="19">
        <v>126</v>
      </c>
      <c r="C161" s="58">
        <v>37016</v>
      </c>
      <c r="D161" s="50">
        <v>0</v>
      </c>
      <c r="E161" s="10">
        <f ca="1" t="shared" si="35"/>
        <v>19.45</v>
      </c>
      <c r="F161" s="10">
        <f ca="1" t="shared" si="35"/>
        <v>6.345</v>
      </c>
      <c r="G161" s="10">
        <f ca="1" t="shared" si="35"/>
        <v>0</v>
      </c>
      <c r="H161" s="10">
        <f t="shared" si="25"/>
        <v>19.45</v>
      </c>
      <c r="I161" s="10">
        <f>IF((SUM(H$36:H161)&gt;GDD_budbreak),(IF(((E161-10)&gt;0),(E161-10),0)),0)</f>
        <v>9.45</v>
      </c>
      <c r="J161" s="4">
        <f>IF((B161&lt;LeafDropDay),(SUM(I$36:I161)),0)</f>
        <v>165.20000000000002</v>
      </c>
      <c r="K161" s="4">
        <f t="shared" si="19"/>
        <v>0.5678139355029743</v>
      </c>
      <c r="L161" s="4">
        <f t="shared" si="20"/>
        <v>0.28871946378894464</v>
      </c>
      <c r="M161" s="4">
        <f t="shared" si="26"/>
        <v>1</v>
      </c>
      <c r="N161" s="4">
        <f t="shared" si="21"/>
        <v>0.28871946378894464</v>
      </c>
      <c r="O161" s="4">
        <f t="shared" si="27"/>
        <v>0.2322551735948991</v>
      </c>
      <c r="P161" s="10">
        <f t="shared" si="28"/>
        <v>-1.473659076459635</v>
      </c>
      <c r="Q161" s="10">
        <f t="shared" si="29"/>
        <v>-1.8319249977408536</v>
      </c>
      <c r="R161" s="4">
        <f t="shared" si="30"/>
        <v>0</v>
      </c>
      <c r="S161" s="4">
        <f t="shared" si="22"/>
        <v>0</v>
      </c>
      <c r="T161" s="4">
        <f t="shared" si="32"/>
        <v>244.070870515489</v>
      </c>
      <c r="U161" s="4">
        <f t="shared" si="31"/>
        <v>244.070870515489</v>
      </c>
      <c r="V161" s="4">
        <f t="shared" si="23"/>
        <v>0</v>
      </c>
      <c r="W161" s="4">
        <f t="shared" si="24"/>
        <v>0.6549182782991746</v>
      </c>
    </row>
    <row r="162" spans="2:23" ht="12.75">
      <c r="B162" s="19">
        <v>127</v>
      </c>
      <c r="C162" s="58">
        <v>37017</v>
      </c>
      <c r="D162" s="50">
        <v>0</v>
      </c>
      <c r="E162" s="10">
        <f ca="1" t="shared" si="35"/>
        <v>22.2</v>
      </c>
      <c r="F162" s="10">
        <f ca="1" t="shared" si="35"/>
        <v>6.599</v>
      </c>
      <c r="G162" s="10">
        <f ca="1" t="shared" si="35"/>
        <v>0</v>
      </c>
      <c r="H162" s="10">
        <f t="shared" si="25"/>
        <v>22.2</v>
      </c>
      <c r="I162" s="10">
        <f>IF((SUM(H$36:H162)&gt;GDD_budbreak),(IF(((E162-10)&gt;0),(E162-10),0)),0)</f>
        <v>12.2</v>
      </c>
      <c r="J162" s="4">
        <f>IF((B162&lt;LeafDropDay),(SUM(I$36:I162)),0)</f>
        <v>177.4</v>
      </c>
      <c r="K162" s="4">
        <f t="shared" si="19"/>
        <v>0.631866371318645</v>
      </c>
      <c r="L162" s="4">
        <f t="shared" si="20"/>
        <v>0.3155364065857402</v>
      </c>
      <c r="M162" s="4">
        <f t="shared" si="26"/>
        <v>1</v>
      </c>
      <c r="N162" s="4">
        <f t="shared" si="21"/>
        <v>0.3155364065857402</v>
      </c>
      <c r="O162" s="4">
        <f t="shared" si="27"/>
        <v>0.2191297245135715</v>
      </c>
      <c r="P162" s="10">
        <f t="shared" si="28"/>
        <v>-1.4460370520650583</v>
      </c>
      <c r="Q162" s="10">
        <f t="shared" si="29"/>
        <v>-2.0822247470593</v>
      </c>
      <c r="R162" s="4">
        <f t="shared" si="30"/>
        <v>0</v>
      </c>
      <c r="S162" s="4">
        <f t="shared" si="22"/>
        <v>0</v>
      </c>
      <c r="T162" s="4">
        <f t="shared" si="32"/>
        <v>240.54260871636464</v>
      </c>
      <c r="U162" s="4">
        <f t="shared" si="31"/>
        <v>240.54260871636464</v>
      </c>
      <c r="V162" s="4">
        <f t="shared" si="23"/>
        <v>0</v>
      </c>
      <c r="W162" s="4">
        <f t="shared" si="24"/>
        <v>0.7125422015022046</v>
      </c>
    </row>
    <row r="163" spans="2:23" ht="12.75">
      <c r="B163" s="19">
        <v>128</v>
      </c>
      <c r="C163" s="58">
        <v>37018</v>
      </c>
      <c r="D163" s="50">
        <v>0</v>
      </c>
      <c r="E163" s="10">
        <f ca="1" t="shared" si="35"/>
        <v>23.1</v>
      </c>
      <c r="F163" s="10">
        <f ca="1" t="shared" si="35"/>
        <v>6.599</v>
      </c>
      <c r="G163" s="10">
        <f ca="1" t="shared" si="35"/>
        <v>0</v>
      </c>
      <c r="H163" s="10">
        <f t="shared" si="25"/>
        <v>23.1</v>
      </c>
      <c r="I163" s="10">
        <f>IF((SUM(H$36:H163)&gt;GDD_budbreak),(IF(((E163-10)&gt;0),(E163-10),0)),0)</f>
        <v>13.100000000000001</v>
      </c>
      <c r="J163" s="4">
        <f>IF((B163&lt;LeafDropDay),(SUM(I$36:I163)),0)</f>
        <v>190.5</v>
      </c>
      <c r="K163" s="4">
        <f t="shared" si="19"/>
        <v>0.6845302130925927</v>
      </c>
      <c r="L163" s="4">
        <f t="shared" si="20"/>
        <v>0.3368261645108612</v>
      </c>
      <c r="M163" s="4">
        <f t="shared" si="26"/>
        <v>1</v>
      </c>
      <c r="N163" s="4">
        <f t="shared" si="21"/>
        <v>0.3368261645108612</v>
      </c>
      <c r="O163" s="4">
        <f t="shared" si="27"/>
        <v>0.20512009125346417</v>
      </c>
      <c r="P163" s="10">
        <f t="shared" si="28"/>
        <v>-1.35358748218161</v>
      </c>
      <c r="Q163" s="10">
        <f t="shared" si="29"/>
        <v>-2.2227158596071734</v>
      </c>
      <c r="R163" s="4">
        <f t="shared" si="30"/>
        <v>0</v>
      </c>
      <c r="S163" s="4">
        <f t="shared" si="22"/>
        <v>0</v>
      </c>
      <c r="T163" s="4">
        <f t="shared" si="32"/>
        <v>236.96630537457585</v>
      </c>
      <c r="U163" s="4">
        <f t="shared" si="31"/>
        <v>236.96630537457585</v>
      </c>
      <c r="V163" s="4">
        <f t="shared" si="23"/>
        <v>0</v>
      </c>
      <c r="W163" s="4">
        <f t="shared" si="24"/>
        <v>0.7771146578856387</v>
      </c>
    </row>
    <row r="164" spans="2:23" ht="12.75">
      <c r="B164" s="19">
        <v>129</v>
      </c>
      <c r="C164" s="58">
        <v>37019</v>
      </c>
      <c r="D164" s="50">
        <v>0</v>
      </c>
      <c r="E164" s="10">
        <f ca="1" t="shared" si="35"/>
        <v>20.85</v>
      </c>
      <c r="F164" s="10">
        <f ca="1" t="shared" si="35"/>
        <v>6.345</v>
      </c>
      <c r="G164" s="10">
        <f ca="1" t="shared" si="35"/>
        <v>0.254</v>
      </c>
      <c r="H164" s="10">
        <f t="shared" si="25"/>
        <v>20.85</v>
      </c>
      <c r="I164" s="10">
        <f>IF((SUM(H$36:H164)&gt;GDD_budbreak),(IF(((E164-10)&gt;0),(E164-10),0)),0)</f>
        <v>10.850000000000001</v>
      </c>
      <c r="J164" s="4">
        <f>IF((B164&lt;LeafDropDay),(SUM(I$36:I164)),0)</f>
        <v>201.35</v>
      </c>
      <c r="K164" s="4">
        <f aca="true" t="shared" si="36" ref="K164:K227">IF(J164&gt;0,((1.0066-1.0118*EXP(-5.0278*(J165/GDD_MaxLAI)^1.9331))*MaxLAI),0)</f>
        <v>0.7376938991020598</v>
      </c>
      <c r="L164" s="4">
        <f aca="true" t="shared" si="37" ref="L164:L227">1-EXP(-ExtCoeff*K164)</f>
        <v>0.35764639445152846</v>
      </c>
      <c r="M164" s="4">
        <f t="shared" si="26"/>
        <v>1</v>
      </c>
      <c r="N164" s="4">
        <f aca="true" t="shared" si="38" ref="N164:N227">IF(AlterKc?&gt;0,L164*M164,L164)</f>
        <v>0.35764639445152846</v>
      </c>
      <c r="O164" s="4">
        <f t="shared" si="27"/>
        <v>0.19091969992825364</v>
      </c>
      <c r="P164" s="10">
        <f t="shared" si="28"/>
        <v>-1.2113854960447692</v>
      </c>
      <c r="Q164" s="10">
        <f t="shared" si="29"/>
        <v>-2.269266372794948</v>
      </c>
      <c r="R164" s="4">
        <f t="shared" si="30"/>
        <v>0</v>
      </c>
      <c r="S164" s="4">
        <f aca="true" t="shared" si="39" ref="S164:S227">R164*IrrConv</f>
        <v>0</v>
      </c>
      <c r="T164" s="4">
        <f t="shared" si="32"/>
        <v>233.73965350573613</v>
      </c>
      <c r="U164" s="4">
        <f t="shared" si="31"/>
        <v>233.73965350573613</v>
      </c>
      <c r="V164" s="4">
        <f aca="true" t="shared" si="40" ref="V164:V227">IF((T164&gt;SMatFC),((T164-SMatFC)*-V$29),0)</f>
        <v>0</v>
      </c>
      <c r="W164" s="4">
        <f aca="true" t="shared" si="41" ref="W164:W227">((SoilA*(U164/((RootDepth*1000)*(1-(Gravel/100))))^SoilB)/100)</f>
        <v>0.8413319268366007</v>
      </c>
    </row>
    <row r="165" spans="2:23" ht="12.75">
      <c r="B165" s="19">
        <v>130</v>
      </c>
      <c r="C165" s="58">
        <v>37020</v>
      </c>
      <c r="D165" s="50">
        <v>0</v>
      </c>
      <c r="E165" s="10">
        <f ca="1" t="shared" si="35"/>
        <v>21.1</v>
      </c>
      <c r="F165" s="10">
        <f ca="1" t="shared" si="35"/>
        <v>6.345</v>
      </c>
      <c r="G165" s="10">
        <f ca="1" t="shared" si="35"/>
        <v>0</v>
      </c>
      <c r="H165" s="10">
        <f aca="true" t="shared" si="42" ref="H165:H228">IF(((E165-0)&gt;0),(E165-0),0)</f>
        <v>21.1</v>
      </c>
      <c r="I165" s="10">
        <f>IF((SUM(H$36:H165)&gt;GDD_budbreak),(IF(((E165-10)&gt;0),(E165-10),0)),0)</f>
        <v>11.100000000000001</v>
      </c>
      <c r="J165" s="4">
        <f>IF((B165&lt;LeafDropDay),(SUM(I$36:I165)),0)</f>
        <v>212.45</v>
      </c>
      <c r="K165" s="4">
        <f t="shared" si="36"/>
        <v>0.7781939620013781</v>
      </c>
      <c r="L165" s="4">
        <f t="shared" si="37"/>
        <v>0.3730674859278408</v>
      </c>
      <c r="M165" s="4">
        <f aca="true" t="shared" si="43" ref="M165:M228">IF((W164&gt;LWP_KcMax),IF(W164&lt;LWP_Kc0,(1-((W164-LWP_KcMax)/(LWP_Kc0-LWP_KcMax))),0),1)</f>
        <v>1</v>
      </c>
      <c r="N165" s="4">
        <f t="shared" si="38"/>
        <v>0.3730674859278408</v>
      </c>
      <c r="O165" s="4">
        <f aca="true" t="shared" si="44" ref="O165:O228">IF(CC_cover&gt;0,(IF(B165&lt;CCLastDay,(IF((U164&gt;(SMatFC*CC_SMdeath)),(((U164-(SMatFC*CC_SMdeath))/(SMatFC-(SMatFC*CC_SMdeath)))*CC_cover),0)),0)),0)</f>
        <v>0.17810766615238607</v>
      </c>
      <c r="P165" s="10">
        <f aca="true" t="shared" si="45" ref="P165:P228">F165*O165*-1</f>
        <v>-1.1300931417368896</v>
      </c>
      <c r="Q165" s="10">
        <f aca="true" t="shared" si="46" ref="Q165:Q228">F165*N165*-1</f>
        <v>-2.3671131982121496</v>
      </c>
      <c r="R165" s="4">
        <f aca="true" t="shared" si="47" ref="R165:R228">IF((SimIrr?=1),(IF((U164&lt;SMatIrrig),((SMatOptLWP-SMatIrrig)*2),0)),D165)</f>
        <v>0</v>
      </c>
      <c r="S165" s="4">
        <f t="shared" si="39"/>
        <v>0</v>
      </c>
      <c r="T165" s="4">
        <f t="shared" si="32"/>
        <v>230.2424471657871</v>
      </c>
      <c r="U165" s="4">
        <f aca="true" t="shared" si="48" ref="U165:U228">T165+V165</f>
        <v>230.2424471657871</v>
      </c>
      <c r="V165" s="4">
        <f t="shared" si="40"/>
        <v>0</v>
      </c>
      <c r="W165" s="4">
        <f t="shared" si="41"/>
        <v>0.9180846005838695</v>
      </c>
    </row>
    <row r="166" spans="2:23" ht="12.75">
      <c r="B166" s="19">
        <v>131</v>
      </c>
      <c r="C166" s="58">
        <v>37021</v>
      </c>
      <c r="D166" s="50">
        <v>0</v>
      </c>
      <c r="E166" s="10">
        <f ca="1" t="shared" si="35"/>
        <v>18.6</v>
      </c>
      <c r="F166" s="10">
        <f ca="1" t="shared" si="35"/>
        <v>5.838</v>
      </c>
      <c r="G166" s="10">
        <f ca="1" t="shared" si="35"/>
        <v>0</v>
      </c>
      <c r="H166" s="10">
        <f t="shared" si="42"/>
        <v>18.6</v>
      </c>
      <c r="I166" s="10">
        <f>IF((SUM(H$36:H166)&gt;GDD_budbreak),(IF(((E166-10)&gt;0),(E166-10),0)),0)</f>
        <v>8.600000000000001</v>
      </c>
      <c r="J166" s="4">
        <f>IF((B166&lt;LeafDropDay),(SUM(I$36:I166)),0)</f>
        <v>221.04999999999998</v>
      </c>
      <c r="K166" s="4">
        <f t="shared" si="36"/>
        <v>0.8000208648847957</v>
      </c>
      <c r="L166" s="4">
        <f t="shared" si="37"/>
        <v>0.38122435465188054</v>
      </c>
      <c r="M166" s="4">
        <f t="shared" si="43"/>
        <v>1</v>
      </c>
      <c r="N166" s="4">
        <f t="shared" si="38"/>
        <v>0.38122435465188054</v>
      </c>
      <c r="O166" s="4">
        <f t="shared" si="44"/>
        <v>0.16422134448833958</v>
      </c>
      <c r="P166" s="10">
        <f t="shared" si="45"/>
        <v>-0.9587242091229264</v>
      </c>
      <c r="Q166" s="10">
        <f t="shared" si="46"/>
        <v>-2.2255877824576786</v>
      </c>
      <c r="R166" s="4">
        <f t="shared" si="47"/>
        <v>0</v>
      </c>
      <c r="S166" s="4">
        <f t="shared" si="39"/>
        <v>0</v>
      </c>
      <c r="T166" s="4">
        <f aca="true" t="shared" si="49" ref="T166:T229">G166+P166+Q166+R166+U165</f>
        <v>227.05813517420648</v>
      </c>
      <c r="U166" s="4">
        <f t="shared" si="48"/>
        <v>227.05813517420648</v>
      </c>
      <c r="V166" s="4">
        <f t="shared" si="40"/>
        <v>0</v>
      </c>
      <c r="W166" s="4">
        <f t="shared" si="41"/>
        <v>0.9951993191570371</v>
      </c>
    </row>
    <row r="167" spans="2:23" ht="12.75">
      <c r="B167" s="19">
        <v>132</v>
      </c>
      <c r="C167" s="58">
        <v>37022</v>
      </c>
      <c r="D167" s="50">
        <v>0</v>
      </c>
      <c r="E167" s="10">
        <f ca="1" t="shared" si="35"/>
        <v>14.7</v>
      </c>
      <c r="F167" s="10">
        <f ca="1" t="shared" si="35"/>
        <v>4.822</v>
      </c>
      <c r="G167" s="10">
        <f ca="1" t="shared" si="35"/>
        <v>0</v>
      </c>
      <c r="H167" s="10">
        <f t="shared" si="42"/>
        <v>14.7</v>
      </c>
      <c r="I167" s="10">
        <f>IF((SUM(H$36:H167)&gt;GDD_budbreak),(IF(((E167-10)&gt;0),(E167-10),0)),0)</f>
        <v>4.699999999999999</v>
      </c>
      <c r="J167" s="4">
        <f>IF((B167&lt;LeafDropDay),(SUM(I$36:I167)),0)</f>
        <v>225.74999999999997</v>
      </c>
      <c r="K167" s="4">
        <f t="shared" si="36"/>
        <v>0.8204639730114138</v>
      </c>
      <c r="L167" s="4">
        <f t="shared" si="37"/>
        <v>0.38876781499681523</v>
      </c>
      <c r="M167" s="4">
        <f t="shared" si="43"/>
        <v>1</v>
      </c>
      <c r="N167" s="4">
        <f t="shared" si="38"/>
        <v>0.38876781499681523</v>
      </c>
      <c r="O167" s="4">
        <f t="shared" si="44"/>
        <v>0.1515774292327092</v>
      </c>
      <c r="P167" s="10">
        <f t="shared" si="45"/>
        <v>-0.7309063637601237</v>
      </c>
      <c r="Q167" s="10">
        <f t="shared" si="46"/>
        <v>-1.874638403914643</v>
      </c>
      <c r="R167" s="4">
        <f t="shared" si="47"/>
        <v>0</v>
      </c>
      <c r="S167" s="4">
        <f t="shared" si="39"/>
        <v>0</v>
      </c>
      <c r="T167" s="4">
        <f t="shared" si="49"/>
        <v>224.45259040653173</v>
      </c>
      <c r="U167" s="4">
        <f t="shared" si="48"/>
        <v>224.45259040653173</v>
      </c>
      <c r="V167" s="4">
        <f t="shared" si="40"/>
        <v>0</v>
      </c>
      <c r="W167" s="4">
        <f t="shared" si="41"/>
        <v>1.0639920689465514</v>
      </c>
    </row>
    <row r="168" spans="2:23" ht="12.75">
      <c r="B168" s="19">
        <v>133</v>
      </c>
      <c r="C168" s="58">
        <v>37023</v>
      </c>
      <c r="D168" s="50">
        <v>0</v>
      </c>
      <c r="E168" s="10">
        <f ca="1" t="shared" si="35"/>
        <v>14.45</v>
      </c>
      <c r="F168" s="10">
        <f ca="1" t="shared" si="35"/>
        <v>3.807</v>
      </c>
      <c r="G168" s="10">
        <f ca="1" t="shared" si="35"/>
        <v>0</v>
      </c>
      <c r="H168" s="10">
        <f t="shared" si="42"/>
        <v>14.45</v>
      </c>
      <c r="I168" s="10">
        <f>IF((SUM(H$36:H168)&gt;GDD_budbreak),(IF(((E168-10)&gt;0),(E168-10),0)),0)</f>
        <v>4.449999999999999</v>
      </c>
      <c r="J168" s="4">
        <f>IF((B168&lt;LeafDropDay),(SUM(I$36:I168)),0)</f>
        <v>230.19999999999996</v>
      </c>
      <c r="K168" s="4">
        <f t="shared" si="36"/>
        <v>0.8445071095856331</v>
      </c>
      <c r="L168" s="4">
        <f t="shared" si="37"/>
        <v>0.3975220825060789</v>
      </c>
      <c r="M168" s="4">
        <f t="shared" si="43"/>
        <v>1</v>
      </c>
      <c r="N168" s="4">
        <f t="shared" si="38"/>
        <v>0.3975220825060789</v>
      </c>
      <c r="O168" s="4">
        <f t="shared" si="44"/>
        <v>0.1412316191097262</v>
      </c>
      <c r="P168" s="10">
        <f t="shared" si="45"/>
        <v>-0.5376687739507277</v>
      </c>
      <c r="Q168" s="10">
        <f t="shared" si="46"/>
        <v>-1.5133665681006423</v>
      </c>
      <c r="R168" s="4">
        <f t="shared" si="47"/>
        <v>0</v>
      </c>
      <c r="S168" s="4">
        <f t="shared" si="39"/>
        <v>0</v>
      </c>
      <c r="T168" s="4">
        <f t="shared" si="49"/>
        <v>222.40155506448036</v>
      </c>
      <c r="U168" s="4">
        <f t="shared" si="48"/>
        <v>222.40155506448036</v>
      </c>
      <c r="V168" s="4">
        <f t="shared" si="40"/>
        <v>0</v>
      </c>
      <c r="W168" s="4">
        <f t="shared" si="41"/>
        <v>1.122088108871148</v>
      </c>
    </row>
    <row r="169" spans="2:23" ht="12.75">
      <c r="B169" s="19">
        <v>134</v>
      </c>
      <c r="C169" s="58">
        <v>37024</v>
      </c>
      <c r="D169" s="50">
        <v>0</v>
      </c>
      <c r="E169" s="10">
        <f ca="1" t="shared" si="35"/>
        <v>15.3</v>
      </c>
      <c r="F169" s="10">
        <f ca="1" t="shared" si="35"/>
        <v>5.33</v>
      </c>
      <c r="G169" s="10">
        <f ca="1" t="shared" si="35"/>
        <v>0</v>
      </c>
      <c r="H169" s="10">
        <f t="shared" si="42"/>
        <v>15.3</v>
      </c>
      <c r="I169" s="10">
        <f>IF((SUM(H$36:H169)&gt;GDD_budbreak),(IF(((E169-10)&gt;0),(E169-10),0)),0)</f>
        <v>5.300000000000001</v>
      </c>
      <c r="J169" s="4">
        <f>IF((B169&lt;LeafDropDay),(SUM(I$36:I169)),0)</f>
        <v>235.49999999999997</v>
      </c>
      <c r="K169" s="4">
        <f t="shared" si="36"/>
        <v>0.8792392276845833</v>
      </c>
      <c r="L169" s="4">
        <f t="shared" si="37"/>
        <v>0.4099473664241765</v>
      </c>
      <c r="M169" s="4">
        <f t="shared" si="43"/>
        <v>1</v>
      </c>
      <c r="N169" s="4">
        <f t="shared" si="38"/>
        <v>0.4099473664241765</v>
      </c>
      <c r="O169" s="4">
        <f t="shared" si="44"/>
        <v>0.13308759392633712</v>
      </c>
      <c r="P169" s="10">
        <f t="shared" si="45"/>
        <v>-0.7093568756273769</v>
      </c>
      <c r="Q169" s="10">
        <f t="shared" si="46"/>
        <v>-2.185019463040861</v>
      </c>
      <c r="R169" s="4">
        <f t="shared" si="47"/>
        <v>0</v>
      </c>
      <c r="S169" s="4">
        <f t="shared" si="39"/>
        <v>0</v>
      </c>
      <c r="T169" s="4">
        <f t="shared" si="49"/>
        <v>219.50717872581214</v>
      </c>
      <c r="U169" s="4">
        <f t="shared" si="48"/>
        <v>219.50717872581214</v>
      </c>
      <c r="V169" s="4">
        <f t="shared" si="40"/>
        <v>0</v>
      </c>
      <c r="W169" s="4">
        <f t="shared" si="41"/>
        <v>1.2105254157306653</v>
      </c>
    </row>
    <row r="170" spans="2:23" ht="12.75">
      <c r="B170" s="19">
        <v>135</v>
      </c>
      <c r="C170" s="58">
        <v>37025</v>
      </c>
      <c r="D170" s="50">
        <v>0</v>
      </c>
      <c r="E170" s="10">
        <f ca="1" t="shared" si="35"/>
        <v>17.8</v>
      </c>
      <c r="F170" s="10">
        <f ca="1" t="shared" si="35"/>
        <v>4.569</v>
      </c>
      <c r="G170" s="10">
        <f ca="1" t="shared" si="35"/>
        <v>0.254</v>
      </c>
      <c r="H170" s="10">
        <f t="shared" si="42"/>
        <v>17.8</v>
      </c>
      <c r="I170" s="10">
        <f>IF((SUM(H$36:H170)&gt;GDD_budbreak),(IF(((E170-10)&gt;0),(E170-10),0)),0)</f>
        <v>7.800000000000001</v>
      </c>
      <c r="J170" s="4">
        <f>IF((B170&lt;LeafDropDay),(SUM(I$36:I170)),0)</f>
        <v>243.29999999999998</v>
      </c>
      <c r="K170" s="4">
        <f t="shared" si="36"/>
        <v>0.9201862290213021</v>
      </c>
      <c r="L170" s="4">
        <f t="shared" si="37"/>
        <v>0.4242672705893905</v>
      </c>
      <c r="M170" s="4">
        <f t="shared" si="43"/>
        <v>1</v>
      </c>
      <c r="N170" s="4">
        <f t="shared" si="38"/>
        <v>0.4242672705893905</v>
      </c>
      <c r="O170" s="4">
        <f t="shared" si="44"/>
        <v>0.12159492322045655</v>
      </c>
      <c r="P170" s="10">
        <f t="shared" si="45"/>
        <v>-0.555567204194266</v>
      </c>
      <c r="Q170" s="10">
        <f t="shared" si="46"/>
        <v>-1.9384771593229253</v>
      </c>
      <c r="R170" s="4">
        <f t="shared" si="47"/>
        <v>0</v>
      </c>
      <c r="S170" s="4">
        <f t="shared" si="39"/>
        <v>0</v>
      </c>
      <c r="T170" s="4">
        <f t="shared" si="49"/>
        <v>217.26713436229494</v>
      </c>
      <c r="U170" s="4">
        <f t="shared" si="48"/>
        <v>217.26713436229494</v>
      </c>
      <c r="V170" s="4">
        <f t="shared" si="40"/>
        <v>0</v>
      </c>
      <c r="W170" s="4">
        <f t="shared" si="41"/>
        <v>1.2846125040313274</v>
      </c>
    </row>
    <row r="171" spans="2:23" ht="12.75">
      <c r="B171" s="19">
        <v>136</v>
      </c>
      <c r="C171" s="58">
        <v>37026</v>
      </c>
      <c r="D171" s="50">
        <v>0</v>
      </c>
      <c r="E171" s="10">
        <f ca="1" t="shared" si="35"/>
        <v>19.45</v>
      </c>
      <c r="F171" s="10">
        <f ca="1" t="shared" si="35"/>
        <v>5.838</v>
      </c>
      <c r="G171" s="10">
        <f ca="1" t="shared" si="35"/>
        <v>0</v>
      </c>
      <c r="H171" s="10">
        <f t="shared" si="42"/>
        <v>19.45</v>
      </c>
      <c r="I171" s="10">
        <f>IF((SUM(H$36:H171)&gt;GDD_budbreak),(IF(((E171-10)&gt;0),(E171-10),0)),0)</f>
        <v>9.45</v>
      </c>
      <c r="J171" s="4">
        <f>IF((B171&lt;LeafDropDay),(SUM(I$36:I171)),0)</f>
        <v>252.74999999999997</v>
      </c>
      <c r="K171" s="4">
        <f t="shared" si="36"/>
        <v>0.9562831556230282</v>
      </c>
      <c r="L171" s="4">
        <f t="shared" si="37"/>
        <v>0.43660251829882035</v>
      </c>
      <c r="M171" s="4">
        <f t="shared" si="43"/>
        <v>1</v>
      </c>
      <c r="N171" s="4">
        <f t="shared" si="38"/>
        <v>0.43660251829882035</v>
      </c>
      <c r="O171" s="4">
        <f t="shared" si="44"/>
        <v>0.1127004018368577</v>
      </c>
      <c r="P171" s="10">
        <f t="shared" si="45"/>
        <v>-0.6579449459235752</v>
      </c>
      <c r="Q171" s="10">
        <f t="shared" si="46"/>
        <v>-2.5488855018285133</v>
      </c>
      <c r="R171" s="4">
        <f t="shared" si="47"/>
        <v>0</v>
      </c>
      <c r="S171" s="4">
        <f t="shared" si="39"/>
        <v>0</v>
      </c>
      <c r="T171" s="4">
        <f t="shared" si="49"/>
        <v>214.06030391454286</v>
      </c>
      <c r="U171" s="4">
        <f t="shared" si="48"/>
        <v>214.06030391454286</v>
      </c>
      <c r="V171" s="4">
        <f t="shared" si="40"/>
        <v>0</v>
      </c>
      <c r="W171" s="4">
        <f t="shared" si="41"/>
        <v>1.400139959064925</v>
      </c>
    </row>
    <row r="172" spans="2:23" ht="12.75">
      <c r="B172" s="19">
        <v>137</v>
      </c>
      <c r="C172" s="58">
        <v>37027</v>
      </c>
      <c r="D172" s="50">
        <v>0</v>
      </c>
      <c r="E172" s="10">
        <f ca="1" t="shared" si="35"/>
        <v>18.6</v>
      </c>
      <c r="F172" s="10">
        <f ca="1" t="shared" si="35"/>
        <v>5.838</v>
      </c>
      <c r="G172" s="10">
        <f ca="1" t="shared" si="35"/>
        <v>0</v>
      </c>
      <c r="H172" s="10">
        <f t="shared" si="42"/>
        <v>18.6</v>
      </c>
      <c r="I172" s="10">
        <f>IF((SUM(H$36:H172)&gt;GDD_budbreak),(IF(((E172-10)&gt;0),(E172-10),0)),0)</f>
        <v>8.600000000000001</v>
      </c>
      <c r="J172" s="4">
        <f>IF((B172&lt;LeafDropDay),(SUM(I$36:I172)),0)</f>
        <v>261.34999999999997</v>
      </c>
      <c r="K172" s="4">
        <f t="shared" si="36"/>
        <v>0.9967597037527628</v>
      </c>
      <c r="L172" s="4">
        <f t="shared" si="37"/>
        <v>0.4501203386559979</v>
      </c>
      <c r="M172" s="4">
        <f t="shared" si="43"/>
        <v>1</v>
      </c>
      <c r="N172" s="4">
        <f t="shared" si="38"/>
        <v>0.4501203386559979</v>
      </c>
      <c r="O172" s="4">
        <f t="shared" si="44"/>
        <v>0.09996707277621307</v>
      </c>
      <c r="P172" s="10">
        <f t="shared" si="45"/>
        <v>-0.5836077708675319</v>
      </c>
      <c r="Q172" s="10">
        <f t="shared" si="46"/>
        <v>-2.6278025370737157</v>
      </c>
      <c r="R172" s="4">
        <f t="shared" si="47"/>
        <v>0</v>
      </c>
      <c r="S172" s="4">
        <f t="shared" si="39"/>
        <v>0</v>
      </c>
      <c r="T172" s="4">
        <f t="shared" si="49"/>
        <v>210.84889360660162</v>
      </c>
      <c r="U172" s="4">
        <f t="shared" si="48"/>
        <v>210.84889360660162</v>
      </c>
      <c r="V172" s="4">
        <f t="shared" si="40"/>
        <v>0</v>
      </c>
      <c r="W172" s="4">
        <f t="shared" si="41"/>
        <v>1.5282341956775687</v>
      </c>
    </row>
    <row r="173" spans="2:23" ht="12.75">
      <c r="B173" s="19">
        <v>138</v>
      </c>
      <c r="C173" s="58">
        <v>37028</v>
      </c>
      <c r="D173" s="50">
        <v>0</v>
      </c>
      <c r="E173" s="10">
        <f ca="1" t="shared" si="35"/>
        <v>20</v>
      </c>
      <c r="F173" s="10">
        <f ca="1" t="shared" si="35"/>
        <v>6.345</v>
      </c>
      <c r="G173" s="10">
        <f ca="1" t="shared" si="35"/>
        <v>0</v>
      </c>
      <c r="H173" s="10">
        <f t="shared" si="42"/>
        <v>20</v>
      </c>
      <c r="I173" s="10">
        <f>IF((SUM(H$36:H173)&gt;GDD_budbreak),(IF(((E173-10)&gt;0),(E173-10),0)),0)</f>
        <v>10</v>
      </c>
      <c r="J173" s="4">
        <f>IF((B173&lt;LeafDropDay),(SUM(I$36:I173)),0)</f>
        <v>271.34999999999997</v>
      </c>
      <c r="K173" s="4">
        <f t="shared" si="36"/>
        <v>1.037620789654825</v>
      </c>
      <c r="L173" s="4">
        <f t="shared" si="37"/>
        <v>0.4634376319420722</v>
      </c>
      <c r="M173" s="4">
        <f t="shared" si="43"/>
        <v>1</v>
      </c>
      <c r="N173" s="4">
        <f t="shared" si="38"/>
        <v>0.4634376319420722</v>
      </c>
      <c r="O173" s="4">
        <f t="shared" si="44"/>
        <v>0.0872155585112708</v>
      </c>
      <c r="P173" s="10">
        <f t="shared" si="45"/>
        <v>-0.5533827187540132</v>
      </c>
      <c r="Q173" s="10">
        <f t="shared" si="46"/>
        <v>-2.9405117746724483</v>
      </c>
      <c r="R173" s="4">
        <f t="shared" si="47"/>
        <v>0</v>
      </c>
      <c r="S173" s="4">
        <f t="shared" si="39"/>
        <v>0</v>
      </c>
      <c r="T173" s="4">
        <f t="shared" si="49"/>
        <v>207.35499911317515</v>
      </c>
      <c r="U173" s="4">
        <f t="shared" si="48"/>
        <v>207.35499911317515</v>
      </c>
      <c r="V173" s="4">
        <f t="shared" si="40"/>
        <v>0</v>
      </c>
      <c r="W173" s="4">
        <f t="shared" si="41"/>
        <v>1.6835109688093346</v>
      </c>
    </row>
    <row r="174" spans="2:23" ht="12.75">
      <c r="B174" s="19">
        <v>139</v>
      </c>
      <c r="C174" s="58">
        <v>37029</v>
      </c>
      <c r="D174" s="50">
        <v>0</v>
      </c>
      <c r="E174" s="10">
        <f ca="1" t="shared" si="35"/>
        <v>20.55</v>
      </c>
      <c r="F174" s="10">
        <f ca="1" t="shared" si="35"/>
        <v>6.091</v>
      </c>
      <c r="G174" s="10">
        <f ca="1" t="shared" si="35"/>
        <v>0</v>
      </c>
      <c r="H174" s="10">
        <f t="shared" si="42"/>
        <v>20.55</v>
      </c>
      <c r="I174" s="10">
        <f>IF((SUM(H$36:H174)&gt;GDD_budbreak),(IF(((E174-10)&gt;0),(E174-10),0)),0)</f>
        <v>10.55</v>
      </c>
      <c r="J174" s="4">
        <f>IF((B174&lt;LeafDropDay),(SUM(I$36:I174)),0)</f>
        <v>281.9</v>
      </c>
      <c r="K174" s="4">
        <f t="shared" si="36"/>
        <v>1.0815168067099772</v>
      </c>
      <c r="L174" s="4">
        <f t="shared" si="37"/>
        <v>0.47738492702156143</v>
      </c>
      <c r="M174" s="4">
        <f t="shared" si="43"/>
        <v>1</v>
      </c>
      <c r="N174" s="4">
        <f t="shared" si="38"/>
        <v>0.47738492702156143</v>
      </c>
      <c r="O174" s="4">
        <f t="shared" si="44"/>
        <v>0.07334238716254571</v>
      </c>
      <c r="P174" s="10">
        <f t="shared" si="45"/>
        <v>-0.4467284802070659</v>
      </c>
      <c r="Q174" s="10">
        <f t="shared" si="46"/>
        <v>-2.907751590488331</v>
      </c>
      <c r="R174" s="4">
        <f t="shared" si="47"/>
        <v>0</v>
      </c>
      <c r="S174" s="4">
        <f t="shared" si="39"/>
        <v>0</v>
      </c>
      <c r="T174" s="4">
        <f t="shared" si="49"/>
        <v>204.00051904247977</v>
      </c>
      <c r="U174" s="4">
        <f t="shared" si="48"/>
        <v>204.00051904247977</v>
      </c>
      <c r="V174" s="4">
        <f t="shared" si="40"/>
        <v>0</v>
      </c>
      <c r="W174" s="4">
        <f t="shared" si="41"/>
        <v>1.850277004035257</v>
      </c>
    </row>
    <row r="175" spans="2:23" ht="12.75">
      <c r="B175" s="19">
        <v>140</v>
      </c>
      <c r="C175" s="58">
        <v>37030</v>
      </c>
      <c r="D175" s="50">
        <v>0</v>
      </c>
      <c r="E175" s="10">
        <f ca="1" t="shared" si="35"/>
        <v>21.95</v>
      </c>
      <c r="F175" s="10">
        <f ca="1" t="shared" si="35"/>
        <v>6.345</v>
      </c>
      <c r="G175" s="10">
        <f ca="1" t="shared" si="35"/>
        <v>0</v>
      </c>
      <c r="H175" s="10">
        <f t="shared" si="42"/>
        <v>21.95</v>
      </c>
      <c r="I175" s="10">
        <f>IF((SUM(H$36:H175)&gt;GDD_budbreak),(IF(((E175-10)&gt;0),(E175-10),0)),0)</f>
        <v>11.95</v>
      </c>
      <c r="J175" s="4">
        <f>IF((B175&lt;LeafDropDay),(SUM(I$36:I175)),0)</f>
        <v>293.84999999999997</v>
      </c>
      <c r="K175" s="4">
        <f t="shared" si="36"/>
        <v>1.1310962681523324</v>
      </c>
      <c r="L175" s="4">
        <f t="shared" si="37"/>
        <v>0.49270254992786267</v>
      </c>
      <c r="M175" s="4">
        <f t="shared" si="43"/>
        <v>1</v>
      </c>
      <c r="N175" s="4">
        <f t="shared" si="38"/>
        <v>0.49270254992786267</v>
      </c>
      <c r="O175" s="4">
        <f t="shared" si="44"/>
        <v>0.06002278724497594</v>
      </c>
      <c r="P175" s="10">
        <f t="shared" si="45"/>
        <v>-0.38084458506937235</v>
      </c>
      <c r="Q175" s="10">
        <f t="shared" si="46"/>
        <v>-3.1261976792922885</v>
      </c>
      <c r="R175" s="4">
        <f t="shared" si="47"/>
        <v>0</v>
      </c>
      <c r="S175" s="4">
        <f t="shared" si="39"/>
        <v>0</v>
      </c>
      <c r="T175" s="4">
        <f t="shared" si="49"/>
        <v>200.4934767781181</v>
      </c>
      <c r="U175" s="4">
        <f t="shared" si="48"/>
        <v>200.4934767781181</v>
      </c>
      <c r="V175" s="4">
        <f t="shared" si="40"/>
        <v>0</v>
      </c>
      <c r="W175" s="4">
        <f t="shared" si="41"/>
        <v>2.0457417190678995</v>
      </c>
    </row>
    <row r="176" spans="2:23" ht="12.75">
      <c r="B176" s="19">
        <v>141</v>
      </c>
      <c r="C176" s="58">
        <v>37031</v>
      </c>
      <c r="D176" s="50">
        <v>0</v>
      </c>
      <c r="E176" s="10">
        <f ca="1" t="shared" si="50" ref="E176:G195">INDIRECT(WeatherSheet&amp;"!"&amp;E545)</f>
        <v>24.45</v>
      </c>
      <c r="F176" s="10">
        <f ca="1" t="shared" si="50"/>
        <v>7.107</v>
      </c>
      <c r="G176" s="10">
        <f ca="1" t="shared" si="50"/>
        <v>0</v>
      </c>
      <c r="H176" s="10">
        <f t="shared" si="42"/>
        <v>24.45</v>
      </c>
      <c r="I176" s="10">
        <f>IF((SUM(H$36:H176)&gt;GDD_budbreak),(IF(((E176-10)&gt;0),(E176-10),0)),0)</f>
        <v>14.45</v>
      </c>
      <c r="J176" s="4">
        <f>IF((B176&lt;LeafDropDay),(SUM(I$36:I176)),0)</f>
        <v>308.29999999999995</v>
      </c>
      <c r="K176" s="4">
        <f t="shared" si="36"/>
        <v>1.1649870827943036</v>
      </c>
      <c r="L176" s="4">
        <f t="shared" si="37"/>
        <v>0.5029140099671023</v>
      </c>
      <c r="M176" s="4">
        <f t="shared" si="43"/>
        <v>1</v>
      </c>
      <c r="N176" s="4">
        <f t="shared" si="38"/>
        <v>0.5029140099671023</v>
      </c>
      <c r="O176" s="4">
        <f t="shared" si="44"/>
        <v>0.04609741017584885</v>
      </c>
      <c r="P176" s="10">
        <f t="shared" si="45"/>
        <v>-0.3276142941197578</v>
      </c>
      <c r="Q176" s="10">
        <f t="shared" si="46"/>
        <v>-3.5742098688361965</v>
      </c>
      <c r="R176" s="4">
        <f t="shared" si="47"/>
        <v>0</v>
      </c>
      <c r="S176" s="4">
        <f t="shared" si="39"/>
        <v>0</v>
      </c>
      <c r="T176" s="4">
        <f t="shared" si="49"/>
        <v>196.59165261516213</v>
      </c>
      <c r="U176" s="4">
        <f t="shared" si="48"/>
        <v>196.59165261516213</v>
      </c>
      <c r="V176" s="4">
        <f t="shared" si="40"/>
        <v>0</v>
      </c>
      <c r="W176" s="4">
        <f t="shared" si="41"/>
        <v>2.292345769069446</v>
      </c>
    </row>
    <row r="177" spans="2:23" ht="12.75">
      <c r="B177" s="19">
        <v>142</v>
      </c>
      <c r="C177" s="58">
        <v>37032</v>
      </c>
      <c r="D177" s="50">
        <v>0</v>
      </c>
      <c r="E177" s="10">
        <f ca="1" t="shared" si="50"/>
        <v>20.6</v>
      </c>
      <c r="F177" s="10">
        <f ca="1" t="shared" si="50"/>
        <v>6.091</v>
      </c>
      <c r="G177" s="10">
        <f ca="1" t="shared" si="50"/>
        <v>0</v>
      </c>
      <c r="H177" s="10">
        <f t="shared" si="42"/>
        <v>20.6</v>
      </c>
      <c r="I177" s="10">
        <f>IF((SUM(H$36:H177)&gt;GDD_budbreak),(IF(((E177-10)&gt;0),(E177-10),0)),0)</f>
        <v>10.600000000000001</v>
      </c>
      <c r="J177" s="4">
        <f>IF((B177&lt;LeafDropDay),(SUM(I$36:I177)),0)</f>
        <v>318.9</v>
      </c>
      <c r="K177" s="4">
        <f t="shared" si="36"/>
        <v>1.1966267328116986</v>
      </c>
      <c r="L177" s="4">
        <f t="shared" si="37"/>
        <v>0.5122615791490559</v>
      </c>
      <c r="M177" s="4">
        <f t="shared" si="43"/>
        <v>1</v>
      </c>
      <c r="N177" s="4">
        <f t="shared" si="38"/>
        <v>0.5122615791490559</v>
      </c>
      <c r="O177" s="4">
        <f t="shared" si="44"/>
        <v>0.0306044766350315</v>
      </c>
      <c r="P177" s="10">
        <f t="shared" si="45"/>
        <v>-0.18641186718397687</v>
      </c>
      <c r="Q177" s="10">
        <f t="shared" si="46"/>
        <v>-3.1201852785968995</v>
      </c>
      <c r="R177" s="4">
        <f t="shared" si="47"/>
        <v>0</v>
      </c>
      <c r="S177" s="4">
        <f t="shared" si="39"/>
        <v>0</v>
      </c>
      <c r="T177" s="4">
        <f t="shared" si="49"/>
        <v>193.28505546938126</v>
      </c>
      <c r="U177" s="4">
        <f t="shared" si="48"/>
        <v>193.28505546938126</v>
      </c>
      <c r="V177" s="4">
        <f t="shared" si="40"/>
        <v>0</v>
      </c>
      <c r="W177" s="4">
        <f t="shared" si="41"/>
        <v>2.5289665792442064</v>
      </c>
    </row>
    <row r="178" spans="2:23" ht="12.75">
      <c r="B178" s="19">
        <v>143</v>
      </c>
      <c r="C178" s="58">
        <v>37033</v>
      </c>
      <c r="D178" s="50">
        <v>0</v>
      </c>
      <c r="E178" s="10">
        <f ca="1" t="shared" si="50"/>
        <v>20.55</v>
      </c>
      <c r="F178" s="10">
        <f ca="1" t="shared" si="50"/>
        <v>6.345</v>
      </c>
      <c r="G178" s="10">
        <f ca="1" t="shared" si="50"/>
        <v>0</v>
      </c>
      <c r="H178" s="10">
        <f t="shared" si="42"/>
        <v>20.55</v>
      </c>
      <c r="I178" s="10">
        <f>IF((SUM(H$36:H178)&gt;GDD_budbreak),(IF(((E178-10)&gt;0),(E178-10),0)),0)</f>
        <v>10.55</v>
      </c>
      <c r="J178" s="4">
        <f>IF((B178&lt;LeafDropDay),(SUM(I$36:I178)),0)</f>
        <v>329.45</v>
      </c>
      <c r="K178" s="4">
        <f t="shared" si="36"/>
        <v>1.2255164139127968</v>
      </c>
      <c r="L178" s="4">
        <f t="shared" si="37"/>
        <v>0.5206430919839489</v>
      </c>
      <c r="M178" s="4">
        <f t="shared" si="43"/>
        <v>1</v>
      </c>
      <c r="N178" s="4">
        <f t="shared" si="38"/>
        <v>0.5206430919839489</v>
      </c>
      <c r="O178" s="4">
        <f t="shared" si="44"/>
        <v>0.017475004960677745</v>
      </c>
      <c r="P178" s="10">
        <f t="shared" si="45"/>
        <v>-0.11087890647550029</v>
      </c>
      <c r="Q178" s="10">
        <f t="shared" si="46"/>
        <v>-3.3034804186381552</v>
      </c>
      <c r="R178" s="4">
        <f t="shared" si="47"/>
        <v>0</v>
      </c>
      <c r="S178" s="4">
        <f t="shared" si="39"/>
        <v>0</v>
      </c>
      <c r="T178" s="4">
        <f t="shared" si="49"/>
        <v>189.8706961442676</v>
      </c>
      <c r="U178" s="4">
        <f t="shared" si="48"/>
        <v>189.8706961442676</v>
      </c>
      <c r="V178" s="4">
        <f t="shared" si="40"/>
        <v>0</v>
      </c>
      <c r="W178" s="4">
        <f t="shared" si="41"/>
        <v>2.8039437498813875</v>
      </c>
    </row>
    <row r="179" spans="2:23" ht="12.75">
      <c r="B179" s="19">
        <v>144</v>
      </c>
      <c r="C179" s="58">
        <v>37034</v>
      </c>
      <c r="D179" s="50">
        <v>0</v>
      </c>
      <c r="E179" s="10">
        <f ca="1" t="shared" si="50"/>
        <v>20.3</v>
      </c>
      <c r="F179" s="10">
        <f ca="1" t="shared" si="50"/>
        <v>6.345</v>
      </c>
      <c r="G179" s="10">
        <f ca="1" t="shared" si="50"/>
        <v>0</v>
      </c>
      <c r="H179" s="10">
        <f t="shared" si="42"/>
        <v>20.3</v>
      </c>
      <c r="I179" s="10">
        <f>IF((SUM(H$36:H179)&gt;GDD_budbreak),(IF(((E179-10)&gt;0),(E179-10),0)),0)</f>
        <v>10.3</v>
      </c>
      <c r="J179" s="4">
        <f>IF((B179&lt;LeafDropDay),(SUM(I$36:I179)),0)</f>
        <v>339.75</v>
      </c>
      <c r="K179" s="4">
        <f t="shared" si="36"/>
        <v>1.2453245430666393</v>
      </c>
      <c r="L179" s="4">
        <f t="shared" si="37"/>
        <v>0.5263064691760895</v>
      </c>
      <c r="M179" s="4">
        <f t="shared" si="43"/>
        <v>1</v>
      </c>
      <c r="N179" s="4">
        <f t="shared" si="38"/>
        <v>0.5263064691760895</v>
      </c>
      <c r="O179" s="4">
        <f t="shared" si="44"/>
        <v>0.0039176430962771895</v>
      </c>
      <c r="P179" s="10">
        <f t="shared" si="45"/>
        <v>-0.024857445445878767</v>
      </c>
      <c r="Q179" s="10">
        <f t="shared" si="46"/>
        <v>-3.3394145469222876</v>
      </c>
      <c r="R179" s="4">
        <f t="shared" si="47"/>
        <v>0</v>
      </c>
      <c r="S179" s="4">
        <f t="shared" si="39"/>
        <v>0</v>
      </c>
      <c r="T179" s="4">
        <f t="shared" si="49"/>
        <v>186.50642415189944</v>
      </c>
      <c r="U179" s="4">
        <f t="shared" si="48"/>
        <v>186.50642415189944</v>
      </c>
      <c r="V179" s="4">
        <f t="shared" si="40"/>
        <v>0</v>
      </c>
      <c r="W179" s="4">
        <f t="shared" si="41"/>
        <v>3.1098068385974496</v>
      </c>
    </row>
    <row r="180" spans="2:23" ht="12.75">
      <c r="B180" s="19">
        <v>145</v>
      </c>
      <c r="C180" s="58">
        <v>37035</v>
      </c>
      <c r="D180" s="50">
        <v>0</v>
      </c>
      <c r="E180" s="10">
        <f ca="1" t="shared" si="50"/>
        <v>17.5</v>
      </c>
      <c r="F180" s="10">
        <f ca="1" t="shared" si="50"/>
        <v>4.569</v>
      </c>
      <c r="G180" s="10">
        <f ca="1" t="shared" si="50"/>
        <v>0</v>
      </c>
      <c r="H180" s="10">
        <f t="shared" si="42"/>
        <v>17.5</v>
      </c>
      <c r="I180" s="10">
        <f>IF((SUM(H$36:H180)&gt;GDD_budbreak),(IF(((E180-10)&gt;0),(E180-10),0)),0)</f>
        <v>7.5</v>
      </c>
      <c r="J180" s="4">
        <f>IF((B180&lt;LeafDropDay),(SUM(I$36:I180)),0)</f>
        <v>347.25</v>
      </c>
      <c r="K180" s="4">
        <f t="shared" si="36"/>
        <v>1.259326085177466</v>
      </c>
      <c r="L180" s="4">
        <f t="shared" si="37"/>
        <v>0.5302692642487965</v>
      </c>
      <c r="M180" s="4">
        <f t="shared" si="43"/>
        <v>1</v>
      </c>
      <c r="N180" s="4">
        <f t="shared" si="38"/>
        <v>0.5302692642487965</v>
      </c>
      <c r="O180" s="4">
        <f t="shared" si="44"/>
        <v>0</v>
      </c>
      <c r="P180" s="10">
        <f t="shared" si="45"/>
        <v>0</v>
      </c>
      <c r="Q180" s="10">
        <f t="shared" si="46"/>
        <v>-2.422800268352751</v>
      </c>
      <c r="R180" s="4">
        <f t="shared" si="47"/>
        <v>0</v>
      </c>
      <c r="S180" s="4">
        <f t="shared" si="39"/>
        <v>0</v>
      </c>
      <c r="T180" s="4">
        <f t="shared" si="49"/>
        <v>184.0836238835467</v>
      </c>
      <c r="U180" s="4">
        <f t="shared" si="48"/>
        <v>184.0836238835467</v>
      </c>
      <c r="V180" s="4">
        <f t="shared" si="40"/>
        <v>0</v>
      </c>
      <c r="W180" s="4">
        <f t="shared" si="41"/>
        <v>3.354438542850411</v>
      </c>
    </row>
    <row r="181" spans="2:23" ht="12.75">
      <c r="B181" s="19">
        <v>146</v>
      </c>
      <c r="C181" s="58">
        <v>37036</v>
      </c>
      <c r="D181" s="50">
        <v>0</v>
      </c>
      <c r="E181" s="10">
        <f ca="1" t="shared" si="50"/>
        <v>15.55</v>
      </c>
      <c r="F181" s="10">
        <f ca="1" t="shared" si="50"/>
        <v>4.569</v>
      </c>
      <c r="G181" s="10">
        <f ca="1" t="shared" si="50"/>
        <v>0</v>
      </c>
      <c r="H181" s="10">
        <f t="shared" si="42"/>
        <v>15.55</v>
      </c>
      <c r="I181" s="10">
        <f>IF((SUM(H$36:H181)&gt;GDD_budbreak),(IF(((E181-10)&gt;0),(E181-10),0)),0)</f>
        <v>5.550000000000001</v>
      </c>
      <c r="J181" s="4">
        <f>IF((B181&lt;LeafDropDay),(SUM(I$36:I181)),0)</f>
        <v>352.8</v>
      </c>
      <c r="K181" s="4">
        <f t="shared" si="36"/>
        <v>1.271468707974409</v>
      </c>
      <c r="L181" s="4">
        <f t="shared" si="37"/>
        <v>0.5336790857973046</v>
      </c>
      <c r="M181" s="4">
        <f t="shared" si="43"/>
        <v>1</v>
      </c>
      <c r="N181" s="4">
        <f t="shared" si="38"/>
        <v>0.5336790857973046</v>
      </c>
      <c r="O181" s="4">
        <f t="shared" si="44"/>
        <v>0</v>
      </c>
      <c r="P181" s="10">
        <f t="shared" si="45"/>
        <v>0</v>
      </c>
      <c r="Q181" s="10">
        <f t="shared" si="46"/>
        <v>-2.438379743007885</v>
      </c>
      <c r="R181" s="4">
        <f t="shared" si="47"/>
        <v>0</v>
      </c>
      <c r="S181" s="4">
        <f t="shared" si="39"/>
        <v>0</v>
      </c>
      <c r="T181" s="4">
        <f t="shared" si="49"/>
        <v>181.6452441405388</v>
      </c>
      <c r="U181" s="4">
        <f t="shared" si="48"/>
        <v>181.6452441405388</v>
      </c>
      <c r="V181" s="4">
        <f t="shared" si="40"/>
        <v>0</v>
      </c>
      <c r="W181" s="4">
        <f t="shared" si="41"/>
        <v>3.623745463407064</v>
      </c>
    </row>
    <row r="182" spans="2:23" ht="12.75">
      <c r="B182" s="19">
        <v>147</v>
      </c>
      <c r="C182" s="58">
        <v>37037</v>
      </c>
      <c r="D182" s="50">
        <v>0</v>
      </c>
      <c r="E182" s="10">
        <f ca="1" t="shared" si="50"/>
        <v>15</v>
      </c>
      <c r="F182" s="10">
        <f ca="1" t="shared" si="50"/>
        <v>5.076</v>
      </c>
      <c r="G182" s="10">
        <f ca="1" t="shared" si="50"/>
        <v>0</v>
      </c>
      <c r="H182" s="10">
        <f t="shared" si="42"/>
        <v>15</v>
      </c>
      <c r="I182" s="10">
        <f>IF((SUM(H$36:H182)&gt;GDD_budbreak),(IF(((E182-10)&gt;0),(E182-10),0)),0)</f>
        <v>5</v>
      </c>
      <c r="J182" s="4">
        <f>IF((B182&lt;LeafDropDay),(SUM(I$36:I182)),0)</f>
        <v>357.8</v>
      </c>
      <c r="K182" s="4">
        <f t="shared" si="36"/>
        <v>1.2851167796403828</v>
      </c>
      <c r="L182" s="4">
        <f t="shared" si="37"/>
        <v>0.537482122065963</v>
      </c>
      <c r="M182" s="4">
        <f t="shared" si="43"/>
        <v>1</v>
      </c>
      <c r="N182" s="4">
        <f t="shared" si="38"/>
        <v>0.537482122065963</v>
      </c>
      <c r="O182" s="4">
        <f t="shared" si="44"/>
        <v>0</v>
      </c>
      <c r="P182" s="10">
        <f t="shared" si="45"/>
        <v>0</v>
      </c>
      <c r="Q182" s="10">
        <f t="shared" si="46"/>
        <v>-2.7282592516068283</v>
      </c>
      <c r="R182" s="4">
        <f t="shared" si="47"/>
        <v>0</v>
      </c>
      <c r="S182" s="4">
        <f t="shared" si="39"/>
        <v>0</v>
      </c>
      <c r="T182" s="4">
        <f t="shared" si="49"/>
        <v>178.91698488893198</v>
      </c>
      <c r="U182" s="4">
        <f t="shared" si="48"/>
        <v>178.91698488893198</v>
      </c>
      <c r="V182" s="4">
        <f t="shared" si="40"/>
        <v>0</v>
      </c>
      <c r="W182" s="4">
        <f t="shared" si="41"/>
        <v>3.955673592897016</v>
      </c>
    </row>
    <row r="183" spans="2:23" ht="12.75">
      <c r="B183" s="19">
        <v>148</v>
      </c>
      <c r="C183" s="58">
        <v>37038</v>
      </c>
      <c r="D183" s="50">
        <v>0</v>
      </c>
      <c r="E183" s="10">
        <f ca="1" t="shared" si="50"/>
        <v>15.85</v>
      </c>
      <c r="F183" s="10">
        <f ca="1" t="shared" si="50"/>
        <v>5.838</v>
      </c>
      <c r="G183" s="10">
        <f ca="1" t="shared" si="50"/>
        <v>0</v>
      </c>
      <c r="H183" s="10">
        <f t="shared" si="42"/>
        <v>15.85</v>
      </c>
      <c r="I183" s="10">
        <f>IF((SUM(H$36:H183)&gt;GDD_budbreak),(IF(((E183-10)&gt;0),(E183-10),0)),0)</f>
        <v>5.85</v>
      </c>
      <c r="J183" s="4">
        <f>IF((B183&lt;LeafDropDay),(SUM(I$36:I183)),0)</f>
        <v>363.65000000000003</v>
      </c>
      <c r="K183" s="4">
        <f t="shared" si="36"/>
        <v>1.3059172795663438</v>
      </c>
      <c r="L183" s="4">
        <f t="shared" si="37"/>
        <v>0.5432186128958244</v>
      </c>
      <c r="M183" s="4">
        <f t="shared" si="43"/>
        <v>1</v>
      </c>
      <c r="N183" s="4">
        <f t="shared" si="38"/>
        <v>0.5432186128958244</v>
      </c>
      <c r="O183" s="4">
        <f t="shared" si="44"/>
        <v>0</v>
      </c>
      <c r="P183" s="10">
        <f t="shared" si="45"/>
        <v>0</v>
      </c>
      <c r="Q183" s="10">
        <f t="shared" si="46"/>
        <v>-3.171310262085823</v>
      </c>
      <c r="R183" s="4">
        <f t="shared" si="47"/>
        <v>0</v>
      </c>
      <c r="S183" s="4">
        <f t="shared" si="39"/>
        <v>0</v>
      </c>
      <c r="T183" s="4">
        <f t="shared" si="49"/>
        <v>175.74567462684615</v>
      </c>
      <c r="U183" s="4">
        <f t="shared" si="48"/>
        <v>175.74567462684615</v>
      </c>
      <c r="V183" s="4">
        <f t="shared" si="40"/>
        <v>0</v>
      </c>
      <c r="W183" s="4">
        <f t="shared" si="41"/>
        <v>4.387333581645513</v>
      </c>
    </row>
    <row r="184" spans="2:23" ht="12.75">
      <c r="B184" s="19">
        <v>149</v>
      </c>
      <c r="C184" s="58">
        <v>37039</v>
      </c>
      <c r="D184" s="50">
        <v>0</v>
      </c>
      <c r="E184" s="10">
        <f ca="1" t="shared" si="50"/>
        <v>19.45</v>
      </c>
      <c r="F184" s="10">
        <f ca="1" t="shared" si="50"/>
        <v>6.345</v>
      </c>
      <c r="G184" s="10">
        <f ca="1" t="shared" si="50"/>
        <v>0</v>
      </c>
      <c r="H184" s="10">
        <f t="shared" si="42"/>
        <v>19.45</v>
      </c>
      <c r="I184" s="10">
        <f>IF((SUM(H$36:H184)&gt;GDD_budbreak),(IF(((E184-10)&gt;0),(E184-10),0)),0)</f>
        <v>9.45</v>
      </c>
      <c r="J184" s="4">
        <f>IF((B184&lt;LeafDropDay),(SUM(I$36:I184)),0)</f>
        <v>373.1</v>
      </c>
      <c r="K184" s="4">
        <f t="shared" si="36"/>
        <v>1.3358853916152682</v>
      </c>
      <c r="L184" s="4">
        <f t="shared" si="37"/>
        <v>0.5513585376076193</v>
      </c>
      <c r="M184" s="4">
        <f t="shared" si="43"/>
        <v>1</v>
      </c>
      <c r="N184" s="4">
        <f t="shared" si="38"/>
        <v>0.5513585376076193</v>
      </c>
      <c r="O184" s="4">
        <f t="shared" si="44"/>
        <v>0</v>
      </c>
      <c r="P184" s="10">
        <f t="shared" si="45"/>
        <v>0</v>
      </c>
      <c r="Q184" s="10">
        <f t="shared" si="46"/>
        <v>-3.4983699211203443</v>
      </c>
      <c r="R184" s="4">
        <f t="shared" si="47"/>
        <v>0</v>
      </c>
      <c r="S184" s="4">
        <f t="shared" si="39"/>
        <v>0</v>
      </c>
      <c r="T184" s="4">
        <f t="shared" si="49"/>
        <v>172.2473047057258</v>
      </c>
      <c r="U184" s="4">
        <f t="shared" si="48"/>
        <v>172.2473047057258</v>
      </c>
      <c r="V184" s="4">
        <f t="shared" si="40"/>
        <v>0</v>
      </c>
      <c r="W184" s="4">
        <f t="shared" si="41"/>
        <v>4.929139044201143</v>
      </c>
    </row>
    <row r="185" spans="2:23" ht="12.75">
      <c r="B185" s="19">
        <v>150</v>
      </c>
      <c r="C185" s="58">
        <v>37040</v>
      </c>
      <c r="D185" s="50">
        <v>0</v>
      </c>
      <c r="E185" s="10">
        <f ca="1" t="shared" si="50"/>
        <v>25</v>
      </c>
      <c r="F185" s="10">
        <f ca="1" t="shared" si="50"/>
        <v>6.853</v>
      </c>
      <c r="G185" s="10">
        <f ca="1" t="shared" si="50"/>
        <v>0</v>
      </c>
      <c r="H185" s="10">
        <f t="shared" si="42"/>
        <v>25</v>
      </c>
      <c r="I185" s="10">
        <f>IF((SUM(H$36:H185)&gt;GDD_budbreak),(IF(((E185-10)&gt;0),(E185-10),0)),0)</f>
        <v>15</v>
      </c>
      <c r="J185" s="4">
        <f>IF((B185&lt;LeafDropDay),(SUM(I$36:I185)),0)</f>
        <v>388.1</v>
      </c>
      <c r="K185" s="4">
        <f t="shared" si="36"/>
        <v>1.3632195366396824</v>
      </c>
      <c r="L185" s="4">
        <f t="shared" si="37"/>
        <v>0.5586564677020235</v>
      </c>
      <c r="M185" s="4">
        <f t="shared" si="43"/>
        <v>1</v>
      </c>
      <c r="N185" s="4">
        <f t="shared" si="38"/>
        <v>0.5586564677020235</v>
      </c>
      <c r="O185" s="4">
        <f t="shared" si="44"/>
        <v>0</v>
      </c>
      <c r="P185" s="10">
        <f t="shared" si="45"/>
        <v>0</v>
      </c>
      <c r="Q185" s="10">
        <f t="shared" si="46"/>
        <v>-3.828472773161967</v>
      </c>
      <c r="R185" s="4">
        <f t="shared" si="47"/>
        <v>0</v>
      </c>
      <c r="S185" s="4">
        <f t="shared" si="39"/>
        <v>0</v>
      </c>
      <c r="T185" s="4">
        <f t="shared" si="49"/>
        <v>168.41883193256385</v>
      </c>
      <c r="U185" s="4">
        <f t="shared" si="48"/>
        <v>168.41883193256385</v>
      </c>
      <c r="V185" s="4">
        <f t="shared" si="40"/>
        <v>0</v>
      </c>
      <c r="W185" s="4">
        <f t="shared" si="41"/>
        <v>5.614408393327642</v>
      </c>
    </row>
    <row r="186" spans="2:23" ht="12.75">
      <c r="B186" s="19">
        <v>151</v>
      </c>
      <c r="C186" s="58">
        <v>37041</v>
      </c>
      <c r="D186" s="50">
        <v>0</v>
      </c>
      <c r="E186" s="10">
        <f ca="1" t="shared" si="50"/>
        <v>25.55</v>
      </c>
      <c r="F186" s="10">
        <f ca="1" t="shared" si="50"/>
        <v>7.868</v>
      </c>
      <c r="G186" s="10">
        <f ca="1" t="shared" si="50"/>
        <v>0</v>
      </c>
      <c r="H186" s="10">
        <f t="shared" si="42"/>
        <v>25.55</v>
      </c>
      <c r="I186" s="10">
        <f>IF((SUM(H$36:H186)&gt;GDD_budbreak),(IF(((E186-10)&gt;0),(E186-10),0)),0)</f>
        <v>15.55</v>
      </c>
      <c r="J186" s="4">
        <f>IF((B186&lt;LeafDropDay),(SUM(I$36:I186)),0)</f>
        <v>403.65000000000003</v>
      </c>
      <c r="K186" s="4">
        <f t="shared" si="36"/>
        <v>1.3768052053408795</v>
      </c>
      <c r="L186" s="4">
        <f t="shared" si="37"/>
        <v>0.562239413058231</v>
      </c>
      <c r="M186" s="4">
        <f t="shared" si="43"/>
        <v>0.9122273723817654</v>
      </c>
      <c r="N186" s="4">
        <f t="shared" si="38"/>
        <v>0.5128901824235761</v>
      </c>
      <c r="O186" s="4">
        <f t="shared" si="44"/>
        <v>0</v>
      </c>
      <c r="P186" s="10">
        <f t="shared" si="45"/>
        <v>0</v>
      </c>
      <c r="Q186" s="10">
        <f t="shared" si="46"/>
        <v>-4.035419955308697</v>
      </c>
      <c r="R186" s="4">
        <f t="shared" si="47"/>
        <v>0</v>
      </c>
      <c r="S186" s="4">
        <f t="shared" si="39"/>
        <v>0</v>
      </c>
      <c r="T186" s="4">
        <f t="shared" si="49"/>
        <v>164.38341197725515</v>
      </c>
      <c r="U186" s="4">
        <f t="shared" si="48"/>
        <v>164.38341197725515</v>
      </c>
      <c r="V186" s="4">
        <f t="shared" si="40"/>
        <v>0</v>
      </c>
      <c r="W186" s="4">
        <f t="shared" si="41"/>
        <v>6.461022747330969</v>
      </c>
    </row>
    <row r="187" spans="2:23" ht="12.75">
      <c r="B187" s="19">
        <v>152</v>
      </c>
      <c r="C187" s="58">
        <v>37042</v>
      </c>
      <c r="D187" s="50">
        <v>0</v>
      </c>
      <c r="E187" s="10">
        <f ca="1" t="shared" si="50"/>
        <v>18.6</v>
      </c>
      <c r="F187" s="10">
        <f ca="1" t="shared" si="50"/>
        <v>5.584</v>
      </c>
      <c r="G187" s="10">
        <f ca="1" t="shared" si="50"/>
        <v>0</v>
      </c>
      <c r="H187" s="10">
        <f t="shared" si="42"/>
        <v>18.6</v>
      </c>
      <c r="I187" s="10">
        <f>IF((SUM(H$36:H187)&gt;GDD_budbreak),(IF(((E187-10)&gt;0),(E187-10),0)),0)</f>
        <v>8.600000000000001</v>
      </c>
      <c r="J187" s="4">
        <f>IF((B187&lt;LeafDropDay),(SUM(I$36:I187)),0)</f>
        <v>412.25000000000006</v>
      </c>
      <c r="K187" s="4">
        <f t="shared" si="36"/>
        <v>1.3862456169655437</v>
      </c>
      <c r="L187" s="4">
        <f t="shared" si="37"/>
        <v>0.564711987890471</v>
      </c>
      <c r="M187" s="4">
        <f t="shared" si="43"/>
        <v>0.7912824646670044</v>
      </c>
      <c r="N187" s="4">
        <f t="shared" si="38"/>
        <v>0.44684669360497536</v>
      </c>
      <c r="O187" s="4">
        <f t="shared" si="44"/>
        <v>0</v>
      </c>
      <c r="P187" s="10">
        <f t="shared" si="45"/>
        <v>0</v>
      </c>
      <c r="Q187" s="10">
        <f t="shared" si="46"/>
        <v>-2.495191937090182</v>
      </c>
      <c r="R187" s="4">
        <f t="shared" si="47"/>
        <v>0</v>
      </c>
      <c r="S187" s="4">
        <f t="shared" si="39"/>
        <v>0</v>
      </c>
      <c r="T187" s="4">
        <f t="shared" si="49"/>
        <v>161.88822004016498</v>
      </c>
      <c r="U187" s="4">
        <f t="shared" si="48"/>
        <v>161.88822004016498</v>
      </c>
      <c r="V187" s="4">
        <f t="shared" si="40"/>
        <v>0</v>
      </c>
      <c r="W187" s="4">
        <f t="shared" si="41"/>
        <v>7.0594530218244</v>
      </c>
    </row>
    <row r="188" spans="2:23" ht="12.75">
      <c r="B188" s="19">
        <v>153</v>
      </c>
      <c r="C188" s="58">
        <v>37043</v>
      </c>
      <c r="D188" s="50">
        <v>0</v>
      </c>
      <c r="E188" s="10">
        <f ca="1" t="shared" si="50"/>
        <v>16.4</v>
      </c>
      <c r="F188" s="10">
        <f ca="1" t="shared" si="50"/>
        <v>6.091</v>
      </c>
      <c r="G188" s="10">
        <f ca="1" t="shared" si="50"/>
        <v>0</v>
      </c>
      <c r="H188" s="10">
        <f t="shared" si="42"/>
        <v>16.4</v>
      </c>
      <c r="I188" s="10">
        <f>IF((SUM(H$36:H188)&gt;GDD_budbreak),(IF(((E188-10)&gt;0),(E188-10),0)),0)</f>
        <v>6.399999999999999</v>
      </c>
      <c r="J188" s="4">
        <f>IF((B188&lt;LeafDropDay),(SUM(I$36:I188)),0)</f>
        <v>418.65000000000003</v>
      </c>
      <c r="K188" s="4">
        <f t="shared" si="36"/>
        <v>1.3962786698723928</v>
      </c>
      <c r="L188" s="4">
        <f t="shared" si="37"/>
        <v>0.5673244772211372</v>
      </c>
      <c r="M188" s="4">
        <f t="shared" si="43"/>
        <v>0.7057924254536572</v>
      </c>
      <c r="N188" s="4">
        <f t="shared" si="38"/>
        <v>0.4004133187971345</v>
      </c>
      <c r="O188" s="4">
        <f t="shared" si="44"/>
        <v>0</v>
      </c>
      <c r="P188" s="10">
        <f t="shared" si="45"/>
        <v>0</v>
      </c>
      <c r="Q188" s="10">
        <f t="shared" si="46"/>
        <v>-2.438917524793346</v>
      </c>
      <c r="R188" s="4">
        <f t="shared" si="47"/>
        <v>0</v>
      </c>
      <c r="S188" s="4">
        <f t="shared" si="39"/>
        <v>0</v>
      </c>
      <c r="T188" s="4">
        <f t="shared" si="49"/>
        <v>159.44930251537164</v>
      </c>
      <c r="U188" s="4">
        <f t="shared" si="48"/>
        <v>159.44930251537164</v>
      </c>
      <c r="V188" s="4">
        <f t="shared" si="40"/>
        <v>0</v>
      </c>
      <c r="W188" s="4">
        <f t="shared" si="41"/>
        <v>7.708157631041064</v>
      </c>
    </row>
    <row r="189" spans="2:23" ht="12.75">
      <c r="B189" s="19">
        <v>154</v>
      </c>
      <c r="C189" s="58">
        <v>37044</v>
      </c>
      <c r="D189" s="50">
        <v>0</v>
      </c>
      <c r="E189" s="10">
        <f ca="1" t="shared" si="50"/>
        <v>17.25</v>
      </c>
      <c r="F189" s="10">
        <f ca="1" t="shared" si="50"/>
        <v>6.599</v>
      </c>
      <c r="G189" s="10">
        <f ca="1" t="shared" si="50"/>
        <v>0</v>
      </c>
      <c r="H189" s="10">
        <f t="shared" si="42"/>
        <v>17.25</v>
      </c>
      <c r="I189" s="10">
        <f>IF((SUM(H$36:H189)&gt;GDD_budbreak),(IF(((E189-10)&gt;0),(E189-10),0)),0)</f>
        <v>7.25</v>
      </c>
      <c r="J189" s="4">
        <f>IF((B189&lt;LeafDropDay),(SUM(I$36:I189)),0)</f>
        <v>425.90000000000003</v>
      </c>
      <c r="K189" s="4">
        <f t="shared" si="36"/>
        <v>1.4055766955047857</v>
      </c>
      <c r="L189" s="4">
        <f t="shared" si="37"/>
        <v>0.5697315734661079</v>
      </c>
      <c r="M189" s="4">
        <f t="shared" si="43"/>
        <v>0.6131203384227052</v>
      </c>
      <c r="N189" s="4">
        <f t="shared" si="38"/>
        <v>0.3493140151336404</v>
      </c>
      <c r="O189" s="4">
        <f t="shared" si="44"/>
        <v>0</v>
      </c>
      <c r="P189" s="10">
        <f t="shared" si="45"/>
        <v>0</v>
      </c>
      <c r="Q189" s="10">
        <f t="shared" si="46"/>
        <v>-2.305123185866893</v>
      </c>
      <c r="R189" s="4">
        <f t="shared" si="47"/>
        <v>0</v>
      </c>
      <c r="S189" s="4">
        <f t="shared" si="39"/>
        <v>0</v>
      </c>
      <c r="T189" s="4">
        <f t="shared" si="49"/>
        <v>157.14417932950474</v>
      </c>
      <c r="U189" s="4">
        <f t="shared" si="48"/>
        <v>157.14417932950474</v>
      </c>
      <c r="V189" s="4">
        <f t="shared" si="40"/>
        <v>0</v>
      </c>
      <c r="W189" s="4">
        <f t="shared" si="41"/>
        <v>8.386414663080917</v>
      </c>
    </row>
    <row r="190" spans="2:23" ht="12.75">
      <c r="B190" s="19">
        <v>155</v>
      </c>
      <c r="C190" s="58">
        <v>37045</v>
      </c>
      <c r="D190" s="50">
        <v>0</v>
      </c>
      <c r="E190" s="10">
        <f ca="1" t="shared" si="50"/>
        <v>17.2</v>
      </c>
      <c r="F190" s="10">
        <f ca="1" t="shared" si="50"/>
        <v>6.599</v>
      </c>
      <c r="G190" s="10">
        <f ca="1" t="shared" si="50"/>
        <v>0</v>
      </c>
      <c r="H190" s="10">
        <f t="shared" si="42"/>
        <v>17.2</v>
      </c>
      <c r="I190" s="10">
        <f>IF((SUM(H$36:H190)&gt;GDD_budbreak),(IF(((E190-10)&gt;0),(E190-10),0)),0)</f>
        <v>7.199999999999999</v>
      </c>
      <c r="J190" s="4">
        <f>IF((B190&lt;LeafDropDay),(SUM(I$36:I190)),0)</f>
        <v>433.1</v>
      </c>
      <c r="K190" s="4">
        <f t="shared" si="36"/>
        <v>1.4145893410200405</v>
      </c>
      <c r="L190" s="4">
        <f t="shared" si="37"/>
        <v>0.5720520079185041</v>
      </c>
      <c r="M190" s="4">
        <f t="shared" si="43"/>
        <v>0.5162264767027263</v>
      </c>
      <c r="N190" s="4">
        <f t="shared" si="38"/>
        <v>0.2953083925384894</v>
      </c>
      <c r="O190" s="4">
        <f t="shared" si="44"/>
        <v>0</v>
      </c>
      <c r="P190" s="10">
        <f t="shared" si="45"/>
        <v>0</v>
      </c>
      <c r="Q190" s="10">
        <f t="shared" si="46"/>
        <v>-1.9487400823614915</v>
      </c>
      <c r="R190" s="4">
        <f t="shared" si="47"/>
        <v>0</v>
      </c>
      <c r="S190" s="4">
        <f t="shared" si="39"/>
        <v>0</v>
      </c>
      <c r="T190" s="4">
        <f t="shared" si="49"/>
        <v>155.19543924714324</v>
      </c>
      <c r="U190" s="4">
        <f t="shared" si="48"/>
        <v>155.19543924714324</v>
      </c>
      <c r="V190" s="4">
        <f t="shared" si="40"/>
        <v>0</v>
      </c>
      <c r="W190" s="4">
        <f t="shared" si="41"/>
        <v>9.014904135411676</v>
      </c>
    </row>
    <row r="191" spans="2:23" ht="12.75">
      <c r="B191" s="19">
        <v>156</v>
      </c>
      <c r="C191" s="58">
        <v>37046</v>
      </c>
      <c r="D191" s="50">
        <v>0</v>
      </c>
      <c r="E191" s="10">
        <f ca="1" t="shared" si="50"/>
        <v>17.5</v>
      </c>
      <c r="F191" s="10">
        <f ca="1" t="shared" si="50"/>
        <v>6.599</v>
      </c>
      <c r="G191" s="10">
        <f ca="1" t="shared" si="50"/>
        <v>0</v>
      </c>
      <c r="H191" s="10">
        <f t="shared" si="42"/>
        <v>17.5</v>
      </c>
      <c r="I191" s="10">
        <f>IF((SUM(H$36:H191)&gt;GDD_budbreak),(IF(((E191-10)&gt;0),(E191-10),0)),0)</f>
        <v>7.5</v>
      </c>
      <c r="J191" s="4">
        <f>IF((B191&lt;LeafDropDay),(SUM(I$36:I191)),0)</f>
        <v>440.6</v>
      </c>
      <c r="K191" s="4">
        <f t="shared" si="36"/>
        <v>1.425909852989394</v>
      </c>
      <c r="L191" s="4">
        <f t="shared" si="37"/>
        <v>0.5749489126675216</v>
      </c>
      <c r="M191" s="4">
        <f t="shared" si="43"/>
        <v>0.42644226636976057</v>
      </c>
      <c r="N191" s="4">
        <f t="shared" si="38"/>
        <v>0.24518251736476745</v>
      </c>
      <c r="O191" s="4">
        <f t="shared" si="44"/>
        <v>0</v>
      </c>
      <c r="P191" s="10">
        <f t="shared" si="45"/>
        <v>0</v>
      </c>
      <c r="Q191" s="10">
        <f t="shared" si="46"/>
        <v>-1.6179594320901005</v>
      </c>
      <c r="R191" s="4">
        <f t="shared" si="47"/>
        <v>0</v>
      </c>
      <c r="S191" s="4">
        <f t="shared" si="39"/>
        <v>0</v>
      </c>
      <c r="T191" s="4">
        <f t="shared" si="49"/>
        <v>153.57747981505315</v>
      </c>
      <c r="U191" s="4">
        <f t="shared" si="48"/>
        <v>153.57747981505315</v>
      </c>
      <c r="V191" s="4">
        <f t="shared" si="40"/>
        <v>0</v>
      </c>
      <c r="W191" s="4">
        <f t="shared" si="41"/>
        <v>9.578985399440073</v>
      </c>
    </row>
    <row r="192" spans="2:23" ht="12.75">
      <c r="B192" s="19">
        <v>157</v>
      </c>
      <c r="C192" s="58">
        <v>37047</v>
      </c>
      <c r="D192" s="50">
        <v>0</v>
      </c>
      <c r="E192" s="10">
        <f ca="1" t="shared" si="50"/>
        <v>20.3</v>
      </c>
      <c r="F192" s="10">
        <f ca="1" t="shared" si="50"/>
        <v>6.599</v>
      </c>
      <c r="G192" s="10">
        <f ca="1" t="shared" si="50"/>
        <v>0</v>
      </c>
      <c r="H192" s="10">
        <f t="shared" si="42"/>
        <v>20.3</v>
      </c>
      <c r="I192" s="10">
        <f>IF((SUM(H$36:H192)&gt;GDD_budbreak),(IF(((E192-10)&gt;0),(E192-10),0)),0)</f>
        <v>10.3</v>
      </c>
      <c r="J192" s="4">
        <f>IF((B192&lt;LeafDropDay),(SUM(I$36:I192)),0)</f>
        <v>450.90000000000003</v>
      </c>
      <c r="K192" s="4">
        <f t="shared" si="36"/>
        <v>1.4393455913715871</v>
      </c>
      <c r="L192" s="4">
        <f t="shared" si="37"/>
        <v>0.5783616634625698</v>
      </c>
      <c r="M192" s="4">
        <f t="shared" si="43"/>
        <v>0.34585922865141805</v>
      </c>
      <c r="N192" s="4">
        <f t="shared" si="38"/>
        <v>0.20003171880671541</v>
      </c>
      <c r="O192" s="4">
        <f t="shared" si="44"/>
        <v>0</v>
      </c>
      <c r="P192" s="10">
        <f t="shared" si="45"/>
        <v>0</v>
      </c>
      <c r="Q192" s="10">
        <f t="shared" si="46"/>
        <v>-1.320009312405515</v>
      </c>
      <c r="R192" s="4">
        <f t="shared" si="47"/>
        <v>0</v>
      </c>
      <c r="S192" s="4">
        <f t="shared" si="39"/>
        <v>0</v>
      </c>
      <c r="T192" s="4">
        <f t="shared" si="49"/>
        <v>152.25747050264764</v>
      </c>
      <c r="U192" s="4">
        <f t="shared" si="48"/>
        <v>152.25747050264764</v>
      </c>
      <c r="V192" s="4">
        <f t="shared" si="40"/>
        <v>0</v>
      </c>
      <c r="W192" s="4">
        <f t="shared" si="41"/>
        <v>10.070023401850587</v>
      </c>
    </row>
    <row r="193" spans="2:23" ht="12.75">
      <c r="B193" s="19">
        <v>158</v>
      </c>
      <c r="C193" s="58">
        <v>37048</v>
      </c>
      <c r="D193" s="50">
        <v>0</v>
      </c>
      <c r="E193" s="10">
        <f ca="1" t="shared" si="50"/>
        <v>23.85</v>
      </c>
      <c r="F193" s="10">
        <f ca="1" t="shared" si="50"/>
        <v>3.046</v>
      </c>
      <c r="G193" s="10">
        <f ca="1" t="shared" si="50"/>
        <v>0</v>
      </c>
      <c r="H193" s="10">
        <f t="shared" si="42"/>
        <v>23.85</v>
      </c>
      <c r="I193" s="10">
        <f>IF((SUM(H$36:H193)&gt;GDD_budbreak),(IF(((E193-10)&gt;0),(E193-10),0)),0)</f>
        <v>13.850000000000001</v>
      </c>
      <c r="J193" s="4">
        <f>IF((B193&lt;LeafDropDay),(SUM(I$36:I193)),0)</f>
        <v>464.75000000000006</v>
      </c>
      <c r="K193" s="4">
        <f t="shared" si="36"/>
        <v>1.4478792966044878</v>
      </c>
      <c r="L193" s="4">
        <f t="shared" si="37"/>
        <v>0.5805150282712443</v>
      </c>
      <c r="M193" s="4">
        <f t="shared" si="43"/>
        <v>0.2757109425927732</v>
      </c>
      <c r="N193" s="4">
        <f t="shared" si="38"/>
        <v>0.16005434563393514</v>
      </c>
      <c r="O193" s="4">
        <f t="shared" si="44"/>
        <v>0</v>
      </c>
      <c r="P193" s="10">
        <f t="shared" si="45"/>
        <v>0</v>
      </c>
      <c r="Q193" s="10">
        <f t="shared" si="46"/>
        <v>-0.4875255368009664</v>
      </c>
      <c r="R193" s="4">
        <f t="shared" si="47"/>
        <v>0</v>
      </c>
      <c r="S193" s="4">
        <f t="shared" si="39"/>
        <v>0</v>
      </c>
      <c r="T193" s="4">
        <f t="shared" si="49"/>
        <v>151.76994496584666</v>
      </c>
      <c r="U193" s="4">
        <f t="shared" si="48"/>
        <v>151.76994496584666</v>
      </c>
      <c r="V193" s="4">
        <f t="shared" si="40"/>
        <v>0</v>
      </c>
      <c r="W193" s="4">
        <f t="shared" si="41"/>
        <v>10.258803909339944</v>
      </c>
    </row>
    <row r="194" spans="2:23" ht="12.75">
      <c r="B194" s="19">
        <v>159</v>
      </c>
      <c r="C194" s="58">
        <v>37049</v>
      </c>
      <c r="D194" s="50">
        <v>0</v>
      </c>
      <c r="E194" s="10">
        <f ca="1" t="shared" si="50"/>
        <v>20</v>
      </c>
      <c r="F194" s="10">
        <f ca="1" t="shared" si="50"/>
        <v>2.284</v>
      </c>
      <c r="G194" s="10">
        <f ca="1" t="shared" si="50"/>
        <v>0</v>
      </c>
      <c r="H194" s="10">
        <f t="shared" si="42"/>
        <v>20</v>
      </c>
      <c r="I194" s="10">
        <f>IF((SUM(H$36:H194)&gt;GDD_budbreak),(IF(((E194-10)&gt;0),(E194-10),0)),0)</f>
        <v>10</v>
      </c>
      <c r="J194" s="4">
        <f>IF((B194&lt;LeafDropDay),(SUM(I$36:I194)),0)</f>
        <v>474.75000000000006</v>
      </c>
      <c r="K194" s="4">
        <f t="shared" si="36"/>
        <v>1.4536895988258687</v>
      </c>
      <c r="L194" s="4">
        <f t="shared" si="37"/>
        <v>0.5819748828117399</v>
      </c>
      <c r="M194" s="4">
        <f t="shared" si="43"/>
        <v>0.24874229866572228</v>
      </c>
      <c r="N194" s="4">
        <f t="shared" si="38"/>
        <v>0.14476177011630653</v>
      </c>
      <c r="O194" s="4">
        <f t="shared" si="44"/>
        <v>0</v>
      </c>
      <c r="P194" s="10">
        <f t="shared" si="45"/>
        <v>0</v>
      </c>
      <c r="Q194" s="10">
        <f t="shared" si="46"/>
        <v>-0.3306358829456441</v>
      </c>
      <c r="R194" s="4">
        <f t="shared" si="47"/>
        <v>0</v>
      </c>
      <c r="S194" s="4">
        <f t="shared" si="39"/>
        <v>0</v>
      </c>
      <c r="T194" s="4">
        <f t="shared" si="49"/>
        <v>151.43930908290102</v>
      </c>
      <c r="U194" s="4">
        <f t="shared" si="48"/>
        <v>151.43930908290102</v>
      </c>
      <c r="V194" s="4">
        <f t="shared" si="40"/>
        <v>0</v>
      </c>
      <c r="W194" s="4">
        <f t="shared" si="41"/>
        <v>10.389196297786757</v>
      </c>
    </row>
    <row r="195" spans="2:23" ht="12.75">
      <c r="B195" s="19">
        <v>160</v>
      </c>
      <c r="C195" s="58">
        <v>37050</v>
      </c>
      <c r="D195" s="50">
        <v>0</v>
      </c>
      <c r="E195" s="10">
        <f ca="1" t="shared" si="50"/>
        <v>17.5</v>
      </c>
      <c r="F195" s="10">
        <f ca="1" t="shared" si="50"/>
        <v>2.031</v>
      </c>
      <c r="G195" s="10">
        <f ca="1" t="shared" si="50"/>
        <v>0</v>
      </c>
      <c r="H195" s="10">
        <f t="shared" si="42"/>
        <v>17.5</v>
      </c>
      <c r="I195" s="10">
        <f>IF((SUM(H$36:H195)&gt;GDD_budbreak),(IF(((E195-10)&gt;0),(E195-10),0)),0)</f>
        <v>7.5</v>
      </c>
      <c r="J195" s="4">
        <f>IF((B195&lt;LeafDropDay),(SUM(I$36:I195)),0)</f>
        <v>482.25000000000006</v>
      </c>
      <c r="K195" s="4">
        <f t="shared" si="36"/>
        <v>1.4584807954065402</v>
      </c>
      <c r="L195" s="4">
        <f t="shared" si="37"/>
        <v>0.5831748614924932</v>
      </c>
      <c r="M195" s="4">
        <f t="shared" si="43"/>
        <v>0.23011481460189187</v>
      </c>
      <c r="N195" s="4">
        <f t="shared" si="38"/>
        <v>0.13419717513282906</v>
      </c>
      <c r="O195" s="4">
        <f t="shared" si="44"/>
        <v>0</v>
      </c>
      <c r="P195" s="10">
        <f t="shared" si="45"/>
        <v>0</v>
      </c>
      <c r="Q195" s="10">
        <f t="shared" si="46"/>
        <v>-0.27255446269477585</v>
      </c>
      <c r="R195" s="4">
        <f t="shared" si="47"/>
        <v>0</v>
      </c>
      <c r="S195" s="4">
        <f t="shared" si="39"/>
        <v>0</v>
      </c>
      <c r="T195" s="4">
        <f t="shared" si="49"/>
        <v>151.16675462020623</v>
      </c>
      <c r="U195" s="4">
        <f t="shared" si="48"/>
        <v>151.16675462020623</v>
      </c>
      <c r="V195" s="4">
        <f t="shared" si="40"/>
        <v>0</v>
      </c>
      <c r="W195" s="4">
        <f t="shared" si="41"/>
        <v>10.498146327684337</v>
      </c>
    </row>
    <row r="196" spans="2:23" ht="12.75">
      <c r="B196" s="19">
        <v>161</v>
      </c>
      <c r="C196" s="58">
        <v>37051</v>
      </c>
      <c r="D196" s="50">
        <v>0</v>
      </c>
      <c r="E196" s="10">
        <f ca="1" t="shared" si="51" ref="E196:G215">INDIRECT(WeatherSheet&amp;"!"&amp;E565)</f>
        <v>16.7</v>
      </c>
      <c r="F196" s="10">
        <f ca="1" t="shared" si="51"/>
        <v>2.031</v>
      </c>
      <c r="G196" s="10">
        <f ca="1" t="shared" si="51"/>
        <v>0</v>
      </c>
      <c r="H196" s="10">
        <f t="shared" si="42"/>
        <v>16.7</v>
      </c>
      <c r="I196" s="10">
        <f>IF((SUM(H$36:H196)&gt;GDD_budbreak),(IF(((E196-10)&gt;0),(E196-10),0)),0)</f>
        <v>6.699999999999999</v>
      </c>
      <c r="J196" s="4">
        <f>IF((B196&lt;LeafDropDay),(SUM(I$36:I196)),0)</f>
        <v>488.95000000000005</v>
      </c>
      <c r="K196" s="4">
        <f t="shared" si="36"/>
        <v>1.4639581272271984</v>
      </c>
      <c r="L196" s="4">
        <f t="shared" si="37"/>
        <v>0.5845424667701078</v>
      </c>
      <c r="M196" s="4">
        <f t="shared" si="43"/>
        <v>0.21455052461652335</v>
      </c>
      <c r="N196" s="4">
        <f t="shared" si="38"/>
        <v>0.12541389290616328</v>
      </c>
      <c r="O196" s="4">
        <f t="shared" si="44"/>
        <v>0</v>
      </c>
      <c r="P196" s="10">
        <f t="shared" si="45"/>
        <v>0</v>
      </c>
      <c r="Q196" s="10">
        <f t="shared" si="46"/>
        <v>-0.25471561649241764</v>
      </c>
      <c r="R196" s="4">
        <f t="shared" si="47"/>
        <v>0</v>
      </c>
      <c r="S196" s="4">
        <f t="shared" si="39"/>
        <v>0</v>
      </c>
      <c r="T196" s="4">
        <f t="shared" si="49"/>
        <v>150.91203900371383</v>
      </c>
      <c r="U196" s="4">
        <f t="shared" si="48"/>
        <v>150.91203900371383</v>
      </c>
      <c r="V196" s="4">
        <f t="shared" si="40"/>
        <v>0</v>
      </c>
      <c r="W196" s="4">
        <f t="shared" si="41"/>
        <v>10.601178499935212</v>
      </c>
    </row>
    <row r="197" spans="2:23" ht="12.75">
      <c r="B197" s="19">
        <v>162</v>
      </c>
      <c r="C197" s="58">
        <v>37052</v>
      </c>
      <c r="D197" s="50">
        <v>0</v>
      </c>
      <c r="E197" s="10">
        <f ca="1" t="shared" si="51"/>
        <v>18.35</v>
      </c>
      <c r="F197" s="10">
        <f ca="1" t="shared" si="51"/>
        <v>3.3</v>
      </c>
      <c r="G197" s="10">
        <f ca="1" t="shared" si="51"/>
        <v>0</v>
      </c>
      <c r="H197" s="10">
        <f t="shared" si="42"/>
        <v>18.35</v>
      </c>
      <c r="I197" s="10">
        <f>IF((SUM(H$36:H197)&gt;GDD_budbreak),(IF(((E197-10)&gt;0),(E197-10),0)),0)</f>
        <v>8.350000000000001</v>
      </c>
      <c r="J197" s="4">
        <f>IF((B197&lt;LeafDropDay),(SUM(I$36:I197)),0)</f>
        <v>497.30000000000007</v>
      </c>
      <c r="K197" s="4">
        <f t="shared" si="36"/>
        <v>1.4698493607172836</v>
      </c>
      <c r="L197" s="4">
        <f t="shared" si="37"/>
        <v>0.5860084087818518</v>
      </c>
      <c r="M197" s="4">
        <f t="shared" si="43"/>
        <v>0.1998316428663982</v>
      </c>
      <c r="N197" s="4">
        <f t="shared" si="38"/>
        <v>0.1171030230604013</v>
      </c>
      <c r="O197" s="4">
        <f t="shared" si="44"/>
        <v>0</v>
      </c>
      <c r="P197" s="10">
        <f t="shared" si="45"/>
        <v>0</v>
      </c>
      <c r="Q197" s="10">
        <f t="shared" si="46"/>
        <v>-0.38643997609932423</v>
      </c>
      <c r="R197" s="4">
        <f t="shared" si="47"/>
        <v>0</v>
      </c>
      <c r="S197" s="4">
        <f t="shared" si="39"/>
        <v>0</v>
      </c>
      <c r="T197" s="4">
        <f t="shared" si="49"/>
        <v>150.5255990276145</v>
      </c>
      <c r="U197" s="4">
        <f t="shared" si="48"/>
        <v>150.5255990276145</v>
      </c>
      <c r="V197" s="4">
        <f t="shared" si="40"/>
        <v>0</v>
      </c>
      <c r="W197" s="4">
        <f t="shared" si="41"/>
        <v>10.75976623498482</v>
      </c>
    </row>
    <row r="198" spans="2:23" ht="12.75">
      <c r="B198" s="19">
        <v>163</v>
      </c>
      <c r="C198" s="58">
        <v>37053</v>
      </c>
      <c r="D198" s="50">
        <v>0</v>
      </c>
      <c r="E198" s="10">
        <f ca="1" t="shared" si="51"/>
        <v>20</v>
      </c>
      <c r="F198" s="10">
        <f ca="1" t="shared" si="51"/>
        <v>6.853</v>
      </c>
      <c r="G198" s="10">
        <f ca="1" t="shared" si="51"/>
        <v>0</v>
      </c>
      <c r="H198" s="10">
        <f t="shared" si="42"/>
        <v>20</v>
      </c>
      <c r="I198" s="10">
        <f>IF((SUM(H$36:H198)&gt;GDD_budbreak),(IF(((E198-10)&gt;0),(E198-10),0)),0)</f>
        <v>10</v>
      </c>
      <c r="J198" s="4">
        <f>IF((B198&lt;LeafDropDay),(SUM(I$36:I198)),0)</f>
        <v>507.30000000000007</v>
      </c>
      <c r="K198" s="4">
        <f t="shared" si="36"/>
        <v>1.475755811931362</v>
      </c>
      <c r="L198" s="4">
        <f t="shared" si="37"/>
        <v>0.5874729448677491</v>
      </c>
      <c r="M198" s="4">
        <f t="shared" si="43"/>
        <v>0.17717625214502575</v>
      </c>
      <c r="N198" s="4">
        <f t="shared" si="38"/>
        <v>0.10408625460826913</v>
      </c>
      <c r="O198" s="4">
        <f t="shared" si="44"/>
        <v>0</v>
      </c>
      <c r="P198" s="10">
        <f t="shared" si="45"/>
        <v>0</v>
      </c>
      <c r="Q198" s="10">
        <f t="shared" si="46"/>
        <v>-0.7133031028304684</v>
      </c>
      <c r="R198" s="4">
        <f t="shared" si="47"/>
        <v>0</v>
      </c>
      <c r="S198" s="4">
        <f t="shared" si="39"/>
        <v>0</v>
      </c>
      <c r="T198" s="4">
        <f t="shared" si="49"/>
        <v>149.81229592478402</v>
      </c>
      <c r="U198" s="4">
        <f t="shared" si="48"/>
        <v>149.81229592478402</v>
      </c>
      <c r="V198" s="4">
        <f t="shared" si="40"/>
        <v>0</v>
      </c>
      <c r="W198" s="4">
        <f t="shared" si="41"/>
        <v>11.059860041900373</v>
      </c>
    </row>
    <row r="199" spans="2:23" ht="12.75">
      <c r="B199" s="19">
        <v>164</v>
      </c>
      <c r="C199" s="58">
        <v>37054</v>
      </c>
      <c r="D199" s="50">
        <v>0</v>
      </c>
      <c r="E199" s="10">
        <f ca="1" t="shared" si="51"/>
        <v>21.4</v>
      </c>
      <c r="F199" s="10">
        <f ca="1" t="shared" si="51"/>
        <v>7.868</v>
      </c>
      <c r="G199" s="10">
        <f ca="1" t="shared" si="51"/>
        <v>0</v>
      </c>
      <c r="H199" s="10">
        <f t="shared" si="42"/>
        <v>21.4</v>
      </c>
      <c r="I199" s="10">
        <f>IF((SUM(H$36:H199)&gt;GDD_budbreak),(IF(((E199-10)&gt;0),(E199-10),0)),0)</f>
        <v>11.399999999999999</v>
      </c>
      <c r="J199" s="4">
        <f>IF((B199&lt;LeafDropDay),(SUM(I$36:I199)),0)</f>
        <v>518.7</v>
      </c>
      <c r="K199" s="4">
        <f t="shared" si="36"/>
        <v>1.4811167549502637</v>
      </c>
      <c r="L199" s="4">
        <f t="shared" si="37"/>
        <v>0.5887977335123888</v>
      </c>
      <c r="M199" s="4">
        <f t="shared" si="43"/>
        <v>0.1343057082999467</v>
      </c>
      <c r="N199" s="4">
        <f t="shared" si="38"/>
        <v>0.07907889664478465</v>
      </c>
      <c r="O199" s="4">
        <f t="shared" si="44"/>
        <v>0</v>
      </c>
      <c r="P199" s="10">
        <f t="shared" si="45"/>
        <v>0</v>
      </c>
      <c r="Q199" s="10">
        <f t="shared" si="46"/>
        <v>-0.6221927588011656</v>
      </c>
      <c r="R199" s="4">
        <f t="shared" si="47"/>
        <v>10</v>
      </c>
      <c r="S199" s="4">
        <f t="shared" si="39"/>
        <v>4.905280512</v>
      </c>
      <c r="T199" s="4">
        <f t="shared" si="49"/>
        <v>159.19010316598286</v>
      </c>
      <c r="U199" s="4">
        <f t="shared" si="48"/>
        <v>159.19010316598286</v>
      </c>
      <c r="V199" s="4">
        <f t="shared" si="40"/>
        <v>0</v>
      </c>
      <c r="W199" s="4">
        <f t="shared" si="41"/>
        <v>7.781126052953757</v>
      </c>
    </row>
    <row r="200" spans="2:23" ht="12.75">
      <c r="B200" s="19">
        <v>165</v>
      </c>
      <c r="C200" s="58">
        <v>37055</v>
      </c>
      <c r="D200" s="50">
        <v>0</v>
      </c>
      <c r="E200" s="10">
        <f ca="1" t="shared" si="51"/>
        <v>21.95</v>
      </c>
      <c r="F200" s="10">
        <f ca="1" t="shared" si="51"/>
        <v>7.36</v>
      </c>
      <c r="G200" s="10">
        <f ca="1" t="shared" si="51"/>
        <v>0</v>
      </c>
      <c r="H200" s="10">
        <f t="shared" si="42"/>
        <v>21.95</v>
      </c>
      <c r="I200" s="10">
        <f>IF((SUM(H$36:H200)&gt;GDD_budbreak),(IF(((E200-10)&gt;0),(E200-10),0)),0)</f>
        <v>11.95</v>
      </c>
      <c r="J200" s="4">
        <f>IF((B200&lt;LeafDropDay),(SUM(I$36:I200)),0)</f>
        <v>530.6500000000001</v>
      </c>
      <c r="K200" s="4">
        <f t="shared" si="36"/>
        <v>1.485220088027634</v>
      </c>
      <c r="L200" s="4">
        <f t="shared" si="37"/>
        <v>0.5898088682118479</v>
      </c>
      <c r="M200" s="4">
        <f t="shared" si="43"/>
        <v>0.6026962781494632</v>
      </c>
      <c r="N200" s="4">
        <f t="shared" si="38"/>
        <v>0.355475609690828</v>
      </c>
      <c r="O200" s="4">
        <f t="shared" si="44"/>
        <v>0</v>
      </c>
      <c r="P200" s="10">
        <f t="shared" si="45"/>
        <v>0</v>
      </c>
      <c r="Q200" s="10">
        <f t="shared" si="46"/>
        <v>-2.616300487324494</v>
      </c>
      <c r="R200" s="4">
        <f t="shared" si="47"/>
        <v>0</v>
      </c>
      <c r="S200" s="4">
        <f t="shared" si="39"/>
        <v>0</v>
      </c>
      <c r="T200" s="4">
        <f t="shared" si="49"/>
        <v>156.57380267865838</v>
      </c>
      <c r="U200" s="4">
        <f t="shared" si="48"/>
        <v>156.57380267865838</v>
      </c>
      <c r="V200" s="4">
        <f t="shared" si="40"/>
        <v>0</v>
      </c>
      <c r="W200" s="4">
        <f t="shared" si="41"/>
        <v>8.564891656314423</v>
      </c>
    </row>
    <row r="201" spans="2:23" ht="12.75">
      <c r="B201" s="19">
        <v>166</v>
      </c>
      <c r="C201" s="58">
        <v>37056</v>
      </c>
      <c r="D201" s="50">
        <v>0</v>
      </c>
      <c r="E201" s="10">
        <f ca="1" t="shared" si="51"/>
        <v>20.55</v>
      </c>
      <c r="F201" s="10">
        <f ca="1" t="shared" si="51"/>
        <v>7.107</v>
      </c>
      <c r="G201" s="10">
        <f ca="1" t="shared" si="51"/>
        <v>0</v>
      </c>
      <c r="H201" s="10">
        <f t="shared" si="42"/>
        <v>20.55</v>
      </c>
      <c r="I201" s="10">
        <f>IF((SUM(H$36:H201)&gt;GDD_budbreak),(IF(((E201-10)&gt;0),(E201-10),0)),0)</f>
        <v>10.55</v>
      </c>
      <c r="J201" s="4">
        <f>IF((B201&lt;LeafDropDay),(SUM(I$36:I201)),0)</f>
        <v>541.2</v>
      </c>
      <c r="K201" s="4">
        <f t="shared" si="36"/>
        <v>1.4894834573320712</v>
      </c>
      <c r="L201" s="4">
        <f t="shared" si="37"/>
        <v>0.590856805085979</v>
      </c>
      <c r="M201" s="4">
        <f t="shared" si="43"/>
        <v>0.4907297633836539</v>
      </c>
      <c r="N201" s="4">
        <f t="shared" si="38"/>
        <v>0.28995102015346425</v>
      </c>
      <c r="O201" s="4">
        <f t="shared" si="44"/>
        <v>0</v>
      </c>
      <c r="P201" s="10">
        <f t="shared" si="45"/>
        <v>0</v>
      </c>
      <c r="Q201" s="10">
        <f t="shared" si="46"/>
        <v>-2.0606819002306707</v>
      </c>
      <c r="R201" s="4">
        <f t="shared" si="47"/>
        <v>0</v>
      </c>
      <c r="S201" s="4">
        <f t="shared" si="39"/>
        <v>0</v>
      </c>
      <c r="T201" s="4">
        <f t="shared" si="49"/>
        <v>154.51312077842772</v>
      </c>
      <c r="U201" s="4">
        <f t="shared" si="48"/>
        <v>154.51312077842772</v>
      </c>
      <c r="V201" s="4">
        <f t="shared" si="40"/>
        <v>0</v>
      </c>
      <c r="W201" s="4">
        <f t="shared" si="41"/>
        <v>9.247901422455918</v>
      </c>
    </row>
    <row r="202" spans="2:23" ht="12.75">
      <c r="B202" s="19">
        <v>167</v>
      </c>
      <c r="C202" s="58">
        <v>37057</v>
      </c>
      <c r="D202" s="50">
        <v>0</v>
      </c>
      <c r="E202" s="10">
        <f ca="1" t="shared" si="51"/>
        <v>22.75</v>
      </c>
      <c r="F202" s="10">
        <f ca="1" t="shared" si="51"/>
        <v>7.107</v>
      </c>
      <c r="G202" s="10">
        <f ca="1" t="shared" si="51"/>
        <v>0</v>
      </c>
      <c r="H202" s="10">
        <f t="shared" si="42"/>
        <v>22.75</v>
      </c>
      <c r="I202" s="10">
        <f>IF((SUM(H$36:H202)&gt;GDD_budbreak),(IF(((E202-10)&gt;0),(E202-10),0)),0)</f>
        <v>12.75</v>
      </c>
      <c r="J202" s="4">
        <f>IF((B202&lt;LeafDropDay),(SUM(I$36:I202)),0)</f>
        <v>553.95</v>
      </c>
      <c r="K202" s="4">
        <f t="shared" si="36"/>
        <v>1.4924360982085476</v>
      </c>
      <c r="L202" s="4">
        <f t="shared" si="37"/>
        <v>0.5915809951675823</v>
      </c>
      <c r="M202" s="4">
        <f t="shared" si="43"/>
        <v>0.39315693964915455</v>
      </c>
      <c r="N202" s="4">
        <f t="shared" si="38"/>
        <v>0.23258417361468794</v>
      </c>
      <c r="O202" s="4">
        <f t="shared" si="44"/>
        <v>0</v>
      </c>
      <c r="P202" s="10">
        <f t="shared" si="45"/>
        <v>0</v>
      </c>
      <c r="Q202" s="10">
        <f t="shared" si="46"/>
        <v>-1.6529757218795873</v>
      </c>
      <c r="R202" s="4">
        <f t="shared" si="47"/>
        <v>0</v>
      </c>
      <c r="S202" s="4">
        <f t="shared" si="39"/>
        <v>0</v>
      </c>
      <c r="T202" s="4">
        <f t="shared" si="49"/>
        <v>152.86014505654813</v>
      </c>
      <c r="U202" s="4">
        <f t="shared" si="48"/>
        <v>152.86014505654813</v>
      </c>
      <c r="V202" s="4">
        <f t="shared" si="40"/>
        <v>0</v>
      </c>
      <c r="W202" s="4">
        <f t="shared" si="41"/>
        <v>9.842256560534269</v>
      </c>
    </row>
    <row r="203" spans="2:23" ht="12.75">
      <c r="B203" s="19">
        <v>168</v>
      </c>
      <c r="C203" s="58">
        <v>37058</v>
      </c>
      <c r="D203" s="50">
        <v>0</v>
      </c>
      <c r="E203" s="10">
        <f ca="1" t="shared" si="51"/>
        <v>20.3</v>
      </c>
      <c r="F203" s="10">
        <f ca="1" t="shared" si="51"/>
        <v>6.853</v>
      </c>
      <c r="G203" s="10">
        <f ca="1" t="shared" si="51"/>
        <v>0</v>
      </c>
      <c r="H203" s="10">
        <f t="shared" si="42"/>
        <v>20.3</v>
      </c>
      <c r="I203" s="10">
        <f>IF((SUM(H$36:H203)&gt;GDD_budbreak),(IF(((E203-10)&gt;0),(E203-10),0)),0)</f>
        <v>10.3</v>
      </c>
      <c r="J203" s="4">
        <f>IF((B203&lt;LeafDropDay),(SUM(I$36:I203)),0)</f>
        <v>564.25</v>
      </c>
      <c r="K203" s="4">
        <f t="shared" si="36"/>
        <v>1.4955039038518751</v>
      </c>
      <c r="L203" s="4">
        <f t="shared" si="37"/>
        <v>0.5923320737832762</v>
      </c>
      <c r="M203" s="4">
        <f t="shared" si="43"/>
        <v>0.30824906278081876</v>
      </c>
      <c r="N203" s="4">
        <f t="shared" si="38"/>
        <v>0.18258580659871368</v>
      </c>
      <c r="O203" s="4">
        <f t="shared" si="44"/>
        <v>0</v>
      </c>
      <c r="P203" s="10">
        <f t="shared" si="45"/>
        <v>0</v>
      </c>
      <c r="Q203" s="10">
        <f t="shared" si="46"/>
        <v>-1.2512605326209847</v>
      </c>
      <c r="R203" s="4">
        <f t="shared" si="47"/>
        <v>0</v>
      </c>
      <c r="S203" s="4">
        <f t="shared" si="39"/>
        <v>0</v>
      </c>
      <c r="T203" s="4">
        <f t="shared" si="49"/>
        <v>151.60888452392714</v>
      </c>
      <c r="U203" s="4">
        <f t="shared" si="48"/>
        <v>151.60888452392714</v>
      </c>
      <c r="V203" s="4">
        <f t="shared" si="40"/>
        <v>0</v>
      </c>
      <c r="W203" s="4">
        <f t="shared" si="41"/>
        <v>10.322079851502005</v>
      </c>
    </row>
    <row r="204" spans="2:23" ht="12.75">
      <c r="B204" s="19">
        <v>169</v>
      </c>
      <c r="C204" s="58">
        <v>37059</v>
      </c>
      <c r="D204" s="50">
        <v>0</v>
      </c>
      <c r="E204" s="10">
        <f ca="1" t="shared" si="51"/>
        <v>22.5</v>
      </c>
      <c r="F204" s="10">
        <f ca="1" t="shared" si="51"/>
        <v>7.36</v>
      </c>
      <c r="G204" s="10">
        <f ca="1" t="shared" si="51"/>
        <v>0.254</v>
      </c>
      <c r="H204" s="10">
        <f t="shared" si="42"/>
        <v>22.5</v>
      </c>
      <c r="I204" s="10">
        <f>IF((SUM(H$36:H204)&gt;GDD_budbreak),(IF(((E204-10)&gt;0),(E204-10),0)),0)</f>
        <v>12.5</v>
      </c>
      <c r="J204" s="4">
        <f>IF((B204&lt;LeafDropDay),(SUM(I$36:I204)),0)</f>
        <v>576.75</v>
      </c>
      <c r="K204" s="4">
        <f t="shared" si="36"/>
        <v>1.498285019253806</v>
      </c>
      <c r="L204" s="4">
        <f t="shared" si="37"/>
        <v>0.5930117694610102</v>
      </c>
      <c r="M204" s="4">
        <f t="shared" si="43"/>
        <v>0.23970287835685633</v>
      </c>
      <c r="N204" s="4">
        <f t="shared" si="38"/>
        <v>0.14214662803929665</v>
      </c>
      <c r="O204" s="4">
        <f t="shared" si="44"/>
        <v>0</v>
      </c>
      <c r="P204" s="10">
        <f t="shared" si="45"/>
        <v>0</v>
      </c>
      <c r="Q204" s="10">
        <f t="shared" si="46"/>
        <v>-1.0461991823692234</v>
      </c>
      <c r="R204" s="4">
        <f t="shared" si="47"/>
        <v>0</v>
      </c>
      <c r="S204" s="4">
        <f t="shared" si="39"/>
        <v>0</v>
      </c>
      <c r="T204" s="4">
        <f t="shared" si="49"/>
        <v>150.81668534155793</v>
      </c>
      <c r="U204" s="4">
        <f t="shared" si="48"/>
        <v>150.81668534155793</v>
      </c>
      <c r="V204" s="4">
        <f t="shared" si="40"/>
        <v>0</v>
      </c>
      <c r="W204" s="4">
        <f t="shared" si="41"/>
        <v>10.640053667067956</v>
      </c>
    </row>
    <row r="205" spans="2:23" ht="12.75">
      <c r="B205" s="19">
        <v>170</v>
      </c>
      <c r="C205" s="58">
        <v>37060</v>
      </c>
      <c r="D205" s="50">
        <v>0</v>
      </c>
      <c r="E205" s="10">
        <f ca="1" t="shared" si="51"/>
        <v>23.6</v>
      </c>
      <c r="F205" s="10">
        <f ca="1" t="shared" si="51"/>
        <v>7.36</v>
      </c>
      <c r="G205" s="10">
        <f ca="1" t="shared" si="51"/>
        <v>0</v>
      </c>
      <c r="H205" s="10">
        <f t="shared" si="42"/>
        <v>23.6</v>
      </c>
      <c r="I205" s="10">
        <f>IF((SUM(H$36:H205)&gt;GDD_budbreak),(IF(((E205-10)&gt;0),(E205-10),0)),0)</f>
        <v>13.600000000000001</v>
      </c>
      <c r="J205" s="4">
        <f>IF((B205&lt;LeafDropDay),(SUM(I$36:I205)),0)</f>
        <v>590.35</v>
      </c>
      <c r="K205" s="4">
        <f t="shared" si="36"/>
        <v>1.5007008854813249</v>
      </c>
      <c r="L205" s="4">
        <f t="shared" si="37"/>
        <v>0.5936012795772114</v>
      </c>
      <c r="M205" s="4">
        <f t="shared" si="43"/>
        <v>0.1942780475617205</v>
      </c>
      <c r="N205" s="4">
        <f t="shared" si="38"/>
        <v>0.11532369762639964</v>
      </c>
      <c r="O205" s="4">
        <f t="shared" si="44"/>
        <v>0</v>
      </c>
      <c r="P205" s="10">
        <f t="shared" si="45"/>
        <v>0</v>
      </c>
      <c r="Q205" s="10">
        <f t="shared" si="46"/>
        <v>-0.8487824145303015</v>
      </c>
      <c r="R205" s="4">
        <f t="shared" si="47"/>
        <v>0</v>
      </c>
      <c r="S205" s="4">
        <f t="shared" si="39"/>
        <v>0</v>
      </c>
      <c r="T205" s="4">
        <f t="shared" si="49"/>
        <v>149.96790292702764</v>
      </c>
      <c r="U205" s="4">
        <f t="shared" si="48"/>
        <v>149.96790292702764</v>
      </c>
      <c r="V205" s="4">
        <f t="shared" si="40"/>
        <v>0</v>
      </c>
      <c r="W205" s="4">
        <f t="shared" si="41"/>
        <v>10.993566181724548</v>
      </c>
    </row>
    <row r="206" spans="2:23" ht="12.75">
      <c r="B206" s="19">
        <v>171</v>
      </c>
      <c r="C206" s="58">
        <v>37061</v>
      </c>
      <c r="D206" s="50">
        <v>0</v>
      </c>
      <c r="E206" s="10">
        <f ca="1" t="shared" si="51"/>
        <v>24.45</v>
      </c>
      <c r="F206" s="10">
        <f ca="1" t="shared" si="51"/>
        <v>7.614</v>
      </c>
      <c r="G206" s="10">
        <f ca="1" t="shared" si="51"/>
        <v>0.254</v>
      </c>
      <c r="H206" s="10">
        <f t="shared" si="42"/>
        <v>24.45</v>
      </c>
      <c r="I206" s="10">
        <f>IF((SUM(H$36:H206)&gt;GDD_budbreak),(IF(((E206-10)&gt;0),(E206-10),0)),0)</f>
        <v>14.45</v>
      </c>
      <c r="J206" s="4">
        <f>IF((B206&lt;LeafDropDay),(SUM(I$36:I206)),0)</f>
        <v>604.8000000000001</v>
      </c>
      <c r="K206" s="4">
        <f t="shared" si="36"/>
        <v>1.5026161085433758</v>
      </c>
      <c r="L206" s="4">
        <f t="shared" si="37"/>
        <v>0.5940680178745102</v>
      </c>
      <c r="M206" s="4">
        <f t="shared" si="43"/>
        <v>0.14377625975363606</v>
      </c>
      <c r="N206" s="4">
        <f t="shared" si="38"/>
        <v>0.08541287764925329</v>
      </c>
      <c r="O206" s="4">
        <f t="shared" si="44"/>
        <v>0</v>
      </c>
      <c r="P206" s="10">
        <f t="shared" si="45"/>
        <v>0</v>
      </c>
      <c r="Q206" s="10">
        <f t="shared" si="46"/>
        <v>-0.6503336504214146</v>
      </c>
      <c r="R206" s="4">
        <f t="shared" si="47"/>
        <v>10</v>
      </c>
      <c r="S206" s="4">
        <f t="shared" si="39"/>
        <v>4.905280512</v>
      </c>
      <c r="T206" s="4">
        <f t="shared" si="49"/>
        <v>159.57156927660623</v>
      </c>
      <c r="U206" s="4">
        <f t="shared" si="48"/>
        <v>159.57156927660623</v>
      </c>
      <c r="V206" s="4">
        <f t="shared" si="40"/>
        <v>0</v>
      </c>
      <c r="W206" s="4">
        <f t="shared" si="41"/>
        <v>7.674016441100268</v>
      </c>
    </row>
    <row r="207" spans="2:23" ht="12.75">
      <c r="B207" s="19">
        <v>172</v>
      </c>
      <c r="C207" s="58">
        <v>37062</v>
      </c>
      <c r="D207" s="50">
        <v>0</v>
      </c>
      <c r="E207" s="10">
        <f ca="1" t="shared" si="51"/>
        <v>24.15</v>
      </c>
      <c r="F207" s="10">
        <f ca="1" t="shared" si="51"/>
        <v>7.107</v>
      </c>
      <c r="G207" s="10">
        <f ca="1" t="shared" si="51"/>
        <v>0</v>
      </c>
      <c r="H207" s="10">
        <f t="shared" si="42"/>
        <v>24.15</v>
      </c>
      <c r="I207" s="10">
        <f>IF((SUM(H$36:H207)&gt;GDD_budbreak),(IF(((E207-10)&gt;0),(E207-10),0)),0)</f>
        <v>14.149999999999999</v>
      </c>
      <c r="J207" s="4">
        <f>IF((B207&lt;LeafDropDay),(SUM(I$36:I207)),0)</f>
        <v>618.95</v>
      </c>
      <c r="K207" s="4">
        <f t="shared" si="36"/>
        <v>1.5038306249447029</v>
      </c>
      <c r="L207" s="4">
        <f t="shared" si="37"/>
        <v>0.5943637167521529</v>
      </c>
      <c r="M207" s="4">
        <f t="shared" si="43"/>
        <v>0.6179976512713903</v>
      </c>
      <c r="N207" s="4">
        <f t="shared" si="38"/>
        <v>0.3673153809537644</v>
      </c>
      <c r="O207" s="4">
        <f t="shared" si="44"/>
        <v>0</v>
      </c>
      <c r="P207" s="10">
        <f t="shared" si="45"/>
        <v>0</v>
      </c>
      <c r="Q207" s="10">
        <f t="shared" si="46"/>
        <v>-2.610510412438404</v>
      </c>
      <c r="R207" s="4">
        <f t="shared" si="47"/>
        <v>0</v>
      </c>
      <c r="S207" s="4">
        <f t="shared" si="39"/>
        <v>0</v>
      </c>
      <c r="T207" s="4">
        <f t="shared" si="49"/>
        <v>156.96105886416782</v>
      </c>
      <c r="U207" s="4">
        <f t="shared" si="48"/>
        <v>156.96105886416782</v>
      </c>
      <c r="V207" s="4">
        <f t="shared" si="40"/>
        <v>0</v>
      </c>
      <c r="W207" s="4">
        <f t="shared" si="41"/>
        <v>8.443235484081297</v>
      </c>
    </row>
    <row r="208" spans="2:23" ht="12.75">
      <c r="B208" s="19">
        <v>173</v>
      </c>
      <c r="C208" s="58">
        <v>37063</v>
      </c>
      <c r="D208" s="50">
        <v>0</v>
      </c>
      <c r="E208" s="10">
        <f ca="1" t="shared" si="51"/>
        <v>20.85</v>
      </c>
      <c r="F208" s="10">
        <f ca="1" t="shared" si="51"/>
        <v>6.853</v>
      </c>
      <c r="G208" s="10">
        <f ca="1" t="shared" si="51"/>
        <v>0</v>
      </c>
      <c r="H208" s="10">
        <f t="shared" si="42"/>
        <v>20.85</v>
      </c>
      <c r="I208" s="10">
        <f>IF((SUM(H$36:H208)&gt;GDD_budbreak),(IF(((E208-10)&gt;0),(E208-10),0)),0)</f>
        <v>10.850000000000001</v>
      </c>
      <c r="J208" s="4">
        <f>IF((B208&lt;LeafDropDay),(SUM(I$36:I208)),0)</f>
        <v>629.8000000000001</v>
      </c>
      <c r="K208" s="4">
        <f t="shared" si="36"/>
        <v>1.5044011790732377</v>
      </c>
      <c r="L208" s="4">
        <f t="shared" si="37"/>
        <v>0.5945025554599519</v>
      </c>
      <c r="M208" s="4">
        <f t="shared" si="43"/>
        <v>0.5081092165598147</v>
      </c>
      <c r="N208" s="4">
        <f t="shared" si="38"/>
        <v>0.3020722276975639</v>
      </c>
      <c r="O208" s="4">
        <f t="shared" si="44"/>
        <v>0</v>
      </c>
      <c r="P208" s="10">
        <f t="shared" si="45"/>
        <v>0</v>
      </c>
      <c r="Q208" s="10">
        <f t="shared" si="46"/>
        <v>-2.0701009764114056</v>
      </c>
      <c r="R208" s="4">
        <f t="shared" si="47"/>
        <v>0</v>
      </c>
      <c r="S208" s="4">
        <f t="shared" si="39"/>
        <v>0</v>
      </c>
      <c r="T208" s="4">
        <f t="shared" si="49"/>
        <v>154.89095788775643</v>
      </c>
      <c r="U208" s="4">
        <f t="shared" si="48"/>
        <v>154.89095788775643</v>
      </c>
      <c r="V208" s="4">
        <f t="shared" si="40"/>
        <v>0</v>
      </c>
      <c r="W208" s="4">
        <f t="shared" si="41"/>
        <v>9.118017164024966</v>
      </c>
    </row>
    <row r="209" spans="2:23" ht="12.75">
      <c r="B209" s="19">
        <v>174</v>
      </c>
      <c r="C209" s="58">
        <v>37064</v>
      </c>
      <c r="D209" s="50">
        <v>0</v>
      </c>
      <c r="E209" s="10">
        <f ca="1" t="shared" si="51"/>
        <v>15.8</v>
      </c>
      <c r="F209" s="10">
        <f ca="1" t="shared" si="51"/>
        <v>5.33</v>
      </c>
      <c r="G209" s="10">
        <f ca="1" t="shared" si="51"/>
        <v>0</v>
      </c>
      <c r="H209" s="10">
        <f t="shared" si="42"/>
        <v>15.8</v>
      </c>
      <c r="I209" s="10">
        <f>IF((SUM(H$36:H209)&gt;GDD_budbreak),(IF(((E209-10)&gt;0),(E209-10),0)),0)</f>
        <v>5.800000000000001</v>
      </c>
      <c r="J209" s="4">
        <f>IF((B209&lt;LeafDropDay),(SUM(I$36:I209)),0)</f>
        <v>635.6</v>
      </c>
      <c r="K209" s="4">
        <f t="shared" si="36"/>
        <v>1.504926590828027</v>
      </c>
      <c r="L209" s="4">
        <f t="shared" si="37"/>
        <v>0.5946303671870974</v>
      </c>
      <c r="M209" s="4">
        <f t="shared" si="43"/>
        <v>0.4117118337107192</v>
      </c>
      <c r="N209" s="4">
        <f t="shared" si="38"/>
        <v>0.24481635885467812</v>
      </c>
      <c r="O209" s="4">
        <f t="shared" si="44"/>
        <v>0</v>
      </c>
      <c r="P209" s="10">
        <f t="shared" si="45"/>
        <v>0</v>
      </c>
      <c r="Q209" s="10">
        <f t="shared" si="46"/>
        <v>-1.3048711926954344</v>
      </c>
      <c r="R209" s="4">
        <f t="shared" si="47"/>
        <v>0</v>
      </c>
      <c r="S209" s="4">
        <f t="shared" si="39"/>
        <v>0</v>
      </c>
      <c r="T209" s="4">
        <f t="shared" si="49"/>
        <v>153.586086695061</v>
      </c>
      <c r="U209" s="4">
        <f t="shared" si="48"/>
        <v>153.586086695061</v>
      </c>
      <c r="V209" s="4">
        <f t="shared" si="40"/>
        <v>0</v>
      </c>
      <c r="W209" s="4">
        <f t="shared" si="41"/>
        <v>9.575877067476917</v>
      </c>
    </row>
    <row r="210" spans="2:23" ht="12.75">
      <c r="B210" s="19">
        <v>175</v>
      </c>
      <c r="C210" s="58">
        <v>37065</v>
      </c>
      <c r="D210" s="50">
        <v>0</v>
      </c>
      <c r="E210" s="10">
        <f ca="1" t="shared" si="51"/>
        <v>15.85</v>
      </c>
      <c r="F210" s="10">
        <f ca="1" t="shared" si="51"/>
        <v>5.33</v>
      </c>
      <c r="G210" s="10">
        <f ca="1" t="shared" si="51"/>
        <v>0</v>
      </c>
      <c r="H210" s="10">
        <f t="shared" si="42"/>
        <v>15.85</v>
      </c>
      <c r="I210" s="10">
        <f>IF((SUM(H$36:H210)&gt;GDD_budbreak),(IF(((E210-10)&gt;0),(E210-10),0)),0)</f>
        <v>5.85</v>
      </c>
      <c r="J210" s="4">
        <f>IF((B210&lt;LeafDropDay),(SUM(I$36:I210)),0)</f>
        <v>641.45</v>
      </c>
      <c r="K210" s="4">
        <f t="shared" si="36"/>
        <v>1.5054716328577828</v>
      </c>
      <c r="L210" s="4">
        <f t="shared" si="37"/>
        <v>0.5947629116057143</v>
      </c>
      <c r="M210" s="4">
        <f t="shared" si="43"/>
        <v>0.3463032760747262</v>
      </c>
      <c r="N210" s="4">
        <f t="shared" si="38"/>
        <v>0.20596834477680165</v>
      </c>
      <c r="O210" s="4">
        <f t="shared" si="44"/>
        <v>0</v>
      </c>
      <c r="P210" s="10">
        <f t="shared" si="45"/>
        <v>0</v>
      </c>
      <c r="Q210" s="10">
        <f t="shared" si="46"/>
        <v>-1.0978112776603528</v>
      </c>
      <c r="R210" s="4">
        <f t="shared" si="47"/>
        <v>0</v>
      </c>
      <c r="S210" s="4">
        <f t="shared" si="39"/>
        <v>0</v>
      </c>
      <c r="T210" s="4">
        <f t="shared" si="49"/>
        <v>152.48827541740064</v>
      </c>
      <c r="U210" s="4">
        <f t="shared" si="48"/>
        <v>152.48827541740064</v>
      </c>
      <c r="V210" s="4">
        <f t="shared" si="40"/>
        <v>0</v>
      </c>
      <c r="W210" s="4">
        <f t="shared" si="41"/>
        <v>9.982073208157209</v>
      </c>
    </row>
    <row r="211" spans="2:23" ht="12.75">
      <c r="B211" s="19">
        <v>176</v>
      </c>
      <c r="C211" s="58">
        <v>37066</v>
      </c>
      <c r="D211" s="50">
        <v>0</v>
      </c>
      <c r="E211" s="10">
        <f ca="1" t="shared" si="51"/>
        <v>16.7</v>
      </c>
      <c r="F211" s="10">
        <f ca="1" t="shared" si="51"/>
        <v>2.538</v>
      </c>
      <c r="G211" s="10">
        <f ca="1" t="shared" si="51"/>
        <v>0.254</v>
      </c>
      <c r="H211" s="10">
        <f t="shared" si="42"/>
        <v>16.7</v>
      </c>
      <c r="I211" s="10">
        <f>IF((SUM(H$36:H211)&gt;GDD_budbreak),(IF(((E211-10)&gt;0),(E211-10),0)),0)</f>
        <v>6.699999999999999</v>
      </c>
      <c r="J211" s="4">
        <f>IF((B211&lt;LeafDropDay),(SUM(I$36:I211)),0)</f>
        <v>648.1500000000001</v>
      </c>
      <c r="K211" s="4">
        <f t="shared" si="36"/>
        <v>1.5059021282375362</v>
      </c>
      <c r="L211" s="4">
        <f t="shared" si="37"/>
        <v>0.594867569705239</v>
      </c>
      <c r="M211" s="4">
        <f t="shared" si="43"/>
        <v>0.28827525597754167</v>
      </c>
      <c r="N211" s="4">
        <f t="shared" si="38"/>
        <v>0.1714856009295159</v>
      </c>
      <c r="O211" s="4">
        <f t="shared" si="44"/>
        <v>0</v>
      </c>
      <c r="P211" s="10">
        <f t="shared" si="45"/>
        <v>0</v>
      </c>
      <c r="Q211" s="10">
        <f t="shared" si="46"/>
        <v>-0.4352304551591113</v>
      </c>
      <c r="R211" s="4">
        <f t="shared" si="47"/>
        <v>0</v>
      </c>
      <c r="S211" s="4">
        <f t="shared" si="39"/>
        <v>0</v>
      </c>
      <c r="T211" s="4">
        <f t="shared" si="49"/>
        <v>152.30704496224152</v>
      </c>
      <c r="U211" s="4">
        <f t="shared" si="48"/>
        <v>152.30704496224152</v>
      </c>
      <c r="V211" s="4">
        <f t="shared" si="40"/>
        <v>0</v>
      </c>
      <c r="W211" s="4">
        <f t="shared" si="41"/>
        <v>10.051056248537058</v>
      </c>
    </row>
    <row r="212" spans="2:23" ht="12.75">
      <c r="B212" s="19">
        <v>177</v>
      </c>
      <c r="C212" s="58">
        <v>37067</v>
      </c>
      <c r="D212" s="50">
        <v>0</v>
      </c>
      <c r="E212" s="10">
        <f ca="1" t="shared" si="51"/>
        <v>15.85</v>
      </c>
      <c r="F212" s="10">
        <f ca="1" t="shared" si="51"/>
        <v>3.807</v>
      </c>
      <c r="G212" s="10">
        <f ca="1" t="shared" si="51"/>
        <v>0</v>
      </c>
      <c r="H212" s="10">
        <f t="shared" si="42"/>
        <v>15.85</v>
      </c>
      <c r="I212" s="10">
        <f>IF((SUM(H$36:H212)&gt;GDD_budbreak),(IF(((E212-10)&gt;0),(E212-10),0)),0)</f>
        <v>5.85</v>
      </c>
      <c r="J212" s="4">
        <f>IF((B212&lt;LeafDropDay),(SUM(I$36:I212)),0)</f>
        <v>654.0000000000001</v>
      </c>
      <c r="K212" s="4">
        <f t="shared" si="36"/>
        <v>1.5063634583116783</v>
      </c>
      <c r="L212" s="4">
        <f t="shared" si="37"/>
        <v>0.5949796940510863</v>
      </c>
      <c r="M212" s="4">
        <f t="shared" si="43"/>
        <v>0.2784205359232773</v>
      </c>
      <c r="N212" s="4">
        <f t="shared" si="38"/>
        <v>0.165654565281171</v>
      </c>
      <c r="O212" s="4">
        <f t="shared" si="44"/>
        <v>0</v>
      </c>
      <c r="P212" s="10">
        <f t="shared" si="45"/>
        <v>0</v>
      </c>
      <c r="Q212" s="10">
        <f t="shared" si="46"/>
        <v>-0.630646930025418</v>
      </c>
      <c r="R212" s="4">
        <f t="shared" si="47"/>
        <v>0</v>
      </c>
      <c r="S212" s="4">
        <f t="shared" si="39"/>
        <v>0</v>
      </c>
      <c r="T212" s="4">
        <f t="shared" si="49"/>
        <v>151.6763980322161</v>
      </c>
      <c r="U212" s="4">
        <f t="shared" si="48"/>
        <v>151.6763980322161</v>
      </c>
      <c r="V212" s="4">
        <f t="shared" si="40"/>
        <v>0</v>
      </c>
      <c r="W212" s="4">
        <f t="shared" si="41"/>
        <v>10.295500210557215</v>
      </c>
    </row>
    <row r="213" spans="2:23" ht="12.75">
      <c r="B213" s="19">
        <v>178</v>
      </c>
      <c r="C213" s="58">
        <v>37068</v>
      </c>
      <c r="D213" s="50">
        <v>0</v>
      </c>
      <c r="E213" s="10">
        <f ca="1" t="shared" si="51"/>
        <v>16.95</v>
      </c>
      <c r="F213" s="10">
        <f ca="1" t="shared" si="51"/>
        <v>0.761</v>
      </c>
      <c r="G213" s="10">
        <f ca="1" t="shared" si="51"/>
        <v>0.508</v>
      </c>
      <c r="H213" s="10">
        <f t="shared" si="42"/>
        <v>16.95</v>
      </c>
      <c r="I213" s="10">
        <f>IF((SUM(H$36:H213)&gt;GDD_budbreak),(IF(((E213-10)&gt;0),(E213-10),0)),0)</f>
        <v>6.949999999999999</v>
      </c>
      <c r="J213" s="4">
        <f>IF((B213&lt;LeafDropDay),(SUM(I$36:I213)),0)</f>
        <v>660.9500000000002</v>
      </c>
      <c r="K213" s="4">
        <f t="shared" si="36"/>
        <v>1.5069417230968893</v>
      </c>
      <c r="L213" s="4">
        <f t="shared" si="37"/>
        <v>0.5951201950637759</v>
      </c>
      <c r="M213" s="4">
        <f t="shared" si="43"/>
        <v>0.2434999699203979</v>
      </c>
      <c r="N213" s="4">
        <f t="shared" si="38"/>
        <v>0.14491174959705078</v>
      </c>
      <c r="O213" s="4">
        <f t="shared" si="44"/>
        <v>0</v>
      </c>
      <c r="P213" s="10">
        <f t="shared" si="45"/>
        <v>0</v>
      </c>
      <c r="Q213" s="10">
        <f t="shared" si="46"/>
        <v>-0.11027784144335565</v>
      </c>
      <c r="R213" s="4">
        <f t="shared" si="47"/>
        <v>0</v>
      </c>
      <c r="S213" s="4">
        <f t="shared" si="39"/>
        <v>0</v>
      </c>
      <c r="T213" s="4">
        <f t="shared" si="49"/>
        <v>152.07412019077273</v>
      </c>
      <c r="U213" s="4">
        <f t="shared" si="48"/>
        <v>152.07412019077273</v>
      </c>
      <c r="V213" s="4">
        <f t="shared" si="40"/>
        <v>0</v>
      </c>
      <c r="W213" s="4">
        <f t="shared" si="41"/>
        <v>10.140538743404516</v>
      </c>
    </row>
    <row r="214" spans="2:23" ht="12.75">
      <c r="B214" s="19">
        <v>179</v>
      </c>
      <c r="C214" s="58">
        <v>37069</v>
      </c>
      <c r="D214" s="50">
        <v>0</v>
      </c>
      <c r="E214" s="10">
        <f ca="1" t="shared" si="51"/>
        <v>20</v>
      </c>
      <c r="F214" s="10">
        <f ca="1" t="shared" si="51"/>
        <v>5.584</v>
      </c>
      <c r="G214" s="10">
        <f ca="1" t="shared" si="51"/>
        <v>0</v>
      </c>
      <c r="H214" s="10">
        <f t="shared" si="42"/>
        <v>20</v>
      </c>
      <c r="I214" s="10">
        <f>IF((SUM(H$36:H214)&gt;GDD_budbreak),(IF(((E214-10)&gt;0),(E214-10),0)),0)</f>
        <v>10</v>
      </c>
      <c r="J214" s="4">
        <f>IF((B214&lt;LeafDropDay),(SUM(I$36:I214)),0)</f>
        <v>670.9500000000002</v>
      </c>
      <c r="K214" s="4">
        <f t="shared" si="36"/>
        <v>1.5074806547167825</v>
      </c>
      <c r="L214" s="4">
        <f t="shared" si="37"/>
        <v>0.5952510954162153</v>
      </c>
      <c r="M214" s="4">
        <f t="shared" si="43"/>
        <v>0.2656373223707834</v>
      </c>
      <c r="N214" s="4">
        <f t="shared" si="38"/>
        <v>0.15812090712463917</v>
      </c>
      <c r="O214" s="4">
        <f t="shared" si="44"/>
        <v>0</v>
      </c>
      <c r="P214" s="10">
        <f t="shared" si="45"/>
        <v>0</v>
      </c>
      <c r="Q214" s="10">
        <f t="shared" si="46"/>
        <v>-0.882947145383985</v>
      </c>
      <c r="R214" s="4">
        <f t="shared" si="47"/>
        <v>0</v>
      </c>
      <c r="S214" s="4">
        <f t="shared" si="39"/>
        <v>0</v>
      </c>
      <c r="T214" s="4">
        <f t="shared" si="49"/>
        <v>151.19117304538875</v>
      </c>
      <c r="U214" s="4">
        <f t="shared" si="48"/>
        <v>151.19117304538875</v>
      </c>
      <c r="V214" s="4">
        <f t="shared" si="40"/>
        <v>0</v>
      </c>
      <c r="W214" s="4">
        <f t="shared" si="41"/>
        <v>10.488330925060204</v>
      </c>
    </row>
    <row r="215" spans="2:23" ht="12.75">
      <c r="B215" s="19">
        <v>180</v>
      </c>
      <c r="C215" s="58">
        <v>37070</v>
      </c>
      <c r="D215" s="50">
        <v>0</v>
      </c>
      <c r="E215" s="10">
        <f ca="1" t="shared" si="51"/>
        <v>21.1</v>
      </c>
      <c r="F215" s="10">
        <f ca="1" t="shared" si="51"/>
        <v>6.091</v>
      </c>
      <c r="G215" s="10">
        <f ca="1" t="shared" si="51"/>
        <v>0</v>
      </c>
      <c r="H215" s="10">
        <f t="shared" si="42"/>
        <v>21.1</v>
      </c>
      <c r="I215" s="10">
        <f>IF((SUM(H$36:H215)&gt;GDD_budbreak),(IF(((E215-10)&gt;0),(E215-10),0)),0)</f>
        <v>11.100000000000001</v>
      </c>
      <c r="J215" s="4">
        <f>IF((B215&lt;LeafDropDay),(SUM(I$36:I215)),0)</f>
        <v>682.0500000000002</v>
      </c>
      <c r="K215" s="4">
        <f t="shared" si="36"/>
        <v>1.5079780547422605</v>
      </c>
      <c r="L215" s="4">
        <f t="shared" si="37"/>
        <v>0.5953718706625071</v>
      </c>
      <c r="M215" s="4">
        <f t="shared" si="43"/>
        <v>0.2159527249913994</v>
      </c>
      <c r="N215" s="4">
        <f t="shared" si="38"/>
        <v>0.1285721778527954</v>
      </c>
      <c r="O215" s="4">
        <f t="shared" si="44"/>
        <v>0</v>
      </c>
      <c r="P215" s="10">
        <f t="shared" si="45"/>
        <v>0</v>
      </c>
      <c r="Q215" s="10">
        <f t="shared" si="46"/>
        <v>-0.7831331353013768</v>
      </c>
      <c r="R215" s="4">
        <f t="shared" si="47"/>
        <v>0</v>
      </c>
      <c r="S215" s="4">
        <f t="shared" si="39"/>
        <v>0</v>
      </c>
      <c r="T215" s="4">
        <f t="shared" si="49"/>
        <v>150.40803991008738</v>
      </c>
      <c r="U215" s="4">
        <f t="shared" si="48"/>
        <v>150.40803991008738</v>
      </c>
      <c r="V215" s="4">
        <f t="shared" si="40"/>
        <v>0</v>
      </c>
      <c r="W215" s="4">
        <f t="shared" si="41"/>
        <v>10.808561045958601</v>
      </c>
    </row>
    <row r="216" spans="2:23" ht="12.75">
      <c r="B216" s="19">
        <v>181</v>
      </c>
      <c r="C216" s="58">
        <v>37071</v>
      </c>
      <c r="D216" s="50">
        <v>0</v>
      </c>
      <c r="E216" s="10">
        <f ca="1" t="shared" si="52" ref="E216:G235">INDIRECT(WeatherSheet&amp;"!"&amp;E585)</f>
        <v>22.5</v>
      </c>
      <c r="F216" s="10">
        <f ca="1" t="shared" si="52"/>
        <v>6.599</v>
      </c>
      <c r="G216" s="10">
        <f ca="1" t="shared" si="52"/>
        <v>0</v>
      </c>
      <c r="H216" s="10">
        <f t="shared" si="42"/>
        <v>22.5</v>
      </c>
      <c r="I216" s="10">
        <f>IF((SUM(H$36:H216)&gt;GDD_budbreak),(IF(((E216-10)&gt;0),(E216-10),0)),0)</f>
        <v>12.5</v>
      </c>
      <c r="J216" s="4">
        <f>IF((B216&lt;LeafDropDay),(SUM(I$36:I216)),0)</f>
        <v>694.5500000000002</v>
      </c>
      <c r="K216" s="4">
        <f t="shared" si="36"/>
        <v>1.5083545422813605</v>
      </c>
      <c r="L216" s="4">
        <f t="shared" si="37"/>
        <v>0.5954632628089161</v>
      </c>
      <c r="M216" s="4">
        <f t="shared" si="43"/>
        <v>0.17020556486305694</v>
      </c>
      <c r="N216" s="4">
        <f t="shared" si="38"/>
        <v>0.1013511610015905</v>
      </c>
      <c r="O216" s="4">
        <f t="shared" si="44"/>
        <v>0</v>
      </c>
      <c r="P216" s="10">
        <f t="shared" si="45"/>
        <v>0</v>
      </c>
      <c r="Q216" s="10">
        <f t="shared" si="46"/>
        <v>-0.6688163114494957</v>
      </c>
      <c r="R216" s="4">
        <f t="shared" si="47"/>
        <v>0</v>
      </c>
      <c r="S216" s="4">
        <f t="shared" si="39"/>
        <v>0</v>
      </c>
      <c r="T216" s="4">
        <f t="shared" si="49"/>
        <v>149.7392235986379</v>
      </c>
      <c r="U216" s="4">
        <f t="shared" si="48"/>
        <v>149.7392235986379</v>
      </c>
      <c r="V216" s="4">
        <f t="shared" si="40"/>
        <v>0</v>
      </c>
      <c r="W216" s="4">
        <f t="shared" si="41"/>
        <v>11.091153029785863</v>
      </c>
    </row>
    <row r="217" spans="2:23" ht="12.75">
      <c r="B217" s="19">
        <v>182</v>
      </c>
      <c r="C217" s="58">
        <v>37072</v>
      </c>
      <c r="D217" s="50">
        <v>0</v>
      </c>
      <c r="E217" s="10">
        <f ca="1" t="shared" si="52"/>
        <v>21.65</v>
      </c>
      <c r="F217" s="10">
        <f ca="1" t="shared" si="52"/>
        <v>6.599</v>
      </c>
      <c r="G217" s="10">
        <f ca="1" t="shared" si="52"/>
        <v>0</v>
      </c>
      <c r="H217" s="10">
        <f t="shared" si="42"/>
        <v>21.65</v>
      </c>
      <c r="I217" s="10">
        <f>IF((SUM(H$36:H217)&gt;GDD_budbreak),(IF(((E217-10)&gt;0),(E217-10),0)),0)</f>
        <v>11.649999999999999</v>
      </c>
      <c r="J217" s="4">
        <f>IF((B217&lt;LeafDropDay),(SUM(I$36:I217)),0)</f>
        <v>706.2000000000002</v>
      </c>
      <c r="K217" s="4">
        <f t="shared" si="36"/>
        <v>1.5087318757725632</v>
      </c>
      <c r="L217" s="4">
        <f t="shared" si="37"/>
        <v>0.5955548395976467</v>
      </c>
      <c r="M217" s="4">
        <f t="shared" si="43"/>
        <v>0.12983528145916245</v>
      </c>
      <c r="N217" s="4">
        <f t="shared" si="38"/>
        <v>0.0773240302235268</v>
      </c>
      <c r="O217" s="4">
        <f t="shared" si="44"/>
        <v>0</v>
      </c>
      <c r="P217" s="10">
        <f t="shared" si="45"/>
        <v>0</v>
      </c>
      <c r="Q217" s="10">
        <f t="shared" si="46"/>
        <v>-0.5102612754450534</v>
      </c>
      <c r="R217" s="4">
        <f t="shared" si="47"/>
        <v>10</v>
      </c>
      <c r="S217" s="4">
        <f t="shared" si="39"/>
        <v>4.905280512</v>
      </c>
      <c r="T217" s="4">
        <f t="shared" si="49"/>
        <v>159.22896232319283</v>
      </c>
      <c r="U217" s="4">
        <f t="shared" si="48"/>
        <v>159.22896232319283</v>
      </c>
      <c r="V217" s="4">
        <f t="shared" si="40"/>
        <v>0</v>
      </c>
      <c r="W217" s="4">
        <f t="shared" si="41"/>
        <v>7.770135180356878</v>
      </c>
    </row>
    <row r="218" spans="2:23" ht="12.75">
      <c r="B218" s="19">
        <v>183</v>
      </c>
      <c r="C218" s="58">
        <v>37073</v>
      </c>
      <c r="D218" s="50">
        <v>0</v>
      </c>
      <c r="E218" s="10">
        <f ca="1" t="shared" si="52"/>
        <v>24.7</v>
      </c>
      <c r="F218" s="10">
        <f ca="1" t="shared" si="52"/>
        <v>7.107</v>
      </c>
      <c r="G218" s="10">
        <f ca="1" t="shared" si="52"/>
        <v>0</v>
      </c>
      <c r="H218" s="10">
        <f t="shared" si="42"/>
        <v>24.7</v>
      </c>
      <c r="I218" s="10">
        <f>IF((SUM(H$36:H218)&gt;GDD_budbreak),(IF(((E218-10)&gt;0),(E218-10),0)),0)</f>
        <v>14.7</v>
      </c>
      <c r="J218" s="4">
        <f>IF((B218&lt;LeafDropDay),(SUM(I$36:I218)),0)</f>
        <v>720.9000000000002</v>
      </c>
      <c r="K218" s="4">
        <f t="shared" si="36"/>
        <v>1.5090785228371617</v>
      </c>
      <c r="L218" s="4">
        <f t="shared" si="37"/>
        <v>0.5956389506868716</v>
      </c>
      <c r="M218" s="4">
        <f t="shared" si="43"/>
        <v>0.6042664028061604</v>
      </c>
      <c r="N218" s="4">
        <f t="shared" si="38"/>
        <v>0.35992460610279187</v>
      </c>
      <c r="O218" s="4">
        <f t="shared" si="44"/>
        <v>0</v>
      </c>
      <c r="P218" s="10">
        <f t="shared" si="45"/>
        <v>0</v>
      </c>
      <c r="Q218" s="10">
        <f t="shared" si="46"/>
        <v>-2.5579841755725417</v>
      </c>
      <c r="R218" s="4">
        <f t="shared" si="47"/>
        <v>0</v>
      </c>
      <c r="S218" s="4">
        <f t="shared" si="39"/>
        <v>0</v>
      </c>
      <c r="T218" s="4">
        <f t="shared" si="49"/>
        <v>156.6709781476203</v>
      </c>
      <c r="U218" s="4">
        <f t="shared" si="48"/>
        <v>156.6709781476203</v>
      </c>
      <c r="V218" s="4">
        <f t="shared" si="40"/>
        <v>0</v>
      </c>
      <c r="W218" s="4">
        <f t="shared" si="41"/>
        <v>8.534171954957412</v>
      </c>
    </row>
    <row r="219" spans="2:23" ht="12.75">
      <c r="B219" s="19">
        <v>184</v>
      </c>
      <c r="C219" s="58">
        <v>37074</v>
      </c>
      <c r="D219" s="50">
        <v>0</v>
      </c>
      <c r="E219" s="10">
        <f ca="1" t="shared" si="52"/>
        <v>28.1</v>
      </c>
      <c r="F219" s="10">
        <f ca="1" t="shared" si="52"/>
        <v>7.107</v>
      </c>
      <c r="G219" s="10">
        <f ca="1" t="shared" si="52"/>
        <v>0</v>
      </c>
      <c r="H219" s="10">
        <f t="shared" si="42"/>
        <v>28.1</v>
      </c>
      <c r="I219" s="10">
        <f>IF((SUM(H$36:H219)&gt;GDD_budbreak),(IF(((E219-10)&gt;0),(E219-10),0)),0)</f>
        <v>18.1</v>
      </c>
      <c r="J219" s="4">
        <f>IF((B219&lt;LeafDropDay),(SUM(I$36:I219)),0)</f>
        <v>739.0000000000002</v>
      </c>
      <c r="K219" s="4">
        <f t="shared" si="36"/>
        <v>1.5092696806169763</v>
      </c>
      <c r="L219" s="4">
        <f t="shared" si="37"/>
        <v>0.5956853260835734</v>
      </c>
      <c r="M219" s="4">
        <f t="shared" si="43"/>
        <v>0.4951182921489412</v>
      </c>
      <c r="N219" s="4">
        <f t="shared" si="38"/>
        <v>0.294934701308684</v>
      </c>
      <c r="O219" s="4">
        <f t="shared" si="44"/>
        <v>0</v>
      </c>
      <c r="P219" s="10">
        <f t="shared" si="45"/>
        <v>0</v>
      </c>
      <c r="Q219" s="10">
        <f t="shared" si="46"/>
        <v>-2.0961009222008173</v>
      </c>
      <c r="R219" s="4">
        <f t="shared" si="47"/>
        <v>0</v>
      </c>
      <c r="S219" s="4">
        <f t="shared" si="39"/>
        <v>0</v>
      </c>
      <c r="T219" s="4">
        <f t="shared" si="49"/>
        <v>154.5748772254195</v>
      </c>
      <c r="U219" s="4">
        <f t="shared" si="48"/>
        <v>154.5748772254195</v>
      </c>
      <c r="V219" s="4">
        <f t="shared" si="40"/>
        <v>0</v>
      </c>
      <c r="W219" s="4">
        <f t="shared" si="41"/>
        <v>9.226524595595592</v>
      </c>
    </row>
    <row r="220" spans="2:23" ht="12.75">
      <c r="B220" s="19">
        <v>185</v>
      </c>
      <c r="C220" s="58">
        <v>37075</v>
      </c>
      <c r="D220" s="50">
        <v>0</v>
      </c>
      <c r="E220" s="10">
        <f ca="1" t="shared" si="52"/>
        <v>23.35</v>
      </c>
      <c r="F220" s="10">
        <f ca="1" t="shared" si="52"/>
        <v>4.822</v>
      </c>
      <c r="G220" s="10">
        <f ca="1" t="shared" si="52"/>
        <v>0</v>
      </c>
      <c r="H220" s="10">
        <f t="shared" si="42"/>
        <v>23.35</v>
      </c>
      <c r="I220" s="10">
        <f>IF((SUM(H$36:H220)&gt;GDD_budbreak),(IF(((E220-10)&gt;0),(E220-10),0)),0)</f>
        <v>13.350000000000001</v>
      </c>
      <c r="J220" s="4">
        <f>IF((B220&lt;LeafDropDay),(SUM(I$36:I220)),0)</f>
        <v>752.3500000000003</v>
      </c>
      <c r="K220" s="4">
        <f t="shared" si="36"/>
        <v>1.509357884735629</v>
      </c>
      <c r="L220" s="4">
        <f t="shared" si="37"/>
        <v>0.5957067228490662</v>
      </c>
      <c r="M220" s="4">
        <f t="shared" si="43"/>
        <v>0.39621077205777255</v>
      </c>
      <c r="N220" s="4">
        <f t="shared" si="38"/>
        <v>0.23602542058003406</v>
      </c>
      <c r="O220" s="4">
        <f t="shared" si="44"/>
        <v>0</v>
      </c>
      <c r="P220" s="10">
        <f t="shared" si="45"/>
        <v>0</v>
      </c>
      <c r="Q220" s="10">
        <f t="shared" si="46"/>
        <v>-1.1381145780369242</v>
      </c>
      <c r="R220" s="4">
        <f t="shared" si="47"/>
        <v>0</v>
      </c>
      <c r="S220" s="4">
        <f t="shared" si="39"/>
        <v>0</v>
      </c>
      <c r="T220" s="4">
        <f t="shared" si="49"/>
        <v>153.43676264738258</v>
      </c>
      <c r="U220" s="4">
        <f t="shared" si="48"/>
        <v>153.43676264738258</v>
      </c>
      <c r="V220" s="4">
        <f t="shared" si="40"/>
        <v>0</v>
      </c>
      <c r="W220" s="4">
        <f t="shared" si="41"/>
        <v>9.629972897230774</v>
      </c>
    </row>
    <row r="221" spans="2:23" ht="12.75">
      <c r="B221" s="19">
        <v>186</v>
      </c>
      <c r="C221" s="58">
        <v>37076</v>
      </c>
      <c r="D221" s="50">
        <v>0</v>
      </c>
      <c r="E221" s="10">
        <f ca="1" t="shared" si="52"/>
        <v>17.5</v>
      </c>
      <c r="F221" s="10">
        <f ca="1" t="shared" si="52"/>
        <v>6.345</v>
      </c>
      <c r="G221" s="10">
        <f ca="1" t="shared" si="52"/>
        <v>0</v>
      </c>
      <c r="H221" s="10">
        <f t="shared" si="42"/>
        <v>17.5</v>
      </c>
      <c r="I221" s="10">
        <f>IF((SUM(H$36:H221)&gt;GDD_budbreak),(IF(((E221-10)&gt;0),(E221-10),0)),0)</f>
        <v>7.5</v>
      </c>
      <c r="J221" s="4">
        <f>IF((B221&lt;LeafDropDay),(SUM(I$36:I221)),0)</f>
        <v>759.8500000000003</v>
      </c>
      <c r="K221" s="4">
        <f t="shared" si="36"/>
        <v>1.5094525564763306</v>
      </c>
      <c r="L221" s="4">
        <f t="shared" si="37"/>
        <v>0.5957296872858162</v>
      </c>
      <c r="M221" s="4">
        <f t="shared" si="43"/>
        <v>0.3385753003956038</v>
      </c>
      <c r="N221" s="4">
        <f t="shared" si="38"/>
        <v>0.20169935782737433</v>
      </c>
      <c r="O221" s="4">
        <f t="shared" si="44"/>
        <v>0</v>
      </c>
      <c r="P221" s="10">
        <f t="shared" si="45"/>
        <v>0</v>
      </c>
      <c r="Q221" s="10">
        <f t="shared" si="46"/>
        <v>-1.2797824254146901</v>
      </c>
      <c r="R221" s="4">
        <f t="shared" si="47"/>
        <v>0</v>
      </c>
      <c r="S221" s="4">
        <f t="shared" si="39"/>
        <v>0</v>
      </c>
      <c r="T221" s="4">
        <f t="shared" si="49"/>
        <v>152.1569802219679</v>
      </c>
      <c r="U221" s="4">
        <f t="shared" si="48"/>
        <v>152.1569802219679</v>
      </c>
      <c r="V221" s="4">
        <f t="shared" si="40"/>
        <v>0</v>
      </c>
      <c r="W221" s="4">
        <f t="shared" si="41"/>
        <v>10.108599840021379</v>
      </c>
    </row>
    <row r="222" spans="2:23" ht="12.75">
      <c r="B222" s="19">
        <v>187</v>
      </c>
      <c r="C222" s="58">
        <v>37077</v>
      </c>
      <c r="D222" s="50">
        <v>0</v>
      </c>
      <c r="E222" s="10">
        <f ca="1" t="shared" si="52"/>
        <v>19.45</v>
      </c>
      <c r="F222" s="10">
        <f ca="1" t="shared" si="52"/>
        <v>6.091</v>
      </c>
      <c r="G222" s="10">
        <f ca="1" t="shared" si="52"/>
        <v>0</v>
      </c>
      <c r="H222" s="10">
        <f t="shared" si="42"/>
        <v>19.45</v>
      </c>
      <c r="I222" s="10">
        <f>IF((SUM(H$36:H222)&gt;GDD_budbreak),(IF(((E222-10)&gt;0),(E222-10),0)),0)</f>
        <v>9.45</v>
      </c>
      <c r="J222" s="4">
        <f>IF((B222&lt;LeafDropDay),(SUM(I$36:I222)),0)</f>
        <v>769.3000000000003</v>
      </c>
      <c r="K222" s="4">
        <f t="shared" si="36"/>
        <v>1.5095442422852023</v>
      </c>
      <c r="L222" s="4">
        <f t="shared" si="37"/>
        <v>0.5957519261844876</v>
      </c>
      <c r="M222" s="4">
        <f t="shared" si="43"/>
        <v>0.27020002285408873</v>
      </c>
      <c r="N222" s="4">
        <f t="shared" si="38"/>
        <v>0.1609721840704159</v>
      </c>
      <c r="O222" s="4">
        <f t="shared" si="44"/>
        <v>0</v>
      </c>
      <c r="P222" s="10">
        <f t="shared" si="45"/>
        <v>0</v>
      </c>
      <c r="Q222" s="10">
        <f t="shared" si="46"/>
        <v>-0.9804815731729034</v>
      </c>
      <c r="R222" s="4">
        <f t="shared" si="47"/>
        <v>0</v>
      </c>
      <c r="S222" s="4">
        <f t="shared" si="39"/>
        <v>0</v>
      </c>
      <c r="T222" s="4">
        <f t="shared" si="49"/>
        <v>151.176498648795</v>
      </c>
      <c r="U222" s="4">
        <f t="shared" si="48"/>
        <v>151.176498648795</v>
      </c>
      <c r="V222" s="4">
        <f t="shared" si="40"/>
        <v>0</v>
      </c>
      <c r="W222" s="4">
        <f t="shared" si="41"/>
        <v>10.49422825811349</v>
      </c>
    </row>
    <row r="223" spans="2:23" ht="12.75">
      <c r="B223" s="19">
        <v>188</v>
      </c>
      <c r="C223" s="58">
        <v>37078</v>
      </c>
      <c r="D223" s="50">
        <v>0</v>
      </c>
      <c r="E223" s="10">
        <f ca="1" t="shared" si="52"/>
        <v>21.15</v>
      </c>
      <c r="F223" s="10">
        <f ca="1" t="shared" si="52"/>
        <v>6.345</v>
      </c>
      <c r="G223" s="10">
        <f ca="1" t="shared" si="52"/>
        <v>0</v>
      </c>
      <c r="H223" s="10">
        <f t="shared" si="42"/>
        <v>21.15</v>
      </c>
      <c r="I223" s="10">
        <f>IF((SUM(H$36:H223)&gt;GDD_budbreak),(IF(((E223-10)&gt;0),(E223-10),0)),0)</f>
        <v>11.149999999999999</v>
      </c>
      <c r="J223" s="4">
        <f>IF((B223&lt;LeafDropDay),(SUM(I$36:I223)),0)</f>
        <v>780.4500000000003</v>
      </c>
      <c r="K223" s="4">
        <f t="shared" si="36"/>
        <v>1.5096147383259408</v>
      </c>
      <c r="L223" s="4">
        <f t="shared" si="37"/>
        <v>0.5957690245560829</v>
      </c>
      <c r="M223" s="4">
        <f t="shared" si="43"/>
        <v>0.2151102488409301</v>
      </c>
      <c r="N223" s="4">
        <f t="shared" si="38"/>
        <v>0.1281560231239772</v>
      </c>
      <c r="O223" s="4">
        <f t="shared" si="44"/>
        <v>0</v>
      </c>
      <c r="P223" s="10">
        <f t="shared" si="45"/>
        <v>0</v>
      </c>
      <c r="Q223" s="10">
        <f t="shared" si="46"/>
        <v>-0.8131499667216353</v>
      </c>
      <c r="R223" s="4">
        <f t="shared" si="47"/>
        <v>0</v>
      </c>
      <c r="S223" s="4">
        <f t="shared" si="39"/>
        <v>0</v>
      </c>
      <c r="T223" s="4">
        <f t="shared" si="49"/>
        <v>150.36334868207337</v>
      </c>
      <c r="U223" s="4">
        <f t="shared" si="48"/>
        <v>150.36334868207337</v>
      </c>
      <c r="V223" s="4">
        <f t="shared" si="40"/>
        <v>0</v>
      </c>
      <c r="W223" s="4">
        <f t="shared" si="41"/>
        <v>10.827178904638403</v>
      </c>
    </row>
    <row r="224" spans="2:23" ht="12.75">
      <c r="B224" s="19">
        <v>189</v>
      </c>
      <c r="C224" s="58">
        <v>37079</v>
      </c>
      <c r="D224" s="50">
        <v>0</v>
      </c>
      <c r="E224" s="10">
        <f ca="1" t="shared" si="52"/>
        <v>20.6</v>
      </c>
      <c r="F224" s="10">
        <f ca="1" t="shared" si="52"/>
        <v>6.345</v>
      </c>
      <c r="G224" s="10">
        <f ca="1" t="shared" si="52"/>
        <v>0</v>
      </c>
      <c r="H224" s="10">
        <f t="shared" si="42"/>
        <v>20.6</v>
      </c>
      <c r="I224" s="10">
        <f>IF((SUM(H$36:H224)&gt;GDD_budbreak),(IF(((E224-10)&gt;0),(E224-10),0)),0)</f>
        <v>10.600000000000001</v>
      </c>
      <c r="J224" s="4">
        <f>IF((B224&lt;LeafDropDay),(SUM(I$36:I224)),0)</f>
        <v>791.0500000000003</v>
      </c>
      <c r="K224" s="4">
        <f t="shared" si="36"/>
        <v>1.5096632759070183</v>
      </c>
      <c r="L224" s="4">
        <f t="shared" si="37"/>
        <v>0.5957807966209125</v>
      </c>
      <c r="M224" s="4">
        <f t="shared" si="43"/>
        <v>0.1675458707659424</v>
      </c>
      <c r="N224" s="4">
        <f t="shared" si="38"/>
        <v>0.09982061235547762</v>
      </c>
      <c r="O224" s="4">
        <f t="shared" si="44"/>
        <v>0</v>
      </c>
      <c r="P224" s="10">
        <f t="shared" si="45"/>
        <v>0</v>
      </c>
      <c r="Q224" s="10">
        <f t="shared" si="46"/>
        <v>-0.6333617853955055</v>
      </c>
      <c r="R224" s="4">
        <f t="shared" si="47"/>
        <v>0</v>
      </c>
      <c r="S224" s="4">
        <f t="shared" si="39"/>
        <v>0</v>
      </c>
      <c r="T224" s="4">
        <f t="shared" si="49"/>
        <v>149.72998689667787</v>
      </c>
      <c r="U224" s="4">
        <f t="shared" si="48"/>
        <v>149.72998689667787</v>
      </c>
      <c r="V224" s="4">
        <f t="shared" si="40"/>
        <v>0</v>
      </c>
      <c r="W224" s="4">
        <f t="shared" si="41"/>
        <v>11.095116004821998</v>
      </c>
    </row>
    <row r="225" spans="2:23" ht="12.75">
      <c r="B225" s="19">
        <v>190</v>
      </c>
      <c r="C225" s="58">
        <v>37080</v>
      </c>
      <c r="D225" s="50">
        <v>0</v>
      </c>
      <c r="E225" s="10">
        <f ca="1" t="shared" si="52"/>
        <v>18.85</v>
      </c>
      <c r="F225" s="10">
        <f ca="1" t="shared" si="52"/>
        <v>6.091</v>
      </c>
      <c r="G225" s="10">
        <f ca="1" t="shared" si="52"/>
        <v>0</v>
      </c>
      <c r="H225" s="10">
        <f t="shared" si="42"/>
        <v>18.85</v>
      </c>
      <c r="I225" s="10">
        <f>IF((SUM(H$36:H225)&gt;GDD_budbreak),(IF(((E225-10)&gt;0),(E225-10),0)),0)</f>
        <v>8.850000000000001</v>
      </c>
      <c r="J225" s="4">
        <f>IF((B225&lt;LeafDropDay),(SUM(I$36:I225)),0)</f>
        <v>799.9000000000003</v>
      </c>
      <c r="K225" s="4">
        <f t="shared" si="36"/>
        <v>1.5097064371821318</v>
      </c>
      <c r="L225" s="4">
        <f t="shared" si="37"/>
        <v>0.5957912644551164</v>
      </c>
      <c r="M225" s="4">
        <f t="shared" si="43"/>
        <v>0.129269142168286</v>
      </c>
      <c r="N225" s="4">
        <f t="shared" si="38"/>
        <v>0.07701742566747133</v>
      </c>
      <c r="O225" s="4">
        <f t="shared" si="44"/>
        <v>0</v>
      </c>
      <c r="P225" s="10">
        <f t="shared" si="45"/>
        <v>0</v>
      </c>
      <c r="Q225" s="10">
        <f t="shared" si="46"/>
        <v>-0.4691131397405679</v>
      </c>
      <c r="R225" s="4">
        <f t="shared" si="47"/>
        <v>10</v>
      </c>
      <c r="S225" s="4">
        <f t="shared" si="39"/>
        <v>4.905280512</v>
      </c>
      <c r="T225" s="4">
        <f t="shared" si="49"/>
        <v>159.26087375693731</v>
      </c>
      <c r="U225" s="4">
        <f t="shared" si="48"/>
        <v>159.26087375693731</v>
      </c>
      <c r="V225" s="4">
        <f t="shared" si="40"/>
        <v>0</v>
      </c>
      <c r="W225" s="4">
        <f t="shared" si="41"/>
        <v>7.761123004764504</v>
      </c>
    </row>
    <row r="226" spans="2:23" ht="12.75">
      <c r="B226" s="19">
        <v>191</v>
      </c>
      <c r="C226" s="58">
        <v>37081</v>
      </c>
      <c r="D226" s="50">
        <v>0</v>
      </c>
      <c r="E226" s="10">
        <f ca="1" t="shared" si="52"/>
        <v>19.45</v>
      </c>
      <c r="F226" s="10">
        <f ca="1" t="shared" si="52"/>
        <v>5.584</v>
      </c>
      <c r="G226" s="10">
        <f ca="1" t="shared" si="52"/>
        <v>0</v>
      </c>
      <c r="H226" s="10">
        <f t="shared" si="42"/>
        <v>19.45</v>
      </c>
      <c r="I226" s="10">
        <f>IF((SUM(H$36:H226)&gt;GDD_budbreak),(IF(((E226-10)&gt;0),(E226-10),0)),0)</f>
        <v>9.45</v>
      </c>
      <c r="J226" s="4">
        <f>IF((B226&lt;LeafDropDay),(SUM(I$36:I226)),0)</f>
        <v>809.3500000000004</v>
      </c>
      <c r="K226" s="4">
        <f t="shared" si="36"/>
        <v>1.509738098853561</v>
      </c>
      <c r="L226" s="4">
        <f t="shared" si="37"/>
        <v>0.5957989431366844</v>
      </c>
      <c r="M226" s="4">
        <f t="shared" si="43"/>
        <v>0.6055538564622137</v>
      </c>
      <c r="N226" s="4">
        <f t="shared" si="38"/>
        <v>0.3607883476925304</v>
      </c>
      <c r="O226" s="4">
        <f t="shared" si="44"/>
        <v>0</v>
      </c>
      <c r="P226" s="10">
        <f t="shared" si="45"/>
        <v>0</v>
      </c>
      <c r="Q226" s="10">
        <f t="shared" si="46"/>
        <v>-2.0146421335150895</v>
      </c>
      <c r="R226" s="4">
        <f t="shared" si="47"/>
        <v>0</v>
      </c>
      <c r="S226" s="4">
        <f t="shared" si="39"/>
        <v>0</v>
      </c>
      <c r="T226" s="4">
        <f t="shared" si="49"/>
        <v>157.24623162342223</v>
      </c>
      <c r="U226" s="4">
        <f t="shared" si="48"/>
        <v>157.24623162342223</v>
      </c>
      <c r="V226" s="4">
        <f t="shared" si="40"/>
        <v>0</v>
      </c>
      <c r="W226" s="4">
        <f t="shared" si="41"/>
        <v>8.354943269199195</v>
      </c>
    </row>
    <row r="227" spans="2:23" ht="12.75">
      <c r="B227" s="19">
        <v>192</v>
      </c>
      <c r="C227" s="58">
        <v>37082</v>
      </c>
      <c r="D227" s="50">
        <v>0</v>
      </c>
      <c r="E227" s="10">
        <f ca="1" t="shared" si="52"/>
        <v>18.3</v>
      </c>
      <c r="F227" s="10">
        <f ca="1" t="shared" si="52"/>
        <v>5.838</v>
      </c>
      <c r="G227" s="10">
        <f ca="1" t="shared" si="52"/>
        <v>0</v>
      </c>
      <c r="H227" s="10">
        <f t="shared" si="42"/>
        <v>18.3</v>
      </c>
      <c r="I227" s="10">
        <f>IF((SUM(H$36:H227)&gt;GDD_budbreak),(IF(((E227-10)&gt;0),(E227-10),0)),0)</f>
        <v>8.3</v>
      </c>
      <c r="J227" s="4">
        <f>IF((B227&lt;LeafDropDay),(SUM(I$36:I227)),0)</f>
        <v>817.6500000000003</v>
      </c>
      <c r="K227" s="4">
        <f t="shared" si="36"/>
        <v>1.5097672977527574</v>
      </c>
      <c r="L227" s="4">
        <f t="shared" si="37"/>
        <v>0.5958060244102032</v>
      </c>
      <c r="M227" s="4">
        <f t="shared" si="43"/>
        <v>0.5207223901144007</v>
      </c>
      <c r="N227" s="4">
        <f t="shared" si="38"/>
        <v>0.31024953707544</v>
      </c>
      <c r="O227" s="4">
        <f t="shared" si="44"/>
        <v>0</v>
      </c>
      <c r="P227" s="10">
        <f t="shared" si="45"/>
        <v>0</v>
      </c>
      <c r="Q227" s="10">
        <f t="shared" si="46"/>
        <v>-1.8112367974464187</v>
      </c>
      <c r="R227" s="4">
        <f t="shared" si="47"/>
        <v>0</v>
      </c>
      <c r="S227" s="4">
        <f t="shared" si="39"/>
        <v>0</v>
      </c>
      <c r="T227" s="4">
        <f t="shared" si="49"/>
        <v>155.43499482597582</v>
      </c>
      <c r="U227" s="4">
        <f t="shared" si="48"/>
        <v>155.43499482597582</v>
      </c>
      <c r="V227" s="4">
        <f t="shared" si="40"/>
        <v>0</v>
      </c>
      <c r="W227" s="4">
        <f t="shared" si="41"/>
        <v>8.934738616740546</v>
      </c>
    </row>
    <row r="228" spans="2:23" ht="12.75">
      <c r="B228" s="19">
        <v>193</v>
      </c>
      <c r="C228" s="58">
        <v>37083</v>
      </c>
      <c r="D228" s="50">
        <v>0</v>
      </c>
      <c r="E228" s="10">
        <f ca="1" t="shared" si="52"/>
        <v>19.15</v>
      </c>
      <c r="F228" s="10">
        <f ca="1" t="shared" si="52"/>
        <v>5.838</v>
      </c>
      <c r="G228" s="10">
        <f ca="1" t="shared" si="52"/>
        <v>0</v>
      </c>
      <c r="H228" s="10">
        <f t="shared" si="42"/>
        <v>19.15</v>
      </c>
      <c r="I228" s="10">
        <f>IF((SUM(H$36:H228)&gt;GDD_budbreak),(IF(((E228-10)&gt;0),(E228-10),0)),0)</f>
        <v>9.149999999999999</v>
      </c>
      <c r="J228" s="4">
        <f>IF((B228&lt;LeafDropDay),(SUM(I$36:I228)),0)</f>
        <v>826.8000000000003</v>
      </c>
      <c r="K228" s="4">
        <f aca="true" t="shared" si="53" ref="K228:K291">IF(J228&gt;0,((1.0066-1.0118*EXP(-5.0278*(J229/GDD_MaxLAI)^1.9331))*MaxLAI),0)</f>
        <v>1.5097921714739855</v>
      </c>
      <c r="L228" s="4">
        <f aca="true" t="shared" si="54" ref="L228:L291">1-EXP(-ExtCoeff*K228)</f>
        <v>0.5958120566501524</v>
      </c>
      <c r="M228" s="4">
        <f t="shared" si="43"/>
        <v>0.43789448332277914</v>
      </c>
      <c r="N228" s="4">
        <f aca="true" t="shared" si="55" ref="N228:N291">IF(AlterKc?&gt;0,L228*M228,L228)</f>
        <v>0.2609028127043009</v>
      </c>
      <c r="O228" s="4">
        <f t="shared" si="44"/>
        <v>0</v>
      </c>
      <c r="P228" s="10">
        <f t="shared" si="45"/>
        <v>0</v>
      </c>
      <c r="Q228" s="10">
        <f t="shared" si="46"/>
        <v>-1.5231506205677086</v>
      </c>
      <c r="R228" s="4">
        <f t="shared" si="47"/>
        <v>0</v>
      </c>
      <c r="S228" s="4">
        <f aca="true" t="shared" si="56" ref="S228:S291">R228*IrrConv</f>
        <v>0</v>
      </c>
      <c r="T228" s="4">
        <f t="shared" si="49"/>
        <v>153.9118442054081</v>
      </c>
      <c r="U228" s="4">
        <f t="shared" si="48"/>
        <v>153.9118442054081</v>
      </c>
      <c r="V228" s="4">
        <f aca="true" t="shared" si="57" ref="V228:V291">IF((T228&gt;SMatFC),((T228-SMatFC)*-V$29),0)</f>
        <v>0</v>
      </c>
      <c r="W228" s="4">
        <f aca="true" t="shared" si="58" ref="W228:W291">((SoilA*(U228/((RootDepth*1000)*(1-(Gravel/100))))^SoilB)/100)</f>
        <v>9.459096242659829</v>
      </c>
    </row>
    <row r="229" spans="2:23" ht="12.75">
      <c r="B229" s="19">
        <v>194</v>
      </c>
      <c r="C229" s="58">
        <v>37084</v>
      </c>
      <c r="D229" s="50">
        <v>0</v>
      </c>
      <c r="E229" s="10">
        <f ca="1" t="shared" si="52"/>
        <v>19.45</v>
      </c>
      <c r="F229" s="10">
        <f ca="1" t="shared" si="52"/>
        <v>5.838</v>
      </c>
      <c r="G229" s="10">
        <f ca="1" t="shared" si="52"/>
        <v>0</v>
      </c>
      <c r="H229" s="10">
        <f aca="true" t="shared" si="59" ref="H229:H292">IF(((E229-0)&gt;0),(E229-0),0)</f>
        <v>19.45</v>
      </c>
      <c r="I229" s="10">
        <f>IF((SUM(H$36:H229)&gt;GDD_budbreak),(IF(((E229-10)&gt;0),(E229-10),0)),0)</f>
        <v>9.45</v>
      </c>
      <c r="J229" s="4">
        <f>IF((B229&lt;LeafDropDay),(SUM(I$36:I229)),0)</f>
        <v>836.2500000000003</v>
      </c>
      <c r="K229" s="4">
        <f t="shared" si="53"/>
        <v>1.5098046444117414</v>
      </c>
      <c r="L229" s="4">
        <f t="shared" si="54"/>
        <v>0.5958150814854692</v>
      </c>
      <c r="M229" s="4">
        <f aca="true" t="shared" si="60" ref="M229:M292">IF((W228&gt;LWP_KcMax),IF(W228&lt;LWP_Kc0,(1-((W228-LWP_KcMax)/(LWP_Kc0-LWP_KcMax))),0),1)</f>
        <v>0.36298625104859583</v>
      </c>
      <c r="N229" s="4">
        <f t="shared" si="55"/>
        <v>0.21627268274662412</v>
      </c>
      <c r="O229" s="4">
        <f aca="true" t="shared" si="61" ref="O229:O292">IF(CC_cover&gt;0,(IF(B229&lt;CCLastDay,(IF((U228&gt;(SMatFC*CC_SMdeath)),(((U228-(SMatFC*CC_SMdeath))/(SMatFC-(SMatFC*CC_SMdeath)))*CC_cover),0)),0)),0)</f>
        <v>0</v>
      </c>
      <c r="P229" s="10">
        <f aca="true" t="shared" si="62" ref="P229:P292">F229*O229*-1</f>
        <v>0</v>
      </c>
      <c r="Q229" s="10">
        <f aca="true" t="shared" si="63" ref="Q229:Q292">F229*N229*-1</f>
        <v>-1.2625999218747916</v>
      </c>
      <c r="R229" s="4">
        <f aca="true" t="shared" si="64" ref="R229:R292">IF((SimIrr?=1),(IF((U228&lt;SMatIrrig),((SMatOptLWP-SMatIrrig)*2),0)),D229)</f>
        <v>0</v>
      </c>
      <c r="S229" s="4">
        <f t="shared" si="56"/>
        <v>0</v>
      </c>
      <c r="T229" s="4">
        <f t="shared" si="49"/>
        <v>152.6492442835333</v>
      </c>
      <c r="U229" s="4">
        <f aca="true" t="shared" si="65" ref="U229:U292">T229+V229</f>
        <v>152.6492442835333</v>
      </c>
      <c r="V229" s="4">
        <f t="shared" si="57"/>
        <v>0</v>
      </c>
      <c r="W229" s="4">
        <f t="shared" si="58"/>
        <v>9.921267653244342</v>
      </c>
    </row>
    <row r="230" spans="2:23" ht="12.75">
      <c r="B230" s="19">
        <v>195</v>
      </c>
      <c r="C230" s="58">
        <v>37085</v>
      </c>
      <c r="D230" s="50">
        <v>0</v>
      </c>
      <c r="E230" s="10">
        <f ca="1" t="shared" si="52"/>
        <v>15.55</v>
      </c>
      <c r="F230" s="10">
        <f ca="1" t="shared" si="52"/>
        <v>5.33</v>
      </c>
      <c r="G230" s="10">
        <f ca="1" t="shared" si="52"/>
        <v>0</v>
      </c>
      <c r="H230" s="10">
        <f t="shared" si="59"/>
        <v>15.55</v>
      </c>
      <c r="I230" s="10">
        <f>IF((SUM(H$36:H230)&gt;GDD_budbreak),(IF(((E230-10)&gt;0),(E230-10),0)),0)</f>
        <v>5.550000000000001</v>
      </c>
      <c r="J230" s="4">
        <f>IF((B230&lt;LeafDropDay),(SUM(I$36:I230)),0)</f>
        <v>841.8000000000003</v>
      </c>
      <c r="K230" s="4">
        <f t="shared" si="53"/>
        <v>1.5098183366978817</v>
      </c>
      <c r="L230" s="4">
        <f t="shared" si="54"/>
        <v>0.5958184020011643</v>
      </c>
      <c r="M230" s="4">
        <f t="shared" si="60"/>
        <v>0.2969617638222368</v>
      </c>
      <c r="N230" s="4">
        <f t="shared" si="55"/>
        <v>0.17693528357601232</v>
      </c>
      <c r="O230" s="4">
        <f t="shared" si="61"/>
        <v>0</v>
      </c>
      <c r="P230" s="10">
        <f t="shared" si="62"/>
        <v>0</v>
      </c>
      <c r="Q230" s="10">
        <f t="shared" si="63"/>
        <v>-0.9430650614601457</v>
      </c>
      <c r="R230" s="4">
        <f t="shared" si="64"/>
        <v>0</v>
      </c>
      <c r="S230" s="4">
        <f t="shared" si="56"/>
        <v>0</v>
      </c>
      <c r="T230" s="4">
        <f aca="true" t="shared" si="66" ref="T230:T293">G230+P230+Q230+R230+U229</f>
        <v>151.70617922207316</v>
      </c>
      <c r="U230" s="4">
        <f t="shared" si="65"/>
        <v>151.70617922207316</v>
      </c>
      <c r="V230" s="4">
        <f t="shared" si="57"/>
        <v>0</v>
      </c>
      <c r="W230" s="4">
        <f t="shared" si="58"/>
        <v>10.28380106075916</v>
      </c>
    </row>
    <row r="231" spans="2:23" ht="12.75">
      <c r="B231" s="19">
        <v>196</v>
      </c>
      <c r="C231" s="58">
        <v>37086</v>
      </c>
      <c r="D231" s="50">
        <v>0</v>
      </c>
      <c r="E231" s="10">
        <f ca="1" t="shared" si="52"/>
        <v>16.95</v>
      </c>
      <c r="F231" s="10">
        <f ca="1" t="shared" si="52"/>
        <v>5.076</v>
      </c>
      <c r="G231" s="10">
        <f ca="1" t="shared" si="52"/>
        <v>0</v>
      </c>
      <c r="H231" s="10">
        <f t="shared" si="59"/>
        <v>16.95</v>
      </c>
      <c r="I231" s="10">
        <f>IF((SUM(H$36:H231)&gt;GDD_budbreak),(IF(((E231-10)&gt;0),(E231-10),0)),0)</f>
        <v>6.949999999999999</v>
      </c>
      <c r="J231" s="4">
        <f>IF((B231&lt;LeafDropDay),(SUM(I$36:I231)),0)</f>
        <v>848.7500000000003</v>
      </c>
      <c r="K231" s="4">
        <f t="shared" si="53"/>
        <v>1.5098287941749233</v>
      </c>
      <c r="L231" s="4">
        <f t="shared" si="54"/>
        <v>0.5958209380250772</v>
      </c>
      <c r="M231" s="4">
        <f t="shared" si="60"/>
        <v>0.24517127703440578</v>
      </c>
      <c r="N231" s="4">
        <f t="shared" si="55"/>
        <v>0.14607818025944572</v>
      </c>
      <c r="O231" s="4">
        <f t="shared" si="61"/>
        <v>0</v>
      </c>
      <c r="P231" s="10">
        <f t="shared" si="62"/>
        <v>0</v>
      </c>
      <c r="Q231" s="10">
        <f t="shared" si="63"/>
        <v>-0.7414928429969464</v>
      </c>
      <c r="R231" s="4">
        <f t="shared" si="64"/>
        <v>0</v>
      </c>
      <c r="S231" s="4">
        <f t="shared" si="56"/>
        <v>0</v>
      </c>
      <c r="T231" s="4">
        <f t="shared" si="66"/>
        <v>150.96468637907623</v>
      </c>
      <c r="U231" s="4">
        <f t="shared" si="65"/>
        <v>150.96468637907623</v>
      </c>
      <c r="V231" s="4">
        <f t="shared" si="57"/>
        <v>0</v>
      </c>
      <c r="W231" s="4">
        <f t="shared" si="58"/>
        <v>10.579785829850971</v>
      </c>
    </row>
    <row r="232" spans="2:23" ht="12.75">
      <c r="B232" s="19">
        <v>197</v>
      </c>
      <c r="C232" s="58">
        <v>37087</v>
      </c>
      <c r="D232" s="50">
        <v>0</v>
      </c>
      <c r="E232" s="10">
        <f ca="1" t="shared" si="52"/>
        <v>16.1</v>
      </c>
      <c r="F232" s="10">
        <f ca="1" t="shared" si="52"/>
        <v>5.584</v>
      </c>
      <c r="G232" s="10">
        <f ca="1" t="shared" si="52"/>
        <v>0</v>
      </c>
      <c r="H232" s="10">
        <f t="shared" si="59"/>
        <v>16.1</v>
      </c>
      <c r="I232" s="10">
        <f>IF((SUM(H$36:H232)&gt;GDD_budbreak),(IF(((E232-10)&gt;0),(E232-10),0)),0)</f>
        <v>6.100000000000001</v>
      </c>
      <c r="J232" s="4">
        <f>IF((B232&lt;LeafDropDay),(SUM(I$36:I232)),0)</f>
        <v>854.8500000000004</v>
      </c>
      <c r="K232" s="4">
        <f t="shared" si="53"/>
        <v>1.509841726860206</v>
      </c>
      <c r="L232" s="4">
        <f t="shared" si="54"/>
        <v>0.595824074285273</v>
      </c>
      <c r="M232" s="4">
        <f t="shared" si="60"/>
        <v>0.20288773859271836</v>
      </c>
      <c r="N232" s="4">
        <f t="shared" si="55"/>
        <v>0.12088539903083886</v>
      </c>
      <c r="O232" s="4">
        <f t="shared" si="61"/>
        <v>0</v>
      </c>
      <c r="P232" s="10">
        <f t="shared" si="62"/>
        <v>0</v>
      </c>
      <c r="Q232" s="10">
        <f t="shared" si="63"/>
        <v>-0.6750240681882042</v>
      </c>
      <c r="R232" s="4">
        <f t="shared" si="64"/>
        <v>0</v>
      </c>
      <c r="S232" s="4">
        <f t="shared" si="56"/>
        <v>0</v>
      </c>
      <c r="T232" s="4">
        <f t="shared" si="66"/>
        <v>150.28966231088802</v>
      </c>
      <c r="U232" s="4">
        <f t="shared" si="65"/>
        <v>150.28966231088802</v>
      </c>
      <c r="V232" s="4">
        <f t="shared" si="57"/>
        <v>0</v>
      </c>
      <c r="W232" s="4">
        <f t="shared" si="58"/>
        <v>10.857957997108207</v>
      </c>
    </row>
    <row r="233" spans="2:23" ht="12.75">
      <c r="B233" s="19">
        <v>198</v>
      </c>
      <c r="C233" s="58">
        <v>37088</v>
      </c>
      <c r="D233" s="50">
        <v>0</v>
      </c>
      <c r="E233" s="10">
        <f ca="1" t="shared" si="52"/>
        <v>18.85</v>
      </c>
      <c r="F233" s="10">
        <f ca="1" t="shared" si="52"/>
        <v>5.584</v>
      </c>
      <c r="G233" s="10">
        <f ca="1" t="shared" si="52"/>
        <v>0</v>
      </c>
      <c r="H233" s="10">
        <f t="shared" si="59"/>
        <v>18.85</v>
      </c>
      <c r="I233" s="10">
        <f>IF((SUM(H$36:H233)&gt;GDD_budbreak),(IF(((E233-10)&gt;0),(E233-10),0)),0)</f>
        <v>8.850000000000001</v>
      </c>
      <c r="J233" s="4">
        <f>IF((B233&lt;LeafDropDay),(SUM(I$36:I233)),0)</f>
        <v>863.7000000000004</v>
      </c>
      <c r="K233" s="4">
        <f t="shared" si="53"/>
        <v>1.5098530542158535</v>
      </c>
      <c r="L233" s="4">
        <f t="shared" si="54"/>
        <v>0.5958268212226111</v>
      </c>
      <c r="M233" s="4">
        <f t="shared" si="60"/>
        <v>0.16314885755597053</v>
      </c>
      <c r="N233" s="4">
        <f t="shared" si="55"/>
        <v>0.0972084651836745</v>
      </c>
      <c r="O233" s="4">
        <f t="shared" si="61"/>
        <v>0</v>
      </c>
      <c r="P233" s="10">
        <f t="shared" si="62"/>
        <v>0</v>
      </c>
      <c r="Q233" s="10">
        <f t="shared" si="63"/>
        <v>-0.5428120695856383</v>
      </c>
      <c r="R233" s="4">
        <f t="shared" si="64"/>
        <v>0</v>
      </c>
      <c r="S233" s="4">
        <f t="shared" si="56"/>
        <v>0</v>
      </c>
      <c r="T233" s="4">
        <f t="shared" si="66"/>
        <v>149.74685024130238</v>
      </c>
      <c r="U233" s="4">
        <f t="shared" si="65"/>
        <v>149.74685024130238</v>
      </c>
      <c r="V233" s="4">
        <f t="shared" si="57"/>
        <v>0</v>
      </c>
      <c r="W233" s="4">
        <f t="shared" si="58"/>
        <v>11.08788209620806</v>
      </c>
    </row>
    <row r="234" spans="2:23" ht="12.75">
      <c r="B234" s="19">
        <v>199</v>
      </c>
      <c r="C234" s="58">
        <v>37089</v>
      </c>
      <c r="D234" s="50">
        <v>0</v>
      </c>
      <c r="E234" s="10">
        <f ca="1" t="shared" si="52"/>
        <v>19.45</v>
      </c>
      <c r="F234" s="10">
        <f ca="1" t="shared" si="52"/>
        <v>6.091</v>
      </c>
      <c r="G234" s="10">
        <f ca="1" t="shared" si="52"/>
        <v>0</v>
      </c>
      <c r="H234" s="10">
        <f t="shared" si="59"/>
        <v>19.45</v>
      </c>
      <c r="I234" s="10">
        <f>IF((SUM(H$36:H234)&gt;GDD_budbreak),(IF(((E234-10)&gt;0),(E234-10),0)),0)</f>
        <v>9.45</v>
      </c>
      <c r="J234" s="4">
        <f>IF((B234&lt;LeafDropDay),(SUM(I$36:I234)),0)</f>
        <v>873.1500000000004</v>
      </c>
      <c r="K234" s="4">
        <f t="shared" si="53"/>
        <v>1.509859497592934</v>
      </c>
      <c r="L234" s="4">
        <f t="shared" si="54"/>
        <v>0.5958283837637087</v>
      </c>
      <c r="M234" s="4">
        <f t="shared" si="60"/>
        <v>0.13030255768456278</v>
      </c>
      <c r="N234" s="4">
        <f t="shared" si="55"/>
        <v>0.07763796234547046</v>
      </c>
      <c r="O234" s="4">
        <f t="shared" si="61"/>
        <v>0</v>
      </c>
      <c r="P234" s="10">
        <f t="shared" si="62"/>
        <v>0</v>
      </c>
      <c r="Q234" s="10">
        <f t="shared" si="63"/>
        <v>-0.4728928286462606</v>
      </c>
      <c r="R234" s="4">
        <f t="shared" si="64"/>
        <v>10</v>
      </c>
      <c r="S234" s="4">
        <f t="shared" si="56"/>
        <v>4.905280512</v>
      </c>
      <c r="T234" s="4">
        <f t="shared" si="66"/>
        <v>159.27395741265613</v>
      </c>
      <c r="U234" s="4">
        <f t="shared" si="65"/>
        <v>159.27395741265613</v>
      </c>
      <c r="V234" s="4">
        <f t="shared" si="57"/>
        <v>0</v>
      </c>
      <c r="W234" s="4">
        <f t="shared" si="58"/>
        <v>7.757431565289461</v>
      </c>
    </row>
    <row r="235" spans="2:23" ht="12.75">
      <c r="B235" s="19">
        <v>200</v>
      </c>
      <c r="C235" s="58">
        <v>37090</v>
      </c>
      <c r="D235" s="50">
        <v>0</v>
      </c>
      <c r="E235" s="10">
        <f ca="1" t="shared" si="52"/>
        <v>16.4</v>
      </c>
      <c r="F235" s="10">
        <f ca="1" t="shared" si="52"/>
        <v>5.33</v>
      </c>
      <c r="G235" s="10">
        <f ca="1" t="shared" si="52"/>
        <v>0</v>
      </c>
      <c r="H235" s="10">
        <f t="shared" si="59"/>
        <v>16.4</v>
      </c>
      <c r="I235" s="10">
        <f>IF((SUM(H$36:H235)&gt;GDD_budbreak),(IF(((E235-10)&gt;0),(E235-10),0)),0)</f>
        <v>6.399999999999999</v>
      </c>
      <c r="J235" s="4">
        <f>IF((B235&lt;LeafDropDay),(SUM(I$36:I235)),0)</f>
        <v>879.5500000000004</v>
      </c>
      <c r="K235" s="4">
        <f t="shared" si="53"/>
        <v>1.5098662130349092</v>
      </c>
      <c r="L235" s="4">
        <f t="shared" si="54"/>
        <v>0.59583001227505</v>
      </c>
      <c r="M235" s="4">
        <f t="shared" si="60"/>
        <v>0.6060812049586484</v>
      </c>
      <c r="N235" s="4">
        <f t="shared" si="55"/>
        <v>0.3611213717901885</v>
      </c>
      <c r="O235" s="4">
        <f t="shared" si="61"/>
        <v>0</v>
      </c>
      <c r="P235" s="10">
        <f t="shared" si="62"/>
        <v>0</v>
      </c>
      <c r="Q235" s="10">
        <f t="shared" si="63"/>
        <v>-1.9247769116417046</v>
      </c>
      <c r="R235" s="4">
        <f t="shared" si="64"/>
        <v>0</v>
      </c>
      <c r="S235" s="4">
        <f t="shared" si="56"/>
        <v>0</v>
      </c>
      <c r="T235" s="4">
        <f t="shared" si="66"/>
        <v>157.34918050101442</v>
      </c>
      <c r="U235" s="4">
        <f t="shared" si="65"/>
        <v>157.34918050101442</v>
      </c>
      <c r="V235" s="4">
        <f t="shared" si="57"/>
        <v>0</v>
      </c>
      <c r="W235" s="4">
        <f t="shared" si="58"/>
        <v>8.32333561454719</v>
      </c>
    </row>
    <row r="236" spans="2:23" ht="12.75">
      <c r="B236" s="19">
        <v>201</v>
      </c>
      <c r="C236" s="58">
        <v>37091</v>
      </c>
      <c r="D236" s="50">
        <v>0</v>
      </c>
      <c r="E236" s="10">
        <f ca="1" t="shared" si="67" ref="E236:G255">INDIRECT(WeatherSheet&amp;"!"&amp;E605)</f>
        <v>17.8</v>
      </c>
      <c r="F236" s="10">
        <f ca="1" t="shared" si="67"/>
        <v>5.33</v>
      </c>
      <c r="G236" s="10">
        <f ca="1" t="shared" si="67"/>
        <v>0</v>
      </c>
      <c r="H236" s="10">
        <f t="shared" si="59"/>
        <v>17.8</v>
      </c>
      <c r="I236" s="10">
        <f>IF((SUM(H$36:H236)&gt;GDD_budbreak),(IF(((E236-10)&gt;0),(E236-10),0)),0)</f>
        <v>7.800000000000001</v>
      </c>
      <c r="J236" s="4">
        <f>IF((B236&lt;LeafDropDay),(SUM(I$36:I236)),0)</f>
        <v>887.3500000000004</v>
      </c>
      <c r="K236" s="4">
        <f t="shared" si="53"/>
        <v>1.5098714570882064</v>
      </c>
      <c r="L236" s="4">
        <f t="shared" si="54"/>
        <v>0.5958312839664233</v>
      </c>
      <c r="M236" s="4">
        <f t="shared" si="60"/>
        <v>0.5252377693504013</v>
      </c>
      <c r="N236" s="4">
        <f t="shared" si="55"/>
        <v>0.3129530944997097</v>
      </c>
      <c r="O236" s="4">
        <f t="shared" si="61"/>
        <v>0</v>
      </c>
      <c r="P236" s="10">
        <f t="shared" si="62"/>
        <v>0</v>
      </c>
      <c r="Q236" s="10">
        <f t="shared" si="63"/>
        <v>-1.6680399936834527</v>
      </c>
      <c r="R236" s="4">
        <f t="shared" si="64"/>
        <v>0</v>
      </c>
      <c r="S236" s="4">
        <f t="shared" si="56"/>
        <v>0</v>
      </c>
      <c r="T236" s="4">
        <f t="shared" si="66"/>
        <v>155.68114050733095</v>
      </c>
      <c r="U236" s="4">
        <f t="shared" si="65"/>
        <v>155.68114050733095</v>
      </c>
      <c r="V236" s="4">
        <f t="shared" si="57"/>
        <v>0</v>
      </c>
      <c r="W236" s="4">
        <f t="shared" si="58"/>
        <v>8.853237121173125</v>
      </c>
    </row>
    <row r="237" spans="2:23" ht="12.75">
      <c r="B237" s="19">
        <v>202</v>
      </c>
      <c r="C237" s="58">
        <v>37092</v>
      </c>
      <c r="D237" s="50">
        <v>0</v>
      </c>
      <c r="E237" s="10">
        <f ca="1" t="shared" si="67"/>
        <v>17.2</v>
      </c>
      <c r="F237" s="10">
        <f ca="1" t="shared" si="67"/>
        <v>5.33</v>
      </c>
      <c r="G237" s="10">
        <f ca="1" t="shared" si="67"/>
        <v>0</v>
      </c>
      <c r="H237" s="10">
        <f t="shared" si="59"/>
        <v>17.2</v>
      </c>
      <c r="I237" s="10">
        <f>IF((SUM(H$36:H237)&gt;GDD_budbreak),(IF(((E237-10)&gt;0),(E237-10),0)),0)</f>
        <v>7.199999999999999</v>
      </c>
      <c r="J237" s="4">
        <f>IF((B237&lt;LeafDropDay),(SUM(I$36:I237)),0)</f>
        <v>894.5500000000004</v>
      </c>
      <c r="K237" s="4">
        <f t="shared" si="53"/>
        <v>1.5098779163809415</v>
      </c>
      <c r="L237" s="4">
        <f t="shared" si="54"/>
        <v>0.5958328503498187</v>
      </c>
      <c r="M237" s="4">
        <f t="shared" si="60"/>
        <v>0.449537554118125</v>
      </c>
      <c r="N237" s="4">
        <f t="shared" si="55"/>
        <v>0.2678492422094883</v>
      </c>
      <c r="O237" s="4">
        <f t="shared" si="61"/>
        <v>0</v>
      </c>
      <c r="P237" s="10">
        <f t="shared" si="62"/>
        <v>0</v>
      </c>
      <c r="Q237" s="10">
        <f t="shared" si="63"/>
        <v>-1.4276364609765726</v>
      </c>
      <c r="R237" s="4">
        <f t="shared" si="64"/>
        <v>0</v>
      </c>
      <c r="S237" s="4">
        <f t="shared" si="56"/>
        <v>0</v>
      </c>
      <c r="T237" s="4">
        <f t="shared" si="66"/>
        <v>154.25350404635438</v>
      </c>
      <c r="U237" s="4">
        <f t="shared" si="65"/>
        <v>154.25350404635438</v>
      </c>
      <c r="V237" s="4">
        <f t="shared" si="57"/>
        <v>0</v>
      </c>
      <c r="W237" s="4">
        <f t="shared" si="58"/>
        <v>9.33840471885669</v>
      </c>
    </row>
    <row r="238" spans="2:23" ht="12.75">
      <c r="B238" s="19">
        <v>203</v>
      </c>
      <c r="C238" s="58">
        <v>37093</v>
      </c>
      <c r="D238" s="50">
        <v>0</v>
      </c>
      <c r="E238" s="10">
        <f ca="1" t="shared" si="67"/>
        <v>20.85</v>
      </c>
      <c r="F238" s="10">
        <f ca="1" t="shared" si="67"/>
        <v>6.345</v>
      </c>
      <c r="G238" s="10">
        <f ca="1" t="shared" si="67"/>
        <v>0</v>
      </c>
      <c r="H238" s="10">
        <f t="shared" si="59"/>
        <v>20.85</v>
      </c>
      <c r="I238" s="10">
        <f>IF((SUM(H$36:H238)&gt;GDD_budbreak),(IF(((E238-10)&gt;0),(E238-10),0)),0)</f>
        <v>10.850000000000001</v>
      </c>
      <c r="J238" s="4">
        <f>IF((B238&lt;LeafDropDay),(SUM(I$36:I238)),0)</f>
        <v>905.4000000000004</v>
      </c>
      <c r="K238" s="4">
        <f t="shared" si="53"/>
        <v>1.509882252913819</v>
      </c>
      <c r="L238" s="4">
        <f t="shared" si="54"/>
        <v>0.5958339019589302</v>
      </c>
      <c r="M238" s="4">
        <f t="shared" si="60"/>
        <v>0.3802278973061871</v>
      </c>
      <c r="N238" s="4">
        <f t="shared" si="55"/>
        <v>0.22655267168558485</v>
      </c>
      <c r="O238" s="4">
        <f t="shared" si="61"/>
        <v>0</v>
      </c>
      <c r="P238" s="10">
        <f t="shared" si="62"/>
        <v>0</v>
      </c>
      <c r="Q238" s="10">
        <f t="shared" si="63"/>
        <v>-1.4374767018450358</v>
      </c>
      <c r="R238" s="4">
        <f t="shared" si="64"/>
        <v>0</v>
      </c>
      <c r="S238" s="4">
        <f t="shared" si="56"/>
        <v>0</v>
      </c>
      <c r="T238" s="4">
        <f t="shared" si="66"/>
        <v>152.81602734450934</v>
      </c>
      <c r="U238" s="4">
        <f t="shared" si="65"/>
        <v>152.81602734450934</v>
      </c>
      <c r="V238" s="4">
        <f t="shared" si="57"/>
        <v>0</v>
      </c>
      <c r="W238" s="4">
        <f t="shared" si="58"/>
        <v>9.858723445075391</v>
      </c>
    </row>
    <row r="239" spans="2:23" ht="12.75">
      <c r="B239" s="19">
        <v>204</v>
      </c>
      <c r="C239" s="58">
        <v>37094</v>
      </c>
      <c r="D239" s="50">
        <v>0</v>
      </c>
      <c r="E239" s="10">
        <f ca="1" t="shared" si="67"/>
        <v>19.15</v>
      </c>
      <c r="F239" s="10">
        <f ca="1" t="shared" si="67"/>
        <v>5.838</v>
      </c>
      <c r="G239" s="10">
        <f ca="1" t="shared" si="67"/>
        <v>0</v>
      </c>
      <c r="H239" s="10">
        <f t="shared" si="59"/>
        <v>19.15</v>
      </c>
      <c r="I239" s="10">
        <f>IF((SUM(H$36:H239)&gt;GDD_budbreak),(IF(((E239-10)&gt;0),(E239-10),0)),0)</f>
        <v>9.149999999999999</v>
      </c>
      <c r="J239" s="4">
        <f>IF((B239&lt;LeafDropDay),(SUM(I$36:I239)),0)</f>
        <v>914.5500000000004</v>
      </c>
      <c r="K239" s="4">
        <f t="shared" si="53"/>
        <v>1.509885488651447</v>
      </c>
      <c r="L239" s="4">
        <f t="shared" si="54"/>
        <v>0.5958346866234393</v>
      </c>
      <c r="M239" s="4">
        <f t="shared" si="60"/>
        <v>0.30589665070351557</v>
      </c>
      <c r="N239" s="4">
        <f t="shared" si="55"/>
        <v>0.18226383501108886</v>
      </c>
      <c r="O239" s="4">
        <f t="shared" si="61"/>
        <v>0</v>
      </c>
      <c r="P239" s="10">
        <f t="shared" si="62"/>
        <v>0</v>
      </c>
      <c r="Q239" s="10">
        <f t="shared" si="63"/>
        <v>-1.0640562687947368</v>
      </c>
      <c r="R239" s="4">
        <f t="shared" si="64"/>
        <v>0</v>
      </c>
      <c r="S239" s="4">
        <f t="shared" si="56"/>
        <v>0</v>
      </c>
      <c r="T239" s="4">
        <f t="shared" si="66"/>
        <v>151.7519710757146</v>
      </c>
      <c r="U239" s="4">
        <f t="shared" si="65"/>
        <v>151.7519710757146</v>
      </c>
      <c r="V239" s="4">
        <f t="shared" si="57"/>
        <v>0</v>
      </c>
      <c r="W239" s="4">
        <f t="shared" si="58"/>
        <v>10.265842731832459</v>
      </c>
    </row>
    <row r="240" spans="2:23" ht="12.75">
      <c r="B240" s="19">
        <v>205</v>
      </c>
      <c r="C240" s="58">
        <v>37095</v>
      </c>
      <c r="D240" s="50">
        <v>0</v>
      </c>
      <c r="E240" s="10">
        <f ca="1" t="shared" si="67"/>
        <v>18.35</v>
      </c>
      <c r="F240" s="10">
        <f ca="1" t="shared" si="67"/>
        <v>5.33</v>
      </c>
      <c r="G240" s="10">
        <f ca="1" t="shared" si="67"/>
        <v>0</v>
      </c>
      <c r="H240" s="10">
        <f t="shared" si="59"/>
        <v>18.35</v>
      </c>
      <c r="I240" s="10">
        <f>IF((SUM(H$36:H240)&gt;GDD_budbreak),(IF(((E240-10)&gt;0),(E240-10),0)),0)</f>
        <v>8.350000000000001</v>
      </c>
      <c r="J240" s="4">
        <f>IF((B240&lt;LeafDropDay),(SUM(I$36:I240)),0)</f>
        <v>922.9000000000004</v>
      </c>
      <c r="K240" s="4">
        <f t="shared" si="53"/>
        <v>1.509888312695467</v>
      </c>
      <c r="L240" s="4">
        <f t="shared" si="54"/>
        <v>0.5958353714512409</v>
      </c>
      <c r="M240" s="4">
        <f t="shared" si="60"/>
        <v>0.24773675259536299</v>
      </c>
      <c r="N240" s="4">
        <f t="shared" si="55"/>
        <v>0.14761032000478227</v>
      </c>
      <c r="O240" s="4">
        <f t="shared" si="61"/>
        <v>0</v>
      </c>
      <c r="P240" s="10">
        <f t="shared" si="62"/>
        <v>0</v>
      </c>
      <c r="Q240" s="10">
        <f t="shared" si="63"/>
        <v>-0.7867630056254895</v>
      </c>
      <c r="R240" s="4">
        <f t="shared" si="64"/>
        <v>0</v>
      </c>
      <c r="S240" s="4">
        <f t="shared" si="56"/>
        <v>0</v>
      </c>
      <c r="T240" s="4">
        <f t="shared" si="66"/>
        <v>150.96520807008912</v>
      </c>
      <c r="U240" s="4">
        <f t="shared" si="65"/>
        <v>150.96520807008912</v>
      </c>
      <c r="V240" s="4">
        <f t="shared" si="57"/>
        <v>0</v>
      </c>
      <c r="W240" s="4">
        <f t="shared" si="58"/>
        <v>10.579574100006035</v>
      </c>
    </row>
    <row r="241" spans="2:23" ht="12.75">
      <c r="B241" s="19">
        <v>206</v>
      </c>
      <c r="C241" s="58">
        <v>37096</v>
      </c>
      <c r="D241" s="50">
        <v>0</v>
      </c>
      <c r="E241" s="10">
        <f ca="1" t="shared" si="67"/>
        <v>18.9</v>
      </c>
      <c r="F241" s="10">
        <f ca="1" t="shared" si="67"/>
        <v>5.584</v>
      </c>
      <c r="G241" s="10">
        <f ca="1" t="shared" si="67"/>
        <v>0</v>
      </c>
      <c r="H241" s="10">
        <f t="shared" si="59"/>
        <v>18.9</v>
      </c>
      <c r="I241" s="10">
        <f>IF((SUM(H$36:H241)&gt;GDD_budbreak),(IF(((E241-10)&gt;0),(E241-10),0)),0)</f>
        <v>8.899999999999999</v>
      </c>
      <c r="J241" s="4">
        <f>IF((B241&lt;LeafDropDay),(SUM(I$36:I241)),0)</f>
        <v>931.8000000000004</v>
      </c>
      <c r="K241" s="4">
        <f t="shared" si="53"/>
        <v>1.509890731887197</v>
      </c>
      <c r="L241" s="4">
        <f t="shared" si="54"/>
        <v>0.5958359581018513</v>
      </c>
      <c r="M241" s="4">
        <f t="shared" si="60"/>
        <v>0.20291798571342368</v>
      </c>
      <c r="N241" s="4">
        <f t="shared" si="55"/>
        <v>0.12090583243365557</v>
      </c>
      <c r="O241" s="4">
        <f t="shared" si="61"/>
        <v>0</v>
      </c>
      <c r="P241" s="10">
        <f t="shared" si="62"/>
        <v>0</v>
      </c>
      <c r="Q241" s="10">
        <f t="shared" si="63"/>
        <v>-0.6751381683095327</v>
      </c>
      <c r="R241" s="4">
        <f t="shared" si="64"/>
        <v>0</v>
      </c>
      <c r="S241" s="4">
        <f t="shared" si="56"/>
        <v>0</v>
      </c>
      <c r="T241" s="4">
        <f t="shared" si="66"/>
        <v>150.2900699017796</v>
      </c>
      <c r="U241" s="4">
        <f t="shared" si="65"/>
        <v>150.2900699017796</v>
      </c>
      <c r="V241" s="4">
        <f t="shared" si="57"/>
        <v>0</v>
      </c>
      <c r="W241" s="4">
        <f t="shared" si="58"/>
        <v>10.857787462772935</v>
      </c>
    </row>
    <row r="242" spans="2:23" ht="12.75">
      <c r="B242" s="19">
        <v>207</v>
      </c>
      <c r="C242" s="58">
        <v>37097</v>
      </c>
      <c r="D242" s="50">
        <v>0</v>
      </c>
      <c r="E242" s="10">
        <f ca="1" t="shared" si="67"/>
        <v>19.45</v>
      </c>
      <c r="F242" s="10">
        <f ca="1" t="shared" si="67"/>
        <v>5.33</v>
      </c>
      <c r="G242" s="10">
        <f ca="1" t="shared" si="67"/>
        <v>0</v>
      </c>
      <c r="H242" s="10">
        <f t="shared" si="59"/>
        <v>19.45</v>
      </c>
      <c r="I242" s="10">
        <f>IF((SUM(H$36:H242)&gt;GDD_budbreak),(IF(((E242-10)&gt;0),(E242-10),0)),0)</f>
        <v>9.45</v>
      </c>
      <c r="J242" s="4">
        <f>IF((B242&lt;LeafDropDay),(SUM(I$36:I242)),0)</f>
        <v>941.2500000000005</v>
      </c>
      <c r="K242" s="4">
        <f t="shared" si="53"/>
        <v>1.509892406492836</v>
      </c>
      <c r="L242" s="4">
        <f t="shared" si="54"/>
        <v>0.5958363641908775</v>
      </c>
      <c r="M242" s="4">
        <f t="shared" si="60"/>
        <v>0.16317321960386644</v>
      </c>
      <c r="N242" s="4">
        <f t="shared" si="55"/>
        <v>0.09722453790208739</v>
      </c>
      <c r="O242" s="4">
        <f t="shared" si="61"/>
        <v>0</v>
      </c>
      <c r="P242" s="10">
        <f t="shared" si="62"/>
        <v>0</v>
      </c>
      <c r="Q242" s="10">
        <f t="shared" si="63"/>
        <v>-0.5182067870181258</v>
      </c>
      <c r="R242" s="4">
        <f t="shared" si="64"/>
        <v>0</v>
      </c>
      <c r="S242" s="4">
        <f t="shared" si="56"/>
        <v>0</v>
      </c>
      <c r="T242" s="4">
        <f t="shared" si="66"/>
        <v>149.77186311476146</v>
      </c>
      <c r="U242" s="4">
        <f t="shared" si="65"/>
        <v>149.77186311476146</v>
      </c>
      <c r="V242" s="4">
        <f t="shared" si="57"/>
        <v>0</v>
      </c>
      <c r="W242" s="4">
        <f t="shared" si="58"/>
        <v>11.077162448488819</v>
      </c>
    </row>
    <row r="243" spans="2:23" ht="12.75">
      <c r="B243" s="19">
        <v>208</v>
      </c>
      <c r="C243" s="58">
        <v>37098</v>
      </c>
      <c r="D243" s="50">
        <v>0</v>
      </c>
      <c r="E243" s="10">
        <f ca="1" t="shared" si="67"/>
        <v>18.05</v>
      </c>
      <c r="F243" s="10">
        <f ca="1" t="shared" si="67"/>
        <v>5.076</v>
      </c>
      <c r="G243" s="10">
        <f ca="1" t="shared" si="67"/>
        <v>0</v>
      </c>
      <c r="H243" s="10">
        <f t="shared" si="59"/>
        <v>18.05</v>
      </c>
      <c r="I243" s="10">
        <f>IF((SUM(H$36:H243)&gt;GDD_budbreak),(IF(((E243-10)&gt;0),(E243-10),0)),0)</f>
        <v>8.05</v>
      </c>
      <c r="J243" s="4">
        <f>IF((B243&lt;LeafDropDay),(SUM(I$36:I243)),0)</f>
        <v>949.3000000000004</v>
      </c>
      <c r="K243" s="4">
        <f t="shared" si="53"/>
        <v>1.509893919286602</v>
      </c>
      <c r="L243" s="4">
        <f t="shared" si="54"/>
        <v>0.5958367310404482</v>
      </c>
      <c r="M243" s="4">
        <f t="shared" si="60"/>
        <v>0.13183393593016868</v>
      </c>
      <c r="N243" s="4">
        <f t="shared" si="55"/>
        <v>0.0785515014248276</v>
      </c>
      <c r="O243" s="4">
        <f t="shared" si="61"/>
        <v>0</v>
      </c>
      <c r="P243" s="10">
        <f t="shared" si="62"/>
        <v>0</v>
      </c>
      <c r="Q243" s="10">
        <f t="shared" si="63"/>
        <v>-0.3987274212324249</v>
      </c>
      <c r="R243" s="4">
        <f t="shared" si="64"/>
        <v>10</v>
      </c>
      <c r="S243" s="4">
        <f t="shared" si="56"/>
        <v>4.905280512</v>
      </c>
      <c r="T243" s="4">
        <f t="shared" si="66"/>
        <v>159.37313569352904</v>
      </c>
      <c r="U243" s="4">
        <f t="shared" si="65"/>
        <v>159.37313569352904</v>
      </c>
      <c r="V243" s="4">
        <f t="shared" si="57"/>
        <v>0</v>
      </c>
      <c r="W243" s="4">
        <f t="shared" si="58"/>
        <v>7.729516136456222</v>
      </c>
    </row>
    <row r="244" spans="2:23" ht="12.75">
      <c r="B244" s="19">
        <v>209</v>
      </c>
      <c r="C244" s="58">
        <v>37099</v>
      </c>
      <c r="D244" s="50">
        <v>0</v>
      </c>
      <c r="E244" s="10">
        <f ca="1" t="shared" si="67"/>
        <v>18.9</v>
      </c>
      <c r="F244" s="10">
        <f ca="1" t="shared" si="67"/>
        <v>5.33</v>
      </c>
      <c r="G244" s="10">
        <f ca="1" t="shared" si="67"/>
        <v>0</v>
      </c>
      <c r="H244" s="10">
        <f t="shared" si="59"/>
        <v>18.9</v>
      </c>
      <c r="I244" s="10">
        <f>IF((SUM(H$36:H244)&gt;GDD_budbreak),(IF(((E244-10)&gt;0),(E244-10),0)),0)</f>
        <v>8.899999999999999</v>
      </c>
      <c r="J244" s="4">
        <f>IF((B244&lt;LeafDropDay),(SUM(I$36:I244)),0)</f>
        <v>958.2000000000004</v>
      </c>
      <c r="K244" s="4">
        <f t="shared" si="53"/>
        <v>1.50989496508197</v>
      </c>
      <c r="L244" s="4">
        <f t="shared" si="54"/>
        <v>0.5958369846436133</v>
      </c>
      <c r="M244" s="4">
        <f t="shared" si="60"/>
        <v>0.6100691233633969</v>
      </c>
      <c r="N244" s="4">
        <f t="shared" si="55"/>
        <v>0.363501746889019</v>
      </c>
      <c r="O244" s="4">
        <f t="shared" si="61"/>
        <v>0</v>
      </c>
      <c r="P244" s="10">
        <f t="shared" si="62"/>
        <v>0</v>
      </c>
      <c r="Q244" s="10">
        <f t="shared" si="63"/>
        <v>-1.9374643109184713</v>
      </c>
      <c r="R244" s="4">
        <f t="shared" si="64"/>
        <v>0</v>
      </c>
      <c r="S244" s="4">
        <f t="shared" si="56"/>
        <v>0</v>
      </c>
      <c r="T244" s="4">
        <f t="shared" si="66"/>
        <v>157.43567138261056</v>
      </c>
      <c r="U244" s="4">
        <f t="shared" si="65"/>
        <v>157.43567138261056</v>
      </c>
      <c r="V244" s="4">
        <f t="shared" si="57"/>
        <v>0</v>
      </c>
      <c r="W244" s="4">
        <f t="shared" si="58"/>
        <v>8.296889288203795</v>
      </c>
    </row>
    <row r="245" spans="2:23" ht="12.75">
      <c r="B245" s="19">
        <v>210</v>
      </c>
      <c r="C245" s="58">
        <v>37100</v>
      </c>
      <c r="D245" s="50">
        <v>0</v>
      </c>
      <c r="E245" s="10">
        <f ca="1" t="shared" si="67"/>
        <v>17.5</v>
      </c>
      <c r="F245" s="10">
        <f ca="1" t="shared" si="67"/>
        <v>5.076</v>
      </c>
      <c r="G245" s="10">
        <f ca="1" t="shared" si="67"/>
        <v>0</v>
      </c>
      <c r="H245" s="10">
        <f t="shared" si="59"/>
        <v>17.5</v>
      </c>
      <c r="I245" s="10">
        <f>IF((SUM(H$36:H245)&gt;GDD_budbreak),(IF(((E245-10)&gt;0),(E245-10),0)),0)</f>
        <v>7.5</v>
      </c>
      <c r="J245" s="4">
        <f>IF((B245&lt;LeafDropDay),(SUM(I$36:I245)),0)</f>
        <v>965.7000000000004</v>
      </c>
      <c r="K245" s="4">
        <f t="shared" si="53"/>
        <v>1.5098959824871345</v>
      </c>
      <c r="L245" s="4">
        <f t="shared" si="54"/>
        <v>0.5958372313620616</v>
      </c>
      <c r="M245" s="4">
        <f t="shared" si="60"/>
        <v>0.5290158159708864</v>
      </c>
      <c r="N245" s="4">
        <f t="shared" si="55"/>
        <v>0.31520731913483485</v>
      </c>
      <c r="O245" s="4">
        <f t="shared" si="61"/>
        <v>0</v>
      </c>
      <c r="P245" s="10">
        <f t="shared" si="62"/>
        <v>0</v>
      </c>
      <c r="Q245" s="10">
        <f t="shared" si="63"/>
        <v>-1.5999923519284216</v>
      </c>
      <c r="R245" s="4">
        <f t="shared" si="64"/>
        <v>0</v>
      </c>
      <c r="S245" s="4">
        <f t="shared" si="56"/>
        <v>0</v>
      </c>
      <c r="T245" s="4">
        <f t="shared" si="66"/>
        <v>155.83567903068214</v>
      </c>
      <c r="U245" s="4">
        <f t="shared" si="65"/>
        <v>155.83567903068214</v>
      </c>
      <c r="V245" s="4">
        <f t="shared" si="57"/>
        <v>0</v>
      </c>
      <c r="W245" s="4">
        <f t="shared" si="58"/>
        <v>8.802513226604935</v>
      </c>
    </row>
    <row r="246" spans="2:23" ht="12.75">
      <c r="B246" s="19">
        <v>211</v>
      </c>
      <c r="C246" s="58">
        <v>37101</v>
      </c>
      <c r="D246" s="50">
        <v>0</v>
      </c>
      <c r="E246" s="10">
        <f ca="1" t="shared" si="67"/>
        <v>18.9</v>
      </c>
      <c r="F246" s="10">
        <f ca="1" t="shared" si="67"/>
        <v>5.838</v>
      </c>
      <c r="G246" s="10">
        <f ca="1" t="shared" si="67"/>
        <v>0</v>
      </c>
      <c r="H246" s="10">
        <f t="shared" si="59"/>
        <v>18.9</v>
      </c>
      <c r="I246" s="10">
        <f>IF((SUM(H$36:H246)&gt;GDD_budbreak),(IF(((E246-10)&gt;0),(E246-10),0)),0)</f>
        <v>8.899999999999999</v>
      </c>
      <c r="J246" s="4">
        <f>IF((B246&lt;LeafDropDay),(SUM(I$36:I246)),0)</f>
        <v>974.6000000000004</v>
      </c>
      <c r="K246" s="4">
        <f t="shared" si="53"/>
        <v>1.5098968896834162</v>
      </c>
      <c r="L246" s="4">
        <f t="shared" si="54"/>
        <v>0.5958374513549782</v>
      </c>
      <c r="M246" s="4">
        <f t="shared" si="60"/>
        <v>0.45678382477072355</v>
      </c>
      <c r="N246" s="4">
        <f t="shared" si="55"/>
        <v>0.2721689099715669</v>
      </c>
      <c r="O246" s="4">
        <f t="shared" si="61"/>
        <v>0</v>
      </c>
      <c r="P246" s="10">
        <f t="shared" si="62"/>
        <v>0</v>
      </c>
      <c r="Q246" s="10">
        <f t="shared" si="63"/>
        <v>-1.5889220964140076</v>
      </c>
      <c r="R246" s="4">
        <f t="shared" si="64"/>
        <v>0</v>
      </c>
      <c r="S246" s="4">
        <f t="shared" si="56"/>
        <v>0</v>
      </c>
      <c r="T246" s="4">
        <f t="shared" si="66"/>
        <v>154.24675693426815</v>
      </c>
      <c r="U246" s="4">
        <f t="shared" si="65"/>
        <v>154.24675693426815</v>
      </c>
      <c r="V246" s="4">
        <f t="shared" si="57"/>
        <v>0</v>
      </c>
      <c r="W246" s="4">
        <f t="shared" si="58"/>
        <v>9.340770597142876</v>
      </c>
    </row>
    <row r="247" spans="2:23" ht="12.75">
      <c r="B247" s="19">
        <v>212</v>
      </c>
      <c r="C247" s="58">
        <v>37102</v>
      </c>
      <c r="D247" s="50">
        <v>0</v>
      </c>
      <c r="E247" s="10">
        <f ca="1" t="shared" si="67"/>
        <v>20</v>
      </c>
      <c r="F247" s="10">
        <f ca="1" t="shared" si="67"/>
        <v>5.584</v>
      </c>
      <c r="G247" s="10">
        <f ca="1" t="shared" si="67"/>
        <v>0</v>
      </c>
      <c r="H247" s="10">
        <f t="shared" si="59"/>
        <v>20</v>
      </c>
      <c r="I247" s="10">
        <f>IF((SUM(H$36:H247)&gt;GDD_budbreak),(IF(((E247-10)&gt;0),(E247-10),0)),0)</f>
        <v>10</v>
      </c>
      <c r="J247" s="4">
        <f>IF((B247&lt;LeafDropDay),(SUM(I$36:I247)),0)</f>
        <v>984.6000000000004</v>
      </c>
      <c r="K247" s="4">
        <f t="shared" si="53"/>
        <v>1.5098974732765544</v>
      </c>
      <c r="L247" s="4">
        <f t="shared" si="54"/>
        <v>0.5958375928748475</v>
      </c>
      <c r="M247" s="4">
        <f t="shared" si="60"/>
        <v>0.3798899146938748</v>
      </c>
      <c r="N247" s="4">
        <f t="shared" si="55"/>
        <v>0.2263526923286295</v>
      </c>
      <c r="O247" s="4">
        <f t="shared" si="61"/>
        <v>0</v>
      </c>
      <c r="P247" s="10">
        <f t="shared" si="62"/>
        <v>0</v>
      </c>
      <c r="Q247" s="10">
        <f t="shared" si="63"/>
        <v>-1.2639534339630671</v>
      </c>
      <c r="R247" s="4">
        <f t="shared" si="64"/>
        <v>0</v>
      </c>
      <c r="S247" s="4">
        <f t="shared" si="56"/>
        <v>0</v>
      </c>
      <c r="T247" s="4">
        <f t="shared" si="66"/>
        <v>152.98280350030507</v>
      </c>
      <c r="U247" s="4">
        <f t="shared" si="65"/>
        <v>152.98280350030507</v>
      </c>
      <c r="V247" s="4">
        <f t="shared" si="57"/>
        <v>0</v>
      </c>
      <c r="W247" s="4">
        <f t="shared" si="58"/>
        <v>9.796643659217947</v>
      </c>
    </row>
    <row r="248" spans="2:23" ht="12.75">
      <c r="B248" s="19">
        <v>213</v>
      </c>
      <c r="C248" s="58">
        <v>37103</v>
      </c>
      <c r="D248" s="50">
        <v>0</v>
      </c>
      <c r="E248" s="10">
        <f ca="1" t="shared" si="67"/>
        <v>18.05</v>
      </c>
      <c r="F248" s="10">
        <f ca="1" t="shared" si="67"/>
        <v>5.584</v>
      </c>
      <c r="G248" s="10">
        <f ca="1" t="shared" si="67"/>
        <v>0</v>
      </c>
      <c r="H248" s="10">
        <f t="shared" si="59"/>
        <v>18.05</v>
      </c>
      <c r="I248" s="10">
        <f>IF((SUM(H$36:H248)&gt;GDD_budbreak),(IF(((E248-10)&gt;0),(E248-10),0)),0)</f>
        <v>8.05</v>
      </c>
      <c r="J248" s="4">
        <f>IF((B248&lt;LeafDropDay),(SUM(I$36:I248)),0)</f>
        <v>992.6500000000003</v>
      </c>
      <c r="K248" s="4">
        <f t="shared" si="53"/>
        <v>1.5098980524207928</v>
      </c>
      <c r="L248" s="4">
        <f t="shared" si="54"/>
        <v>0.5958377333158209</v>
      </c>
      <c r="M248" s="4">
        <f t="shared" si="60"/>
        <v>0.31476519154029325</v>
      </c>
      <c r="N248" s="4">
        <f t="shared" si="55"/>
        <v>0.18754897825408853</v>
      </c>
      <c r="O248" s="4">
        <f t="shared" si="61"/>
        <v>0</v>
      </c>
      <c r="P248" s="10">
        <f t="shared" si="62"/>
        <v>0</v>
      </c>
      <c r="Q248" s="10">
        <f t="shared" si="63"/>
        <v>-1.0472734945708304</v>
      </c>
      <c r="R248" s="4">
        <f t="shared" si="64"/>
        <v>0</v>
      </c>
      <c r="S248" s="4">
        <f t="shared" si="56"/>
        <v>0</v>
      </c>
      <c r="T248" s="4">
        <f t="shared" si="66"/>
        <v>151.93553000573425</v>
      </c>
      <c r="U248" s="4">
        <f t="shared" si="65"/>
        <v>151.93553000573425</v>
      </c>
      <c r="V248" s="4">
        <f t="shared" si="57"/>
        <v>0</v>
      </c>
      <c r="W248" s="4">
        <f t="shared" si="58"/>
        <v>10.194224063909719</v>
      </c>
    </row>
    <row r="249" spans="2:23" ht="12.75">
      <c r="B249" s="19">
        <v>214</v>
      </c>
      <c r="C249" s="58">
        <v>37104</v>
      </c>
      <c r="D249" s="50">
        <v>0</v>
      </c>
      <c r="E249" s="10">
        <f ca="1" t="shared" si="67"/>
        <v>20</v>
      </c>
      <c r="F249" s="10">
        <f ca="1" t="shared" si="67"/>
        <v>5.584</v>
      </c>
      <c r="G249" s="10">
        <f ca="1" t="shared" si="67"/>
        <v>0</v>
      </c>
      <c r="H249" s="10">
        <f t="shared" si="59"/>
        <v>20</v>
      </c>
      <c r="I249" s="10">
        <f>IF((SUM(H$36:H249)&gt;GDD_budbreak),(IF(((E249-10)&gt;0),(E249-10),0)),0)</f>
        <v>10</v>
      </c>
      <c r="J249" s="4">
        <f>IF((B249&lt;LeafDropDay),(SUM(I$36:I249)),0)</f>
        <v>1002.6500000000003</v>
      </c>
      <c r="K249" s="4">
        <f t="shared" si="53"/>
        <v>1.5098984685010803</v>
      </c>
      <c r="L249" s="4">
        <f t="shared" si="54"/>
        <v>0.5958378342141795</v>
      </c>
      <c r="M249" s="4">
        <f t="shared" si="60"/>
        <v>0.2579679908700402</v>
      </c>
      <c r="N249" s="4">
        <f t="shared" si="55"/>
        <v>0.15370708897658797</v>
      </c>
      <c r="O249" s="4">
        <f t="shared" si="61"/>
        <v>0</v>
      </c>
      <c r="P249" s="10">
        <f t="shared" si="62"/>
        <v>0</v>
      </c>
      <c r="Q249" s="10">
        <f t="shared" si="63"/>
        <v>-0.8583003848452672</v>
      </c>
      <c r="R249" s="4">
        <f t="shared" si="64"/>
        <v>0</v>
      </c>
      <c r="S249" s="4">
        <f t="shared" si="56"/>
        <v>0</v>
      </c>
      <c r="T249" s="4">
        <f t="shared" si="66"/>
        <v>151.07722962088897</v>
      </c>
      <c r="U249" s="4">
        <f t="shared" si="65"/>
        <v>151.07722962088897</v>
      </c>
      <c r="V249" s="4">
        <f t="shared" si="57"/>
        <v>0</v>
      </c>
      <c r="W249" s="4">
        <f t="shared" si="58"/>
        <v>10.5342246882824</v>
      </c>
    </row>
    <row r="250" spans="2:23" ht="12.75">
      <c r="B250" s="19">
        <v>215</v>
      </c>
      <c r="C250" s="58">
        <v>37105</v>
      </c>
      <c r="D250" s="50">
        <v>0</v>
      </c>
      <c r="E250" s="10">
        <f ca="1" t="shared" si="67"/>
        <v>19.15</v>
      </c>
      <c r="F250" s="10">
        <f ca="1" t="shared" si="67"/>
        <v>5.584</v>
      </c>
      <c r="G250" s="10">
        <f ca="1" t="shared" si="67"/>
        <v>0</v>
      </c>
      <c r="H250" s="10">
        <f t="shared" si="59"/>
        <v>19.15</v>
      </c>
      <c r="I250" s="10">
        <f>IF((SUM(H$36:H250)&gt;GDD_budbreak),(IF(((E250-10)&gt;0),(E250-10),0)),0)</f>
        <v>9.149999999999999</v>
      </c>
      <c r="J250" s="4">
        <f>IF((B250&lt;LeafDropDay),(SUM(I$36:I250)),0)</f>
        <v>1011.8000000000003</v>
      </c>
      <c r="K250" s="4">
        <f t="shared" si="53"/>
        <v>1.5098988250203487</v>
      </c>
      <c r="L250" s="4">
        <f t="shared" si="54"/>
        <v>0.59583792066913</v>
      </c>
      <c r="M250" s="4">
        <f t="shared" si="60"/>
        <v>0.2093964731025143</v>
      </c>
      <c r="N250" s="4">
        <f t="shared" si="55"/>
        <v>0.12476635912885153</v>
      </c>
      <c r="O250" s="4">
        <f t="shared" si="61"/>
        <v>0</v>
      </c>
      <c r="P250" s="10">
        <f t="shared" si="62"/>
        <v>0</v>
      </c>
      <c r="Q250" s="10">
        <f t="shared" si="63"/>
        <v>-0.6966953493755069</v>
      </c>
      <c r="R250" s="4">
        <f t="shared" si="64"/>
        <v>0</v>
      </c>
      <c r="S250" s="4">
        <f t="shared" si="56"/>
        <v>0</v>
      </c>
      <c r="T250" s="4">
        <f t="shared" si="66"/>
        <v>150.38053427151345</v>
      </c>
      <c r="U250" s="4">
        <f t="shared" si="65"/>
        <v>150.38053427151345</v>
      </c>
      <c r="V250" s="4">
        <f t="shared" si="57"/>
        <v>0</v>
      </c>
      <c r="W250" s="4">
        <f t="shared" si="58"/>
        <v>10.820015136227171</v>
      </c>
    </row>
    <row r="251" spans="2:23" ht="12.75">
      <c r="B251" s="19">
        <v>216</v>
      </c>
      <c r="C251" s="58">
        <v>37106</v>
      </c>
      <c r="D251" s="50">
        <v>0</v>
      </c>
      <c r="E251" s="10">
        <f ca="1" t="shared" si="67"/>
        <v>20</v>
      </c>
      <c r="F251" s="10">
        <f ca="1" t="shared" si="67"/>
        <v>5.584</v>
      </c>
      <c r="G251" s="10">
        <f ca="1" t="shared" si="67"/>
        <v>0</v>
      </c>
      <c r="H251" s="10">
        <f t="shared" si="59"/>
        <v>20</v>
      </c>
      <c r="I251" s="10">
        <f>IF((SUM(H$36:H251)&gt;GDD_budbreak),(IF(((E251-10)&gt;0),(E251-10),0)),0)</f>
        <v>10</v>
      </c>
      <c r="J251" s="4">
        <f>IF((B251&lt;LeafDropDay),(SUM(I$36:I251)),0)</f>
        <v>1021.8000000000003</v>
      </c>
      <c r="K251" s="4">
        <f t="shared" si="53"/>
        <v>1.5098991079531885</v>
      </c>
      <c r="L251" s="4">
        <f t="shared" si="54"/>
        <v>0.5958379892795591</v>
      </c>
      <c r="M251" s="4">
        <f t="shared" si="60"/>
        <v>0.16856926625326119</v>
      </c>
      <c r="N251" s="4">
        <f t="shared" si="55"/>
        <v>0.10043997265867378</v>
      </c>
      <c r="O251" s="4">
        <f t="shared" si="61"/>
        <v>0</v>
      </c>
      <c r="P251" s="10">
        <f t="shared" si="62"/>
        <v>0</v>
      </c>
      <c r="Q251" s="10">
        <f t="shared" si="63"/>
        <v>-0.5608568073260344</v>
      </c>
      <c r="R251" s="4">
        <f t="shared" si="64"/>
        <v>0</v>
      </c>
      <c r="S251" s="4">
        <f t="shared" si="56"/>
        <v>0</v>
      </c>
      <c r="T251" s="4">
        <f t="shared" si="66"/>
        <v>149.8196774641874</v>
      </c>
      <c r="U251" s="4">
        <f t="shared" si="65"/>
        <v>149.8196774641874</v>
      </c>
      <c r="V251" s="4">
        <f t="shared" si="57"/>
        <v>0</v>
      </c>
      <c r="W251" s="4">
        <f t="shared" si="58"/>
        <v>11.05670468296749</v>
      </c>
    </row>
    <row r="252" spans="2:23" ht="12.75">
      <c r="B252" s="19">
        <v>217</v>
      </c>
      <c r="C252" s="58">
        <v>37107</v>
      </c>
      <c r="D252" s="50">
        <v>0</v>
      </c>
      <c r="E252" s="10">
        <f ca="1" t="shared" si="67"/>
        <v>20.3</v>
      </c>
      <c r="F252" s="10">
        <f ca="1" t="shared" si="67"/>
        <v>6.091</v>
      </c>
      <c r="G252" s="10">
        <f ca="1" t="shared" si="67"/>
        <v>0</v>
      </c>
      <c r="H252" s="10">
        <f t="shared" si="59"/>
        <v>20.3</v>
      </c>
      <c r="I252" s="10">
        <f>IF((SUM(H$36:H252)&gt;GDD_budbreak),(IF(((E252-10)&gt;0),(E252-10),0)),0)</f>
        <v>10.3</v>
      </c>
      <c r="J252" s="4">
        <f>IF((B252&lt;LeafDropDay),(SUM(I$36:I252)),0)</f>
        <v>1032.1000000000004</v>
      </c>
      <c r="K252" s="4">
        <f t="shared" si="53"/>
        <v>1.5098993443643212</v>
      </c>
      <c r="L252" s="4">
        <f t="shared" si="54"/>
        <v>0.5958380466085943</v>
      </c>
      <c r="M252" s="4">
        <f t="shared" si="60"/>
        <v>0.13475647386178713</v>
      </c>
      <c r="N252" s="4">
        <f t="shared" si="55"/>
        <v>0.08029303415366934</v>
      </c>
      <c r="O252" s="4">
        <f t="shared" si="61"/>
        <v>0</v>
      </c>
      <c r="P252" s="10">
        <f t="shared" si="62"/>
        <v>0</v>
      </c>
      <c r="Q252" s="10">
        <f t="shared" si="63"/>
        <v>-0.48906487102999996</v>
      </c>
      <c r="R252" s="4">
        <f t="shared" si="64"/>
        <v>10</v>
      </c>
      <c r="S252" s="4">
        <f t="shared" si="56"/>
        <v>4.905280512</v>
      </c>
      <c r="T252" s="4">
        <f t="shared" si="66"/>
        <v>159.3306125931574</v>
      </c>
      <c r="U252" s="4">
        <f t="shared" si="65"/>
        <v>159.3306125931574</v>
      </c>
      <c r="V252" s="4">
        <f t="shared" si="57"/>
        <v>0</v>
      </c>
      <c r="W252" s="4">
        <f t="shared" si="58"/>
        <v>7.741470542191872</v>
      </c>
    </row>
    <row r="253" spans="2:23" ht="12.75">
      <c r="B253" s="19">
        <v>218</v>
      </c>
      <c r="C253" s="58">
        <v>37108</v>
      </c>
      <c r="D253" s="50">
        <v>0</v>
      </c>
      <c r="E253" s="10">
        <f ca="1" t="shared" si="67"/>
        <v>21.4</v>
      </c>
      <c r="F253" s="10">
        <f ca="1" t="shared" si="67"/>
        <v>6.345</v>
      </c>
      <c r="G253" s="10">
        <f ca="1" t="shared" si="67"/>
        <v>0</v>
      </c>
      <c r="H253" s="10">
        <f t="shared" si="59"/>
        <v>21.4</v>
      </c>
      <c r="I253" s="10">
        <f>IF((SUM(H$36:H253)&gt;GDD_budbreak),(IF(((E253-10)&gt;0),(E253-10),0)),0)</f>
        <v>11.399999999999999</v>
      </c>
      <c r="J253" s="4">
        <f>IF((B253&lt;LeafDropDay),(SUM(I$36:I253)),0)</f>
        <v>1043.5000000000005</v>
      </c>
      <c r="K253" s="4">
        <f t="shared" si="53"/>
        <v>1.5098995678507614</v>
      </c>
      <c r="L253" s="4">
        <f t="shared" si="54"/>
        <v>0.5958381008034204</v>
      </c>
      <c r="M253" s="4">
        <f t="shared" si="60"/>
        <v>0.6083613511154469</v>
      </c>
      <c r="N253" s="4">
        <f t="shared" si="55"/>
        <v>0.36248487205083063</v>
      </c>
      <c r="O253" s="4">
        <f t="shared" si="61"/>
        <v>0</v>
      </c>
      <c r="P253" s="10">
        <f t="shared" si="62"/>
        <v>0</v>
      </c>
      <c r="Q253" s="10">
        <f t="shared" si="63"/>
        <v>-2.2999665131625204</v>
      </c>
      <c r="R253" s="4">
        <f t="shared" si="64"/>
        <v>0</v>
      </c>
      <c r="S253" s="4">
        <f t="shared" si="56"/>
        <v>0</v>
      </c>
      <c r="T253" s="4">
        <f t="shared" si="66"/>
        <v>157.03064607999488</v>
      </c>
      <c r="U253" s="4">
        <f t="shared" si="65"/>
        <v>157.03064607999488</v>
      </c>
      <c r="V253" s="4">
        <f t="shared" si="57"/>
        <v>0</v>
      </c>
      <c r="W253" s="4">
        <f t="shared" si="58"/>
        <v>8.421590103719739</v>
      </c>
    </row>
    <row r="254" spans="2:23" ht="12.75">
      <c r="B254" s="19">
        <v>219</v>
      </c>
      <c r="C254" s="58">
        <v>37109</v>
      </c>
      <c r="D254" s="50">
        <v>0</v>
      </c>
      <c r="E254" s="10">
        <f ca="1" t="shared" si="67"/>
        <v>25.25</v>
      </c>
      <c r="F254" s="10">
        <f ca="1" t="shared" si="67"/>
        <v>6.345</v>
      </c>
      <c r="G254" s="10">
        <f ca="1" t="shared" si="67"/>
        <v>0</v>
      </c>
      <c r="H254" s="10">
        <f t="shared" si="59"/>
        <v>25.25</v>
      </c>
      <c r="I254" s="10">
        <f>IF((SUM(H$36:H254)&gt;GDD_budbreak),(IF(((E254-10)&gt;0),(E254-10),0)),0)</f>
        <v>15.25</v>
      </c>
      <c r="J254" s="4">
        <f>IF((B254&lt;LeafDropDay),(SUM(I$36:I254)),0)</f>
        <v>1058.7500000000005</v>
      </c>
      <c r="K254" s="4">
        <f t="shared" si="53"/>
        <v>1.5098996988550986</v>
      </c>
      <c r="L254" s="4">
        <f t="shared" si="54"/>
        <v>0.5958381325715962</v>
      </c>
      <c r="M254" s="4">
        <f t="shared" si="60"/>
        <v>0.511201413754323</v>
      </c>
      <c r="N254" s="4">
        <f t="shared" si="55"/>
        <v>0.30459329573933575</v>
      </c>
      <c r="O254" s="4">
        <f t="shared" si="61"/>
        <v>0</v>
      </c>
      <c r="P254" s="10">
        <f t="shared" si="62"/>
        <v>0</v>
      </c>
      <c r="Q254" s="10">
        <f t="shared" si="63"/>
        <v>-1.9326444614660852</v>
      </c>
      <c r="R254" s="4">
        <f t="shared" si="64"/>
        <v>0</v>
      </c>
      <c r="S254" s="4">
        <f t="shared" si="56"/>
        <v>0</v>
      </c>
      <c r="T254" s="4">
        <f t="shared" si="66"/>
        <v>155.0980016185288</v>
      </c>
      <c r="U254" s="4">
        <f t="shared" si="65"/>
        <v>155.0980016185288</v>
      </c>
      <c r="V254" s="4">
        <f t="shared" si="57"/>
        <v>0</v>
      </c>
      <c r="W254" s="4">
        <f t="shared" si="58"/>
        <v>9.04775203270859</v>
      </c>
    </row>
    <row r="255" spans="2:23" ht="12.75">
      <c r="B255" s="19">
        <v>220</v>
      </c>
      <c r="C255" s="58">
        <v>37110</v>
      </c>
      <c r="D255" s="50">
        <v>0</v>
      </c>
      <c r="E255" s="10">
        <f ca="1" t="shared" si="67"/>
        <v>23.05</v>
      </c>
      <c r="F255" s="10">
        <f ca="1" t="shared" si="67"/>
        <v>6.091</v>
      </c>
      <c r="G255" s="10">
        <f ca="1" t="shared" si="67"/>
        <v>0</v>
      </c>
      <c r="H255" s="10">
        <f t="shared" si="59"/>
        <v>23.05</v>
      </c>
      <c r="I255" s="10">
        <f>IF((SUM(H$36:H255)&gt;GDD_budbreak),(IF(((E255-10)&gt;0),(E255-10),0)),0)</f>
        <v>13.05</v>
      </c>
      <c r="J255" s="4">
        <f>IF((B255&lt;LeafDropDay),(SUM(I$36:I255)),0)</f>
        <v>1071.8000000000004</v>
      </c>
      <c r="K255" s="4">
        <f t="shared" si="53"/>
        <v>1.5098997687564732</v>
      </c>
      <c r="L255" s="4">
        <f t="shared" si="54"/>
        <v>0.5958381495224779</v>
      </c>
      <c r="M255" s="4">
        <f t="shared" si="60"/>
        <v>0.42174970961305847</v>
      </c>
      <c r="N255" s="4">
        <f t="shared" si="55"/>
        <v>0.25129456653748716</v>
      </c>
      <c r="O255" s="4">
        <f t="shared" si="61"/>
        <v>0</v>
      </c>
      <c r="P255" s="10">
        <f t="shared" si="62"/>
        <v>0</v>
      </c>
      <c r="Q255" s="10">
        <f t="shared" si="63"/>
        <v>-1.5306352047798344</v>
      </c>
      <c r="R255" s="4">
        <f t="shared" si="64"/>
        <v>0</v>
      </c>
      <c r="S255" s="4">
        <f t="shared" si="56"/>
        <v>0</v>
      </c>
      <c r="T255" s="4">
        <f t="shared" si="66"/>
        <v>153.56736641374897</v>
      </c>
      <c r="U255" s="4">
        <f t="shared" si="65"/>
        <v>153.56736641374897</v>
      </c>
      <c r="V255" s="4">
        <f t="shared" si="57"/>
        <v>0</v>
      </c>
      <c r="W255" s="4">
        <f t="shared" si="58"/>
        <v>9.582639316174586</v>
      </c>
    </row>
    <row r="256" spans="2:23" ht="12.75">
      <c r="B256" s="19">
        <v>221</v>
      </c>
      <c r="C256" s="58">
        <v>37111</v>
      </c>
      <c r="D256" s="50">
        <v>0</v>
      </c>
      <c r="E256" s="10">
        <f ca="1" t="shared" si="68" ref="E256:G275">INDIRECT(WeatherSheet&amp;"!"&amp;E625)</f>
        <v>19.45</v>
      </c>
      <c r="F256" s="10">
        <f ca="1" t="shared" si="68"/>
        <v>5.584</v>
      </c>
      <c r="G256" s="10">
        <f ca="1" t="shared" si="68"/>
        <v>0</v>
      </c>
      <c r="H256" s="10">
        <f t="shared" si="59"/>
        <v>19.45</v>
      </c>
      <c r="I256" s="10">
        <f>IF((SUM(H$36:H256)&gt;GDD_budbreak),(IF(((E256-10)&gt;0),(E256-10),0)),0)</f>
        <v>9.45</v>
      </c>
      <c r="J256" s="4">
        <f>IF((B256&lt;LeafDropDay),(SUM(I$36:I256)),0)</f>
        <v>1081.2500000000005</v>
      </c>
      <c r="K256" s="4">
        <f t="shared" si="53"/>
        <v>1.5098998255524845</v>
      </c>
      <c r="L256" s="4">
        <f t="shared" si="54"/>
        <v>0.5958381632953462</v>
      </c>
      <c r="M256" s="4">
        <f t="shared" si="60"/>
        <v>0.34533724054648773</v>
      </c>
      <c r="N256" s="4">
        <f t="shared" si="55"/>
        <v>0.20576510712470242</v>
      </c>
      <c r="O256" s="4">
        <f t="shared" si="61"/>
        <v>0</v>
      </c>
      <c r="P256" s="10">
        <f t="shared" si="62"/>
        <v>0</v>
      </c>
      <c r="Q256" s="10">
        <f t="shared" si="63"/>
        <v>-1.1489923581843382</v>
      </c>
      <c r="R256" s="4">
        <f t="shared" si="64"/>
        <v>0</v>
      </c>
      <c r="S256" s="4">
        <f t="shared" si="56"/>
        <v>0</v>
      </c>
      <c r="T256" s="4">
        <f t="shared" si="66"/>
        <v>152.41837405556464</v>
      </c>
      <c r="U256" s="4">
        <f t="shared" si="65"/>
        <v>152.41837405556464</v>
      </c>
      <c r="V256" s="4">
        <f t="shared" si="57"/>
        <v>0</v>
      </c>
      <c r="W256" s="4">
        <f t="shared" si="58"/>
        <v>10.008614284848043</v>
      </c>
    </row>
    <row r="257" spans="2:23" ht="12.75">
      <c r="B257" s="19">
        <v>222</v>
      </c>
      <c r="C257" s="58">
        <v>37112</v>
      </c>
      <c r="D257" s="50">
        <v>0</v>
      </c>
      <c r="E257" s="10">
        <f ca="1" t="shared" si="68"/>
        <v>20</v>
      </c>
      <c r="F257" s="10">
        <f ca="1" t="shared" si="68"/>
        <v>5.33</v>
      </c>
      <c r="G257" s="10">
        <f ca="1" t="shared" si="68"/>
        <v>0</v>
      </c>
      <c r="H257" s="10">
        <f t="shared" si="59"/>
        <v>20</v>
      </c>
      <c r="I257" s="10">
        <f>IF((SUM(H$36:H257)&gt;GDD_budbreak),(IF(((E257-10)&gt;0),(E257-10),0)),0)</f>
        <v>10</v>
      </c>
      <c r="J257" s="4">
        <f>IF((B257&lt;LeafDropDay),(SUM(I$36:I257)),0)</f>
        <v>1091.2500000000005</v>
      </c>
      <c r="K257" s="4">
        <f t="shared" si="53"/>
        <v>1.5098998643375214</v>
      </c>
      <c r="L257" s="4">
        <f t="shared" si="54"/>
        <v>0.5958381727006052</v>
      </c>
      <c r="M257" s="4">
        <f t="shared" si="60"/>
        <v>0.28448367359313664</v>
      </c>
      <c r="N257" s="4">
        <f t="shared" si="55"/>
        <v>0.16950623223688996</v>
      </c>
      <c r="O257" s="4">
        <f t="shared" si="61"/>
        <v>0</v>
      </c>
      <c r="P257" s="10">
        <f t="shared" si="62"/>
        <v>0</v>
      </c>
      <c r="Q257" s="10">
        <f t="shared" si="63"/>
        <v>-0.9034682178226235</v>
      </c>
      <c r="R257" s="4">
        <f t="shared" si="64"/>
        <v>0</v>
      </c>
      <c r="S257" s="4">
        <f t="shared" si="56"/>
        <v>0</v>
      </c>
      <c r="T257" s="4">
        <f t="shared" si="66"/>
        <v>151.51490583774202</v>
      </c>
      <c r="U257" s="4">
        <f t="shared" si="65"/>
        <v>151.51490583774202</v>
      </c>
      <c r="V257" s="4">
        <f t="shared" si="57"/>
        <v>0</v>
      </c>
      <c r="W257" s="4">
        <f t="shared" si="58"/>
        <v>10.359212753045602</v>
      </c>
    </row>
    <row r="258" spans="2:23" ht="12.75">
      <c r="B258" s="19">
        <v>223</v>
      </c>
      <c r="C258" s="58">
        <v>37113</v>
      </c>
      <c r="D258" s="50">
        <v>0</v>
      </c>
      <c r="E258" s="10">
        <f ca="1" t="shared" si="68"/>
        <v>18.85</v>
      </c>
      <c r="F258" s="10">
        <f ca="1" t="shared" si="68"/>
        <v>5.838</v>
      </c>
      <c r="G258" s="10">
        <f ca="1" t="shared" si="68"/>
        <v>0</v>
      </c>
      <c r="H258" s="10">
        <f t="shared" si="59"/>
        <v>18.85</v>
      </c>
      <c r="I258" s="10">
        <f>IF((SUM(H$36:H258)&gt;GDD_budbreak),(IF(((E258-10)&gt;0),(E258-10),0)),0)</f>
        <v>8.850000000000001</v>
      </c>
      <c r="J258" s="4">
        <f>IF((B258&lt;LeafDropDay),(SUM(I$36:I258)),0)</f>
        <v>1100.1000000000004</v>
      </c>
      <c r="K258" s="4">
        <f t="shared" si="53"/>
        <v>1.5098998913193027</v>
      </c>
      <c r="L258" s="4">
        <f t="shared" si="54"/>
        <v>0.5958381792436087</v>
      </c>
      <c r="M258" s="4">
        <f t="shared" si="60"/>
        <v>0.23439817813634256</v>
      </c>
      <c r="N258" s="4">
        <f t="shared" si="55"/>
        <v>0.1396633836787774</v>
      </c>
      <c r="O258" s="4">
        <f t="shared" si="61"/>
        <v>0</v>
      </c>
      <c r="P258" s="10">
        <f t="shared" si="62"/>
        <v>0</v>
      </c>
      <c r="Q258" s="10">
        <f t="shared" si="63"/>
        <v>-0.8153548339167025</v>
      </c>
      <c r="R258" s="4">
        <f t="shared" si="64"/>
        <v>0</v>
      </c>
      <c r="S258" s="4">
        <f t="shared" si="56"/>
        <v>0</v>
      </c>
      <c r="T258" s="4">
        <f t="shared" si="66"/>
        <v>150.69955100382532</v>
      </c>
      <c r="U258" s="4">
        <f t="shared" si="65"/>
        <v>150.69955100382532</v>
      </c>
      <c r="V258" s="4">
        <f t="shared" si="57"/>
        <v>0</v>
      </c>
      <c r="W258" s="4">
        <f t="shared" si="58"/>
        <v>10.68803774112507</v>
      </c>
    </row>
    <row r="259" spans="2:23" ht="12.75">
      <c r="B259" s="19">
        <v>224</v>
      </c>
      <c r="C259" s="58">
        <v>37114</v>
      </c>
      <c r="D259" s="50">
        <v>0</v>
      </c>
      <c r="E259" s="10">
        <f ca="1" t="shared" si="68"/>
        <v>17.75</v>
      </c>
      <c r="F259" s="10">
        <f ca="1" t="shared" si="68"/>
        <v>4.822</v>
      </c>
      <c r="G259" s="10">
        <f ca="1" t="shared" si="68"/>
        <v>0</v>
      </c>
      <c r="H259" s="10">
        <f t="shared" si="59"/>
        <v>17.75</v>
      </c>
      <c r="I259" s="10">
        <f>IF((SUM(H$36:H259)&gt;GDD_budbreak),(IF(((E259-10)&gt;0),(E259-10),0)),0)</f>
        <v>7.75</v>
      </c>
      <c r="J259" s="4">
        <f>IF((B259&lt;LeafDropDay),(SUM(I$36:I259)),0)</f>
        <v>1107.8500000000004</v>
      </c>
      <c r="K259" s="4">
        <f t="shared" si="53"/>
        <v>1.509899913811513</v>
      </c>
      <c r="L259" s="4">
        <f t="shared" si="54"/>
        <v>0.5958381846979044</v>
      </c>
      <c r="M259" s="4">
        <f t="shared" si="60"/>
        <v>0.1874231798392757</v>
      </c>
      <c r="N259" s="4">
        <f t="shared" si="55"/>
        <v>0.11167388724574291</v>
      </c>
      <c r="O259" s="4">
        <f t="shared" si="61"/>
        <v>0</v>
      </c>
      <c r="P259" s="10">
        <f t="shared" si="62"/>
        <v>0</v>
      </c>
      <c r="Q259" s="10">
        <f t="shared" si="63"/>
        <v>-0.5384914842989723</v>
      </c>
      <c r="R259" s="4">
        <f t="shared" si="64"/>
        <v>0</v>
      </c>
      <c r="S259" s="4">
        <f t="shared" si="56"/>
        <v>0</v>
      </c>
      <c r="T259" s="4">
        <f t="shared" si="66"/>
        <v>150.16105951952636</v>
      </c>
      <c r="U259" s="4">
        <f t="shared" si="65"/>
        <v>150.16105951952636</v>
      </c>
      <c r="V259" s="4">
        <f t="shared" si="57"/>
        <v>0</v>
      </c>
      <c r="W259" s="4">
        <f t="shared" si="58"/>
        <v>10.911922058773248</v>
      </c>
    </row>
    <row r="260" spans="2:23" ht="12.75">
      <c r="B260" s="19">
        <v>225</v>
      </c>
      <c r="C260" s="58">
        <v>37115</v>
      </c>
      <c r="D260" s="50">
        <v>0</v>
      </c>
      <c r="E260" s="10">
        <f ca="1" t="shared" si="68"/>
        <v>18.05</v>
      </c>
      <c r="F260" s="10">
        <f ca="1" t="shared" si="68"/>
        <v>5.076</v>
      </c>
      <c r="G260" s="10">
        <f ca="1" t="shared" si="68"/>
        <v>0</v>
      </c>
      <c r="H260" s="10">
        <f t="shared" si="59"/>
        <v>18.05</v>
      </c>
      <c r="I260" s="10">
        <f>IF((SUM(H$36:H260)&gt;GDD_budbreak),(IF(((E260-10)&gt;0),(E260-10),0)),0)</f>
        <v>8.05</v>
      </c>
      <c r="J260" s="4">
        <f>IF((B260&lt;LeafDropDay),(SUM(I$36:I260)),0)</f>
        <v>1115.9000000000003</v>
      </c>
      <c r="K260" s="4">
        <f t="shared" si="53"/>
        <v>1.5098999322504345</v>
      </c>
      <c r="L260" s="4">
        <f t="shared" si="54"/>
        <v>0.5958381891692891</v>
      </c>
      <c r="M260" s="4">
        <f t="shared" si="60"/>
        <v>0.15543970588953593</v>
      </c>
      <c r="N260" s="4">
        <f t="shared" si="55"/>
        <v>0.09261691288222797</v>
      </c>
      <c r="O260" s="4">
        <f t="shared" si="61"/>
        <v>0</v>
      </c>
      <c r="P260" s="10">
        <f t="shared" si="62"/>
        <v>0</v>
      </c>
      <c r="Q260" s="10">
        <f t="shared" si="63"/>
        <v>-0.4701234497901891</v>
      </c>
      <c r="R260" s="4">
        <f t="shared" si="64"/>
        <v>10</v>
      </c>
      <c r="S260" s="4">
        <f t="shared" si="56"/>
        <v>4.905280512</v>
      </c>
      <c r="T260" s="4">
        <f t="shared" si="66"/>
        <v>159.69093606973618</v>
      </c>
      <c r="U260" s="4">
        <f t="shared" si="65"/>
        <v>159.69093606973618</v>
      </c>
      <c r="V260" s="4">
        <f t="shared" si="57"/>
        <v>0</v>
      </c>
      <c r="W260" s="4">
        <f t="shared" si="58"/>
        <v>7.640855973427003</v>
      </c>
    </row>
    <row r="261" spans="2:23" ht="12.75">
      <c r="B261" s="19">
        <v>226</v>
      </c>
      <c r="C261" s="58">
        <v>37116</v>
      </c>
      <c r="D261" s="50">
        <v>0</v>
      </c>
      <c r="E261" s="10">
        <f ca="1" t="shared" si="68"/>
        <v>18.3</v>
      </c>
      <c r="F261" s="10">
        <f ca="1" t="shared" si="68"/>
        <v>5.076</v>
      </c>
      <c r="G261" s="10">
        <f ca="1" t="shared" si="68"/>
        <v>0</v>
      </c>
      <c r="H261" s="10">
        <f t="shared" si="59"/>
        <v>18.3</v>
      </c>
      <c r="I261" s="10">
        <f>IF((SUM(H$36:H261)&gt;GDD_budbreak),(IF(((E261-10)&gt;0),(E261-10),0)),0)</f>
        <v>8.3</v>
      </c>
      <c r="J261" s="4">
        <f>IF((B261&lt;LeafDropDay),(SUM(I$36:I261)),0)</f>
        <v>1124.2000000000003</v>
      </c>
      <c r="K261" s="4">
        <f t="shared" si="53"/>
        <v>1.509899947683326</v>
      </c>
      <c r="L261" s="4">
        <f t="shared" si="54"/>
        <v>0.5958381929117202</v>
      </c>
      <c r="M261" s="4">
        <f t="shared" si="60"/>
        <v>0.6227348609389995</v>
      </c>
      <c r="N261" s="4">
        <f t="shared" si="55"/>
        <v>0.3710492142050249</v>
      </c>
      <c r="O261" s="4">
        <f t="shared" si="61"/>
        <v>0</v>
      </c>
      <c r="P261" s="10">
        <f t="shared" si="62"/>
        <v>0</v>
      </c>
      <c r="Q261" s="10">
        <f t="shared" si="63"/>
        <v>-1.8834458113047063</v>
      </c>
      <c r="R261" s="4">
        <f t="shared" si="64"/>
        <v>0</v>
      </c>
      <c r="S261" s="4">
        <f t="shared" si="56"/>
        <v>0</v>
      </c>
      <c r="T261" s="4">
        <f t="shared" si="66"/>
        <v>157.80749025843147</v>
      </c>
      <c r="U261" s="4">
        <f t="shared" si="65"/>
        <v>157.80749025843147</v>
      </c>
      <c r="V261" s="4">
        <f t="shared" si="57"/>
        <v>0</v>
      </c>
      <c r="W261" s="4">
        <f t="shared" si="58"/>
        <v>8.184314677587823</v>
      </c>
    </row>
    <row r="262" spans="2:23" ht="12.75">
      <c r="B262" s="19">
        <v>227</v>
      </c>
      <c r="C262" s="58">
        <v>37117</v>
      </c>
      <c r="D262" s="50">
        <v>0</v>
      </c>
      <c r="E262" s="10">
        <f ca="1" t="shared" si="68"/>
        <v>18.85</v>
      </c>
      <c r="F262" s="10">
        <f ca="1" t="shared" si="68"/>
        <v>5.076</v>
      </c>
      <c r="G262" s="10">
        <f ca="1" t="shared" si="68"/>
        <v>0</v>
      </c>
      <c r="H262" s="10">
        <f t="shared" si="59"/>
        <v>18.85</v>
      </c>
      <c r="I262" s="10">
        <f>IF((SUM(H$36:H262)&gt;GDD_budbreak),(IF(((E262-10)&gt;0),(E262-10),0)),0)</f>
        <v>8.850000000000001</v>
      </c>
      <c r="J262" s="4">
        <f>IF((B262&lt;LeafDropDay),(SUM(I$36:I262)),0)</f>
        <v>1133.0500000000002</v>
      </c>
      <c r="K262" s="4">
        <f t="shared" si="53"/>
        <v>1.5098999641232207</v>
      </c>
      <c r="L262" s="4">
        <f t="shared" si="54"/>
        <v>0.5958381968983468</v>
      </c>
      <c r="M262" s="4">
        <f t="shared" si="60"/>
        <v>0.5450979032017396</v>
      </c>
      <c r="N262" s="4">
        <f t="shared" si="55"/>
        <v>0.3247901517767941</v>
      </c>
      <c r="O262" s="4">
        <f t="shared" si="61"/>
        <v>0</v>
      </c>
      <c r="P262" s="10">
        <f t="shared" si="62"/>
        <v>0</v>
      </c>
      <c r="Q262" s="10">
        <f t="shared" si="63"/>
        <v>-1.6486348104190067</v>
      </c>
      <c r="R262" s="4">
        <f t="shared" si="64"/>
        <v>0</v>
      </c>
      <c r="S262" s="4">
        <f t="shared" si="56"/>
        <v>0</v>
      </c>
      <c r="T262" s="4">
        <f t="shared" si="66"/>
        <v>156.15885544801247</v>
      </c>
      <c r="U262" s="4">
        <f t="shared" si="65"/>
        <v>156.15885544801247</v>
      </c>
      <c r="V262" s="4">
        <f t="shared" si="57"/>
        <v>0</v>
      </c>
      <c r="W262" s="4">
        <f t="shared" si="58"/>
        <v>8.697535012329137</v>
      </c>
    </row>
    <row r="263" spans="2:23" ht="12.75">
      <c r="B263" s="19">
        <v>228</v>
      </c>
      <c r="C263" s="58">
        <v>37118</v>
      </c>
      <c r="D263" s="50">
        <v>0</v>
      </c>
      <c r="E263" s="10">
        <f ca="1" t="shared" si="68"/>
        <v>22.8</v>
      </c>
      <c r="F263" s="10">
        <f ca="1" t="shared" si="68"/>
        <v>5.838</v>
      </c>
      <c r="G263" s="10">
        <f ca="1" t="shared" si="68"/>
        <v>0</v>
      </c>
      <c r="H263" s="10">
        <f t="shared" si="59"/>
        <v>22.8</v>
      </c>
      <c r="I263" s="10">
        <f>IF((SUM(H$36:H263)&gt;GDD_budbreak),(IF(((E263-10)&gt;0),(E263-10),0)),0)</f>
        <v>12.8</v>
      </c>
      <c r="J263" s="4">
        <f>IF((B263&lt;LeafDropDay),(SUM(I$36:I263)),0)</f>
        <v>1145.8500000000001</v>
      </c>
      <c r="K263" s="4">
        <f t="shared" si="53"/>
        <v>1.5098999748628246</v>
      </c>
      <c r="L263" s="4">
        <f t="shared" si="54"/>
        <v>0.5958381995026694</v>
      </c>
      <c r="M263" s="4">
        <f t="shared" si="60"/>
        <v>0.471780712524409</v>
      </c>
      <c r="N263" s="4">
        <f t="shared" si="55"/>
        <v>0.2811049703106303</v>
      </c>
      <c r="O263" s="4">
        <f t="shared" si="61"/>
        <v>0</v>
      </c>
      <c r="P263" s="10">
        <f t="shared" si="62"/>
        <v>0</v>
      </c>
      <c r="Q263" s="10">
        <f t="shared" si="63"/>
        <v>-1.6410908166734597</v>
      </c>
      <c r="R263" s="4">
        <f t="shared" si="64"/>
        <v>0</v>
      </c>
      <c r="S263" s="4">
        <f t="shared" si="56"/>
        <v>0</v>
      </c>
      <c r="T263" s="4">
        <f t="shared" si="66"/>
        <v>154.51776463133902</v>
      </c>
      <c r="U263" s="4">
        <f t="shared" si="65"/>
        <v>154.51776463133902</v>
      </c>
      <c r="V263" s="4">
        <f t="shared" si="57"/>
        <v>0</v>
      </c>
      <c r="W263" s="4">
        <f t="shared" si="58"/>
        <v>9.246291947305993</v>
      </c>
    </row>
    <row r="264" spans="2:23" ht="12.75">
      <c r="B264" s="19">
        <v>229</v>
      </c>
      <c r="C264" s="58">
        <v>37119</v>
      </c>
      <c r="D264" s="50">
        <v>0</v>
      </c>
      <c r="E264" s="10">
        <f ca="1" t="shared" si="68"/>
        <v>21.95</v>
      </c>
      <c r="F264" s="10">
        <f ca="1" t="shared" si="68"/>
        <v>5.838</v>
      </c>
      <c r="G264" s="10">
        <f ca="1" t="shared" si="68"/>
        <v>0</v>
      </c>
      <c r="H264" s="10">
        <f t="shared" si="59"/>
        <v>21.95</v>
      </c>
      <c r="I264" s="10">
        <f>IF((SUM(H$36:H264)&gt;GDD_budbreak),(IF(((E264-10)&gt;0),(E264-10),0)),0)</f>
        <v>11.95</v>
      </c>
      <c r="J264" s="4">
        <f>IF((B264&lt;LeafDropDay),(SUM(I$36:I264)),0)</f>
        <v>1157.8000000000002</v>
      </c>
      <c r="K264" s="4">
        <f t="shared" si="53"/>
        <v>1.509899981384222</v>
      </c>
      <c r="L264" s="4">
        <f t="shared" si="54"/>
        <v>0.5958382010840892</v>
      </c>
      <c r="M264" s="4">
        <f t="shared" si="60"/>
        <v>0.3933868646705724</v>
      </c>
      <c r="N264" s="4">
        <f t="shared" si="55"/>
        <v>0.2343949217754239</v>
      </c>
      <c r="O264" s="4">
        <f t="shared" si="61"/>
        <v>0</v>
      </c>
      <c r="P264" s="10">
        <f t="shared" si="62"/>
        <v>0</v>
      </c>
      <c r="Q264" s="10">
        <f t="shared" si="63"/>
        <v>-1.3683975533249246</v>
      </c>
      <c r="R264" s="4">
        <f t="shared" si="64"/>
        <v>0</v>
      </c>
      <c r="S264" s="4">
        <f t="shared" si="56"/>
        <v>0</v>
      </c>
      <c r="T264" s="4">
        <f t="shared" si="66"/>
        <v>153.1493670780141</v>
      </c>
      <c r="U264" s="4">
        <f t="shared" si="65"/>
        <v>153.1493670780141</v>
      </c>
      <c r="V264" s="4">
        <f t="shared" si="57"/>
        <v>0</v>
      </c>
      <c r="W264" s="4">
        <f t="shared" si="58"/>
        <v>9.735100043810663</v>
      </c>
    </row>
    <row r="265" spans="2:23" ht="12.75">
      <c r="B265" s="19">
        <v>230</v>
      </c>
      <c r="C265" s="58">
        <v>37120</v>
      </c>
      <c r="D265" s="50">
        <v>0</v>
      </c>
      <c r="E265" s="10">
        <f ca="1" t="shared" si="68"/>
        <v>20</v>
      </c>
      <c r="F265" s="10">
        <f ca="1" t="shared" si="68"/>
        <v>5.33</v>
      </c>
      <c r="G265" s="10">
        <f ca="1" t="shared" si="68"/>
        <v>0</v>
      </c>
      <c r="H265" s="10">
        <f t="shared" si="59"/>
        <v>20</v>
      </c>
      <c r="I265" s="10">
        <f>IF((SUM(H$36:H265)&gt;GDD_budbreak),(IF(((E265-10)&gt;0),(E265-10),0)),0)</f>
        <v>10</v>
      </c>
      <c r="J265" s="4">
        <f>IF((B265&lt;LeafDropDay),(SUM(I$36:I265)),0)</f>
        <v>1167.8000000000002</v>
      </c>
      <c r="K265" s="4">
        <f t="shared" si="53"/>
        <v>1.5098999855400748</v>
      </c>
      <c r="L265" s="4">
        <f t="shared" si="54"/>
        <v>0.5958382020918713</v>
      </c>
      <c r="M265" s="4">
        <f t="shared" si="60"/>
        <v>0.32355713659847674</v>
      </c>
      <c r="N265" s="4">
        <f t="shared" si="55"/>
        <v>0.1927877025448304</v>
      </c>
      <c r="O265" s="4">
        <f t="shared" si="61"/>
        <v>0</v>
      </c>
      <c r="P265" s="10">
        <f t="shared" si="62"/>
        <v>0</v>
      </c>
      <c r="Q265" s="10">
        <f t="shared" si="63"/>
        <v>-1.027558454563946</v>
      </c>
      <c r="R265" s="4">
        <f t="shared" si="64"/>
        <v>0</v>
      </c>
      <c r="S265" s="4">
        <f t="shared" si="56"/>
        <v>0</v>
      </c>
      <c r="T265" s="4">
        <f t="shared" si="66"/>
        <v>152.12180862345016</v>
      </c>
      <c r="U265" s="4">
        <f t="shared" si="65"/>
        <v>152.12180862345016</v>
      </c>
      <c r="V265" s="4">
        <f t="shared" si="57"/>
        <v>0</v>
      </c>
      <c r="W265" s="4">
        <f t="shared" si="58"/>
        <v>10.122142516312062</v>
      </c>
    </row>
    <row r="266" spans="2:23" ht="12.75">
      <c r="B266" s="19">
        <v>231</v>
      </c>
      <c r="C266" s="58">
        <v>37121</v>
      </c>
      <c r="D266" s="50">
        <v>0</v>
      </c>
      <c r="E266" s="10">
        <f ca="1" t="shared" si="68"/>
        <v>18.35</v>
      </c>
      <c r="F266" s="10">
        <f ca="1" t="shared" si="68"/>
        <v>5.33</v>
      </c>
      <c r="G266" s="10">
        <f ca="1" t="shared" si="68"/>
        <v>0</v>
      </c>
      <c r="H266" s="10">
        <f t="shared" si="59"/>
        <v>18.35</v>
      </c>
      <c r="I266" s="10">
        <f>IF((SUM(H$36:H266)&gt;GDD_budbreak),(IF(((E266-10)&gt;0),(E266-10),0)),0)</f>
        <v>8.350000000000001</v>
      </c>
      <c r="J266" s="4">
        <f>IF((B266&lt;LeafDropDay),(SUM(I$36:I266)),0)</f>
        <v>1176.15</v>
      </c>
      <c r="K266" s="4">
        <f t="shared" si="53"/>
        <v>1.5098999879896988</v>
      </c>
      <c r="L266" s="4">
        <f t="shared" si="54"/>
        <v>0.595838202685898</v>
      </c>
      <c r="M266" s="4">
        <f t="shared" si="60"/>
        <v>0.26826535481256264</v>
      </c>
      <c r="N266" s="4">
        <f t="shared" si="55"/>
        <v>0.15984274685441205</v>
      </c>
      <c r="O266" s="4">
        <f t="shared" si="61"/>
        <v>0</v>
      </c>
      <c r="P266" s="10">
        <f t="shared" si="62"/>
        <v>0</v>
      </c>
      <c r="Q266" s="10">
        <f t="shared" si="63"/>
        <v>-0.8519618407340163</v>
      </c>
      <c r="R266" s="4">
        <f t="shared" si="64"/>
        <v>0</v>
      </c>
      <c r="S266" s="4">
        <f t="shared" si="56"/>
        <v>0</v>
      </c>
      <c r="T266" s="4">
        <f t="shared" si="66"/>
        <v>151.26984678271614</v>
      </c>
      <c r="U266" s="4">
        <f t="shared" si="65"/>
        <v>151.26984678271614</v>
      </c>
      <c r="V266" s="4">
        <f t="shared" si="57"/>
        <v>0</v>
      </c>
      <c r="W266" s="4">
        <f t="shared" si="58"/>
        <v>10.456779787356805</v>
      </c>
    </row>
    <row r="267" spans="2:23" ht="12.75">
      <c r="B267" s="19">
        <v>232</v>
      </c>
      <c r="C267" s="58">
        <v>37122</v>
      </c>
      <c r="D267" s="50">
        <v>0</v>
      </c>
      <c r="E267" s="10">
        <f ca="1" t="shared" si="68"/>
        <v>16.1</v>
      </c>
      <c r="F267" s="10">
        <f ca="1" t="shared" si="68"/>
        <v>4.315</v>
      </c>
      <c r="G267" s="10">
        <f ca="1" t="shared" si="68"/>
        <v>0</v>
      </c>
      <c r="H267" s="10">
        <f t="shared" si="59"/>
        <v>16.1</v>
      </c>
      <c r="I267" s="10">
        <f>IF((SUM(H$36:H267)&gt;GDD_budbreak),(IF(((E267-10)&gt;0),(E267-10),0)),0)</f>
        <v>6.100000000000001</v>
      </c>
      <c r="J267" s="4">
        <f>IF((B267&lt;LeafDropDay),(SUM(I$36:I267)),0)</f>
        <v>1182.25</v>
      </c>
      <c r="K267" s="4">
        <f t="shared" si="53"/>
        <v>1.5098999903638282</v>
      </c>
      <c r="L267" s="4">
        <f t="shared" si="54"/>
        <v>0.5958382032616175</v>
      </c>
      <c r="M267" s="4">
        <f t="shared" si="60"/>
        <v>0.22046003037759931</v>
      </c>
      <c r="N267" s="4">
        <f t="shared" si="55"/>
        <v>0.1313585083911904</v>
      </c>
      <c r="O267" s="4">
        <f t="shared" si="61"/>
        <v>0</v>
      </c>
      <c r="P267" s="10">
        <f t="shared" si="62"/>
        <v>0</v>
      </c>
      <c r="Q267" s="10">
        <f t="shared" si="63"/>
        <v>-0.5668119637079866</v>
      </c>
      <c r="R267" s="4">
        <f t="shared" si="64"/>
        <v>0</v>
      </c>
      <c r="S267" s="4">
        <f t="shared" si="56"/>
        <v>0</v>
      </c>
      <c r="T267" s="4">
        <f t="shared" si="66"/>
        <v>150.70303481900817</v>
      </c>
      <c r="U267" s="4">
        <f t="shared" si="65"/>
        <v>150.70303481900817</v>
      </c>
      <c r="V267" s="4">
        <f t="shared" si="57"/>
        <v>0</v>
      </c>
      <c r="W267" s="4">
        <f t="shared" si="58"/>
        <v>10.686606939745609</v>
      </c>
    </row>
    <row r="268" spans="2:23" ht="12.75">
      <c r="B268" s="19">
        <v>233</v>
      </c>
      <c r="C268" s="58">
        <v>37123</v>
      </c>
      <c r="D268" s="50">
        <v>0</v>
      </c>
      <c r="E268" s="10">
        <f ca="1" t="shared" si="68"/>
        <v>17.2</v>
      </c>
      <c r="F268" s="10">
        <f ca="1" t="shared" si="68"/>
        <v>5.076</v>
      </c>
      <c r="G268" s="10">
        <f ca="1" t="shared" si="68"/>
        <v>0</v>
      </c>
      <c r="H268" s="10">
        <f t="shared" si="59"/>
        <v>17.2</v>
      </c>
      <c r="I268" s="10">
        <f>IF((SUM(H$36:H268)&gt;GDD_budbreak),(IF(((E268-10)&gt;0),(E268-10),0)),0)</f>
        <v>7.199999999999999</v>
      </c>
      <c r="J268" s="4">
        <f>IF((B268&lt;LeafDropDay),(SUM(I$36:I268)),0)</f>
        <v>1189.45</v>
      </c>
      <c r="K268" s="4">
        <f t="shared" si="53"/>
        <v>1.509899992349432</v>
      </c>
      <c r="L268" s="4">
        <f t="shared" si="54"/>
        <v>0.5958382037431207</v>
      </c>
      <c r="M268" s="4">
        <f t="shared" si="60"/>
        <v>0.1876275800363416</v>
      </c>
      <c r="N268" s="4">
        <f t="shared" si="55"/>
        <v>0.1117956802615224</v>
      </c>
      <c r="O268" s="4">
        <f t="shared" si="61"/>
        <v>0</v>
      </c>
      <c r="P268" s="10">
        <f t="shared" si="62"/>
        <v>0</v>
      </c>
      <c r="Q268" s="10">
        <f t="shared" si="63"/>
        <v>-0.5674748730074877</v>
      </c>
      <c r="R268" s="4">
        <f t="shared" si="64"/>
        <v>0</v>
      </c>
      <c r="S268" s="4">
        <f t="shared" si="56"/>
        <v>0</v>
      </c>
      <c r="T268" s="4">
        <f t="shared" si="66"/>
        <v>150.13555994600068</v>
      </c>
      <c r="U268" s="4">
        <f t="shared" si="65"/>
        <v>150.13555994600068</v>
      </c>
      <c r="V268" s="4">
        <f t="shared" si="57"/>
        <v>0</v>
      </c>
      <c r="W268" s="4">
        <f t="shared" si="58"/>
        <v>10.922659470980363</v>
      </c>
    </row>
    <row r="269" spans="2:23" ht="12.75">
      <c r="B269" s="19">
        <v>234</v>
      </c>
      <c r="C269" s="58">
        <v>37124</v>
      </c>
      <c r="D269" s="50">
        <v>0</v>
      </c>
      <c r="E269" s="10">
        <f ca="1" t="shared" si="68"/>
        <v>17.5</v>
      </c>
      <c r="F269" s="10">
        <f ca="1" t="shared" si="68"/>
        <v>5.33</v>
      </c>
      <c r="G269" s="10">
        <f ca="1" t="shared" si="68"/>
        <v>0</v>
      </c>
      <c r="H269" s="10">
        <f t="shared" si="59"/>
        <v>17.5</v>
      </c>
      <c r="I269" s="10">
        <f>IF((SUM(H$36:H269)&gt;GDD_budbreak),(IF(((E269-10)&gt;0),(E269-10),0)),0)</f>
        <v>7.5</v>
      </c>
      <c r="J269" s="4">
        <f>IF((B269&lt;LeafDropDay),(SUM(I$36:I269)),0)</f>
        <v>1196.95</v>
      </c>
      <c r="K269" s="4">
        <f t="shared" si="53"/>
        <v>1.5098999942905884</v>
      </c>
      <c r="L269" s="4">
        <f t="shared" si="54"/>
        <v>0.5958382042138454</v>
      </c>
      <c r="M269" s="4">
        <f t="shared" si="60"/>
        <v>0.15390578985994807</v>
      </c>
      <c r="N269" s="4">
        <f t="shared" si="55"/>
        <v>0.09170294944826492</v>
      </c>
      <c r="O269" s="4">
        <f t="shared" si="61"/>
        <v>0</v>
      </c>
      <c r="P269" s="10">
        <f t="shared" si="62"/>
        <v>0</v>
      </c>
      <c r="Q269" s="10">
        <f t="shared" si="63"/>
        <v>-0.48877672055925203</v>
      </c>
      <c r="R269" s="4">
        <f t="shared" si="64"/>
        <v>10</v>
      </c>
      <c r="S269" s="4">
        <f t="shared" si="56"/>
        <v>4.905280512</v>
      </c>
      <c r="T269" s="4">
        <f t="shared" si="66"/>
        <v>159.64678322544142</v>
      </c>
      <c r="U269" s="4">
        <f t="shared" si="65"/>
        <v>159.64678322544142</v>
      </c>
      <c r="V269" s="4">
        <f t="shared" si="57"/>
        <v>0</v>
      </c>
      <c r="W269" s="4">
        <f t="shared" si="58"/>
        <v>7.653102151955984</v>
      </c>
    </row>
    <row r="270" spans="2:23" ht="12.75">
      <c r="B270" s="19">
        <v>235</v>
      </c>
      <c r="C270" s="58">
        <v>37125</v>
      </c>
      <c r="D270" s="50">
        <v>0</v>
      </c>
      <c r="E270" s="10">
        <f ca="1" t="shared" si="68"/>
        <v>19.45</v>
      </c>
      <c r="F270" s="10">
        <f ca="1" t="shared" si="68"/>
        <v>5.33</v>
      </c>
      <c r="G270" s="10">
        <f ca="1" t="shared" si="68"/>
        <v>0</v>
      </c>
      <c r="H270" s="10">
        <f t="shared" si="59"/>
        <v>19.45</v>
      </c>
      <c r="I270" s="10">
        <f>IF((SUM(H$36:H270)&gt;GDD_budbreak),(IF(((E270-10)&gt;0),(E270-10),0)),0)</f>
        <v>9.45</v>
      </c>
      <c r="J270" s="4">
        <f>IF((B270&lt;LeafDropDay),(SUM(I$36:I270)),0)</f>
        <v>1206.4</v>
      </c>
      <c r="K270" s="4">
        <f t="shared" si="53"/>
        <v>1.5098999958923582</v>
      </c>
      <c r="L270" s="4">
        <f t="shared" si="54"/>
        <v>0.5958382046022699</v>
      </c>
      <c r="M270" s="4">
        <f t="shared" si="60"/>
        <v>0.6209854068634308</v>
      </c>
      <c r="N270" s="4">
        <f t="shared" si="55"/>
        <v>0.37000682990971673</v>
      </c>
      <c r="O270" s="4">
        <f t="shared" si="61"/>
        <v>0</v>
      </c>
      <c r="P270" s="10">
        <f t="shared" si="62"/>
        <v>0</v>
      </c>
      <c r="Q270" s="10">
        <f t="shared" si="63"/>
        <v>-1.9721364034187903</v>
      </c>
      <c r="R270" s="4">
        <f t="shared" si="64"/>
        <v>0</v>
      </c>
      <c r="S270" s="4">
        <f t="shared" si="56"/>
        <v>0</v>
      </c>
      <c r="T270" s="4">
        <f t="shared" si="66"/>
        <v>157.67464682202262</v>
      </c>
      <c r="U270" s="4">
        <f t="shared" si="65"/>
        <v>157.67464682202262</v>
      </c>
      <c r="V270" s="4">
        <f t="shared" si="57"/>
        <v>0</v>
      </c>
      <c r="W270" s="4">
        <f t="shared" si="58"/>
        <v>8.224328447907519</v>
      </c>
    </row>
    <row r="271" spans="2:23" ht="12.75">
      <c r="B271" s="19">
        <v>236</v>
      </c>
      <c r="C271" s="58">
        <v>37126</v>
      </c>
      <c r="D271" s="50">
        <v>0</v>
      </c>
      <c r="E271" s="10">
        <f ca="1" t="shared" si="68"/>
        <v>20.55</v>
      </c>
      <c r="F271" s="10">
        <f ca="1" t="shared" si="68"/>
        <v>5.076</v>
      </c>
      <c r="G271" s="10">
        <f ca="1" t="shared" si="68"/>
        <v>0</v>
      </c>
      <c r="H271" s="10">
        <f t="shared" si="59"/>
        <v>20.55</v>
      </c>
      <c r="I271" s="10">
        <f>IF((SUM(H$36:H271)&gt;GDD_budbreak),(IF(((E271-10)&gt;0),(E271-10),0)),0)</f>
        <v>10.55</v>
      </c>
      <c r="J271" s="4">
        <f>IF((B271&lt;LeafDropDay),(SUM(I$36:I271)),0)</f>
        <v>1216.95</v>
      </c>
      <c r="K271" s="4">
        <f t="shared" si="53"/>
        <v>1.5098999971533469</v>
      </c>
      <c r="L271" s="4">
        <f t="shared" si="54"/>
        <v>0.595838204908056</v>
      </c>
      <c r="M271" s="4">
        <f t="shared" si="60"/>
        <v>0.5393816502989259</v>
      </c>
      <c r="N271" s="4">
        <f t="shared" si="55"/>
        <v>0.3213841942744568</v>
      </c>
      <c r="O271" s="4">
        <f t="shared" si="61"/>
        <v>0</v>
      </c>
      <c r="P271" s="10">
        <f t="shared" si="62"/>
        <v>0</v>
      </c>
      <c r="Q271" s="10">
        <f t="shared" si="63"/>
        <v>-1.6313461701371426</v>
      </c>
      <c r="R271" s="4">
        <f t="shared" si="64"/>
        <v>0</v>
      </c>
      <c r="S271" s="4">
        <f t="shared" si="56"/>
        <v>0</v>
      </c>
      <c r="T271" s="4">
        <f t="shared" si="66"/>
        <v>156.0433006518855</v>
      </c>
      <c r="U271" s="4">
        <f t="shared" si="65"/>
        <v>156.0433006518855</v>
      </c>
      <c r="V271" s="4">
        <f t="shared" si="57"/>
        <v>0</v>
      </c>
      <c r="W271" s="4">
        <f t="shared" si="58"/>
        <v>8.734901462085833</v>
      </c>
    </row>
    <row r="272" spans="2:23" ht="12.75">
      <c r="B272" s="19">
        <v>237</v>
      </c>
      <c r="C272" s="58">
        <v>37127</v>
      </c>
      <c r="D272" s="50">
        <v>0</v>
      </c>
      <c r="E272" s="10">
        <f ca="1" t="shared" si="68"/>
        <v>21.65</v>
      </c>
      <c r="F272" s="10">
        <f ca="1" t="shared" si="68"/>
        <v>5.584</v>
      </c>
      <c r="G272" s="10">
        <f ca="1" t="shared" si="68"/>
        <v>0</v>
      </c>
      <c r="H272" s="10">
        <f t="shared" si="59"/>
        <v>21.65</v>
      </c>
      <c r="I272" s="10">
        <f>IF((SUM(H$36:H272)&gt;GDD_budbreak),(IF(((E272-10)&gt;0),(E272-10),0)),0)</f>
        <v>11.649999999999999</v>
      </c>
      <c r="J272" s="4">
        <f>IF((B272&lt;LeafDropDay),(SUM(I$36:I272)),0)</f>
        <v>1228.6000000000001</v>
      </c>
      <c r="K272" s="4">
        <f t="shared" si="53"/>
        <v>1.5098999979988557</v>
      </c>
      <c r="L272" s="4">
        <f t="shared" si="54"/>
        <v>0.5958382051130894</v>
      </c>
      <c r="M272" s="4">
        <f t="shared" si="60"/>
        <v>0.4664426482734524</v>
      </c>
      <c r="N272" s="4">
        <f t="shared" si="55"/>
        <v>0.27792435033544993</v>
      </c>
      <c r="O272" s="4">
        <f t="shared" si="61"/>
        <v>0</v>
      </c>
      <c r="P272" s="10">
        <f t="shared" si="62"/>
        <v>0</v>
      </c>
      <c r="Q272" s="10">
        <f t="shared" si="63"/>
        <v>-1.5519295722731523</v>
      </c>
      <c r="R272" s="4">
        <f t="shared" si="64"/>
        <v>0</v>
      </c>
      <c r="S272" s="4">
        <f t="shared" si="56"/>
        <v>0</v>
      </c>
      <c r="T272" s="4">
        <f t="shared" si="66"/>
        <v>154.49137107961235</v>
      </c>
      <c r="U272" s="4">
        <f t="shared" si="65"/>
        <v>154.49137107961235</v>
      </c>
      <c r="V272" s="4">
        <f t="shared" si="57"/>
        <v>0</v>
      </c>
      <c r="W272" s="4">
        <f t="shared" si="58"/>
        <v>9.25544384740402</v>
      </c>
    </row>
    <row r="273" spans="2:23" ht="12.75">
      <c r="B273" s="19">
        <v>238</v>
      </c>
      <c r="C273" s="58">
        <v>37128</v>
      </c>
      <c r="D273" s="50">
        <v>0</v>
      </c>
      <c r="E273" s="10">
        <f ca="1" t="shared" si="68"/>
        <v>21.1</v>
      </c>
      <c r="F273" s="10">
        <f ca="1" t="shared" si="68"/>
        <v>5.33</v>
      </c>
      <c r="G273" s="10">
        <f ca="1" t="shared" si="68"/>
        <v>0</v>
      </c>
      <c r="H273" s="10">
        <f t="shared" si="59"/>
        <v>21.1</v>
      </c>
      <c r="I273" s="10">
        <f>IF((SUM(H$36:H273)&gt;GDD_budbreak),(IF(((E273-10)&gt;0),(E273-10),0)),0)</f>
        <v>11.100000000000001</v>
      </c>
      <c r="J273" s="4">
        <f>IF((B273&lt;LeafDropDay),(SUM(I$36:I273)),0)</f>
        <v>1239.7</v>
      </c>
      <c r="K273" s="4">
        <f t="shared" si="53"/>
        <v>1.5098999986953425</v>
      </c>
      <c r="L273" s="4">
        <f t="shared" si="54"/>
        <v>0.5958382052819854</v>
      </c>
      <c r="M273" s="4">
        <f t="shared" si="60"/>
        <v>0.39207945037085423</v>
      </c>
      <c r="N273" s="4">
        <f t="shared" si="55"/>
        <v>0.23361591603691706</v>
      </c>
      <c r="O273" s="4">
        <f t="shared" si="61"/>
        <v>0</v>
      </c>
      <c r="P273" s="10">
        <f t="shared" si="62"/>
        <v>0</v>
      </c>
      <c r="Q273" s="10">
        <f t="shared" si="63"/>
        <v>-1.245172832476768</v>
      </c>
      <c r="R273" s="4">
        <f t="shared" si="64"/>
        <v>0</v>
      </c>
      <c r="S273" s="4">
        <f t="shared" si="56"/>
        <v>0</v>
      </c>
      <c r="T273" s="4">
        <f t="shared" si="66"/>
        <v>153.2461982471356</v>
      </c>
      <c r="U273" s="4">
        <f t="shared" si="65"/>
        <v>153.2461982471356</v>
      </c>
      <c r="V273" s="4">
        <f t="shared" si="57"/>
        <v>0</v>
      </c>
      <c r="W273" s="4">
        <f t="shared" si="58"/>
        <v>9.699530292609525</v>
      </c>
    </row>
    <row r="274" spans="2:23" ht="12.75">
      <c r="B274" s="19">
        <v>239</v>
      </c>
      <c r="C274" s="58">
        <v>37129</v>
      </c>
      <c r="D274" s="50">
        <v>0</v>
      </c>
      <c r="E274" s="10">
        <f ca="1" t="shared" si="68"/>
        <v>23.35</v>
      </c>
      <c r="F274" s="10">
        <f ca="1" t="shared" si="68"/>
        <v>5.584</v>
      </c>
      <c r="G274" s="10">
        <f ca="1" t="shared" si="68"/>
        <v>0</v>
      </c>
      <c r="H274" s="10">
        <f t="shared" si="59"/>
        <v>23.35</v>
      </c>
      <c r="I274" s="10">
        <f>IF((SUM(H$36:H274)&gt;GDD_budbreak),(IF(((E274-10)&gt;0),(E274-10),0)),0)</f>
        <v>13.350000000000001</v>
      </c>
      <c r="J274" s="4">
        <f>IF((B274&lt;LeafDropDay),(SUM(I$36:I274)),0)</f>
        <v>1253.05</v>
      </c>
      <c r="K274" s="4">
        <f t="shared" si="53"/>
        <v>1.5098999991222124</v>
      </c>
      <c r="L274" s="4">
        <f t="shared" si="54"/>
        <v>0.5958382053855</v>
      </c>
      <c r="M274" s="4">
        <f t="shared" si="60"/>
        <v>0.32863852962721063</v>
      </c>
      <c r="N274" s="4">
        <f t="shared" si="55"/>
        <v>0.19581539171360665</v>
      </c>
      <c r="O274" s="4">
        <f t="shared" si="61"/>
        <v>0</v>
      </c>
      <c r="P274" s="10">
        <f t="shared" si="62"/>
        <v>0</v>
      </c>
      <c r="Q274" s="10">
        <f t="shared" si="63"/>
        <v>-1.0934331473287795</v>
      </c>
      <c r="R274" s="4">
        <f t="shared" si="64"/>
        <v>0</v>
      </c>
      <c r="S274" s="4">
        <f t="shared" si="56"/>
        <v>0</v>
      </c>
      <c r="T274" s="4">
        <f t="shared" si="66"/>
        <v>152.15276509980683</v>
      </c>
      <c r="U274" s="4">
        <f t="shared" si="65"/>
        <v>152.15276509980683</v>
      </c>
      <c r="V274" s="4">
        <f t="shared" si="57"/>
        <v>0</v>
      </c>
      <c r="W274" s="4">
        <f t="shared" si="58"/>
        <v>10.110221733983964</v>
      </c>
    </row>
    <row r="275" spans="2:23" ht="12.75">
      <c r="B275" s="19">
        <v>240</v>
      </c>
      <c r="C275" s="58">
        <v>37130</v>
      </c>
      <c r="D275" s="50">
        <v>0</v>
      </c>
      <c r="E275" s="10">
        <f ca="1" t="shared" si="68"/>
        <v>22.25</v>
      </c>
      <c r="F275" s="10">
        <f ca="1" t="shared" si="68"/>
        <v>5.584</v>
      </c>
      <c r="G275" s="10">
        <f ca="1" t="shared" si="68"/>
        <v>0</v>
      </c>
      <c r="H275" s="10">
        <f t="shared" si="59"/>
        <v>22.25</v>
      </c>
      <c r="I275" s="10">
        <f>IF((SUM(H$36:H275)&gt;GDD_budbreak),(IF(((E275-10)&gt;0),(E275-10),0)),0)</f>
        <v>12.25</v>
      </c>
      <c r="J275" s="4">
        <f>IF((B275&lt;LeafDropDay),(SUM(I$36:I275)),0)</f>
        <v>1265.3</v>
      </c>
      <c r="K275" s="4">
        <f t="shared" si="53"/>
        <v>1.5098999993313784</v>
      </c>
      <c r="L275" s="4">
        <f t="shared" si="54"/>
        <v>0.5958382054362222</v>
      </c>
      <c r="M275" s="4">
        <f t="shared" si="60"/>
        <v>0.26996832371657653</v>
      </c>
      <c r="N275" s="4">
        <f t="shared" si="55"/>
        <v>0.16085744152791007</v>
      </c>
      <c r="O275" s="4">
        <f t="shared" si="61"/>
        <v>0</v>
      </c>
      <c r="P275" s="10">
        <f t="shared" si="62"/>
        <v>0</v>
      </c>
      <c r="Q275" s="10">
        <f t="shared" si="63"/>
        <v>-0.8982279534918498</v>
      </c>
      <c r="R275" s="4">
        <f t="shared" si="64"/>
        <v>0</v>
      </c>
      <c r="S275" s="4">
        <f t="shared" si="56"/>
        <v>0</v>
      </c>
      <c r="T275" s="4">
        <f t="shared" si="66"/>
        <v>151.254537146315</v>
      </c>
      <c r="U275" s="4">
        <f t="shared" si="65"/>
        <v>151.254537146315</v>
      </c>
      <c r="V275" s="4">
        <f t="shared" si="57"/>
        <v>0</v>
      </c>
      <c r="W275" s="4">
        <f t="shared" si="58"/>
        <v>10.462910797705431</v>
      </c>
    </row>
    <row r="276" spans="2:23" ht="12.75">
      <c r="B276" s="19">
        <v>241</v>
      </c>
      <c r="C276" s="58">
        <v>37131</v>
      </c>
      <c r="D276" s="50">
        <v>0</v>
      </c>
      <c r="E276" s="10">
        <f ca="1" t="shared" si="69" ref="E276:G295">INDIRECT(WeatherSheet&amp;"!"&amp;E645)</f>
        <v>18.35</v>
      </c>
      <c r="F276" s="10">
        <f ca="1" t="shared" si="69"/>
        <v>4.822</v>
      </c>
      <c r="G276" s="10">
        <f ca="1" t="shared" si="69"/>
        <v>0</v>
      </c>
      <c r="H276" s="10">
        <f t="shared" si="59"/>
        <v>18.35</v>
      </c>
      <c r="I276" s="10">
        <f>IF((SUM(H$36:H276)&gt;GDD_budbreak),(IF(((E276-10)&gt;0),(E276-10),0)),0)</f>
        <v>8.350000000000001</v>
      </c>
      <c r="J276" s="4">
        <f>IF((B276&lt;LeafDropDay),(SUM(I$36:I276)),0)</f>
        <v>1273.6499999999999</v>
      </c>
      <c r="K276" s="4">
        <f t="shared" si="53"/>
        <v>1.5098999994632085</v>
      </c>
      <c r="L276" s="4">
        <f t="shared" si="54"/>
        <v>0.5958382054681907</v>
      </c>
      <c r="M276" s="4">
        <f t="shared" si="60"/>
        <v>0.2195841717563669</v>
      </c>
      <c r="N276" s="4">
        <f t="shared" si="55"/>
        <v>0.1308366388485326</v>
      </c>
      <c r="O276" s="4">
        <f t="shared" si="61"/>
        <v>0</v>
      </c>
      <c r="P276" s="10">
        <f t="shared" si="62"/>
        <v>0</v>
      </c>
      <c r="Q276" s="10">
        <f t="shared" si="63"/>
        <v>-0.6308942725276242</v>
      </c>
      <c r="R276" s="4">
        <f t="shared" si="64"/>
        <v>0</v>
      </c>
      <c r="S276" s="4">
        <f t="shared" si="56"/>
        <v>0</v>
      </c>
      <c r="T276" s="4">
        <f t="shared" si="66"/>
        <v>150.62364287378736</v>
      </c>
      <c r="U276" s="4">
        <f t="shared" si="65"/>
        <v>150.62364287378736</v>
      </c>
      <c r="V276" s="4">
        <f t="shared" si="57"/>
        <v>0</v>
      </c>
      <c r="W276" s="4">
        <f t="shared" si="58"/>
        <v>10.719269020663829</v>
      </c>
    </row>
    <row r="277" spans="2:23" ht="12.75">
      <c r="B277" s="19">
        <v>242</v>
      </c>
      <c r="C277" s="58">
        <v>37132</v>
      </c>
      <c r="D277" s="50">
        <v>0</v>
      </c>
      <c r="E277" s="10">
        <f ca="1" t="shared" si="69"/>
        <v>16.7</v>
      </c>
      <c r="F277" s="10">
        <f ca="1" t="shared" si="69"/>
        <v>3.553</v>
      </c>
      <c r="G277" s="10">
        <f ca="1" t="shared" si="69"/>
        <v>0</v>
      </c>
      <c r="H277" s="10">
        <f t="shared" si="59"/>
        <v>16.7</v>
      </c>
      <c r="I277" s="10">
        <f>IF((SUM(H$36:H277)&gt;GDD_budbreak),(IF(((E277-10)&gt;0),(E277-10),0)),0)</f>
        <v>6.699999999999999</v>
      </c>
      <c r="J277" s="4">
        <f>IF((B277&lt;LeafDropDay),(SUM(I$36:I277)),0)</f>
        <v>1280.35</v>
      </c>
      <c r="K277" s="4">
        <f t="shared" si="53"/>
        <v>1.5098999996140003</v>
      </c>
      <c r="L277" s="4">
        <f t="shared" si="54"/>
        <v>0.5958382055047573</v>
      </c>
      <c r="M277" s="4">
        <f t="shared" si="60"/>
        <v>0.18296156847659595</v>
      </c>
      <c r="N277" s="4">
        <f t="shared" si="55"/>
        <v>0.1090154926374307</v>
      </c>
      <c r="O277" s="4">
        <f t="shared" si="61"/>
        <v>0</v>
      </c>
      <c r="P277" s="10">
        <f t="shared" si="62"/>
        <v>0</v>
      </c>
      <c r="Q277" s="10">
        <f t="shared" si="63"/>
        <v>-0.38733204534079124</v>
      </c>
      <c r="R277" s="4">
        <f t="shared" si="64"/>
        <v>0</v>
      </c>
      <c r="S277" s="4">
        <f t="shared" si="56"/>
        <v>0</v>
      </c>
      <c r="T277" s="4">
        <f t="shared" si="66"/>
        <v>150.23631082844656</v>
      </c>
      <c r="U277" s="4">
        <f t="shared" si="65"/>
        <v>150.23631082844656</v>
      </c>
      <c r="V277" s="4">
        <f t="shared" si="57"/>
        <v>0</v>
      </c>
      <c r="W277" s="4">
        <f t="shared" si="58"/>
        <v>10.880307173650083</v>
      </c>
    </row>
    <row r="278" spans="2:23" ht="12.75">
      <c r="B278" s="19">
        <v>243</v>
      </c>
      <c r="C278" s="58">
        <v>37133</v>
      </c>
      <c r="D278" s="50">
        <v>0</v>
      </c>
      <c r="E278" s="10">
        <f ca="1" t="shared" si="69"/>
        <v>20</v>
      </c>
      <c r="F278" s="10">
        <f ca="1" t="shared" si="69"/>
        <v>4.569</v>
      </c>
      <c r="G278" s="10">
        <f ca="1" t="shared" si="69"/>
        <v>0</v>
      </c>
      <c r="H278" s="10">
        <f t="shared" si="59"/>
        <v>20</v>
      </c>
      <c r="I278" s="10">
        <f>IF((SUM(H$36:H278)&gt;GDD_budbreak),(IF(((E278-10)&gt;0),(E278-10),0)),0)</f>
        <v>10</v>
      </c>
      <c r="J278" s="4">
        <f>IF((B278&lt;LeafDropDay),(SUM(I$36:I278)),0)</f>
        <v>1290.35</v>
      </c>
      <c r="K278" s="4">
        <f t="shared" si="53"/>
        <v>1.5098999997431217</v>
      </c>
      <c r="L278" s="4">
        <f t="shared" si="54"/>
        <v>0.5958382055360688</v>
      </c>
      <c r="M278" s="4">
        <f t="shared" si="60"/>
        <v>0.1599561180499881</v>
      </c>
      <c r="N278" s="4">
        <f t="shared" si="55"/>
        <v>0.0953079663434205</v>
      </c>
      <c r="O278" s="4">
        <f t="shared" si="61"/>
        <v>0</v>
      </c>
      <c r="P278" s="10">
        <f t="shared" si="62"/>
        <v>0</v>
      </c>
      <c r="Q278" s="10">
        <f t="shared" si="63"/>
        <v>-0.43546209822308823</v>
      </c>
      <c r="R278" s="4">
        <f t="shared" si="64"/>
        <v>10</v>
      </c>
      <c r="S278" s="4">
        <f t="shared" si="56"/>
        <v>4.905280512</v>
      </c>
      <c r="T278" s="4">
        <f t="shared" si="66"/>
        <v>159.80084873022346</v>
      </c>
      <c r="U278" s="4">
        <f t="shared" si="65"/>
        <v>159.80084873022346</v>
      </c>
      <c r="V278" s="4">
        <f t="shared" si="57"/>
        <v>0</v>
      </c>
      <c r="W278" s="4">
        <f t="shared" si="58"/>
        <v>7.610470402873724</v>
      </c>
    </row>
    <row r="279" spans="2:23" ht="12.75">
      <c r="B279" s="19">
        <v>244</v>
      </c>
      <c r="C279" s="58">
        <v>37134</v>
      </c>
      <c r="D279" s="50">
        <v>0</v>
      </c>
      <c r="E279" s="10">
        <f ca="1" t="shared" si="69"/>
        <v>22.25</v>
      </c>
      <c r="F279" s="10">
        <f ca="1" t="shared" si="69"/>
        <v>4.822</v>
      </c>
      <c r="G279" s="10">
        <f ca="1" t="shared" si="69"/>
        <v>0</v>
      </c>
      <c r="H279" s="10">
        <f t="shared" si="59"/>
        <v>22.25</v>
      </c>
      <c r="I279" s="10">
        <f>IF((SUM(H$36:H279)&gt;GDD_budbreak),(IF(((E279-10)&gt;0),(E279-10),0)),0)</f>
        <v>12.25</v>
      </c>
      <c r="J279" s="4">
        <f>IF((B279&lt;LeafDropDay),(SUM(I$36:I279)),0)</f>
        <v>1302.6</v>
      </c>
      <c r="K279" s="4">
        <f t="shared" si="53"/>
        <v>1.5098999998247171</v>
      </c>
      <c r="L279" s="4">
        <f t="shared" si="54"/>
        <v>0.5958382055558554</v>
      </c>
      <c r="M279" s="4">
        <f t="shared" si="60"/>
        <v>0.6270756567323251</v>
      </c>
      <c r="N279" s="4">
        <f t="shared" si="55"/>
        <v>0.37363563405514816</v>
      </c>
      <c r="O279" s="4">
        <f t="shared" si="61"/>
        <v>0</v>
      </c>
      <c r="P279" s="10">
        <f t="shared" si="62"/>
        <v>0</v>
      </c>
      <c r="Q279" s="10">
        <f t="shared" si="63"/>
        <v>-1.8016710274139245</v>
      </c>
      <c r="R279" s="4">
        <f t="shared" si="64"/>
        <v>0</v>
      </c>
      <c r="S279" s="4">
        <f t="shared" si="56"/>
        <v>0</v>
      </c>
      <c r="T279" s="4">
        <f t="shared" si="66"/>
        <v>157.99917770280953</v>
      </c>
      <c r="U279" s="4">
        <f t="shared" si="65"/>
        <v>157.99917770280953</v>
      </c>
      <c r="V279" s="4">
        <f t="shared" si="57"/>
        <v>0</v>
      </c>
      <c r="W279" s="4">
        <f t="shared" si="58"/>
        <v>8.126978157056595</v>
      </c>
    </row>
    <row r="280" spans="2:23" ht="12.75">
      <c r="B280" s="19">
        <v>245</v>
      </c>
      <c r="C280" s="58">
        <v>37135</v>
      </c>
      <c r="D280" s="50">
        <v>0</v>
      </c>
      <c r="E280" s="10">
        <f ca="1" t="shared" si="69"/>
        <v>21.4</v>
      </c>
      <c r="F280" s="10">
        <f ca="1" t="shared" si="69"/>
        <v>5.33</v>
      </c>
      <c r="G280" s="10">
        <f ca="1" t="shared" si="69"/>
        <v>0</v>
      </c>
      <c r="H280" s="10">
        <f t="shared" si="59"/>
        <v>21.4</v>
      </c>
      <c r="I280" s="10">
        <f>IF((SUM(H$36:H280)&gt;GDD_budbreak),(IF(((E280-10)&gt;0),(E280-10),0)),0)</f>
        <v>11.399999999999999</v>
      </c>
      <c r="J280" s="4">
        <f>IF((B280&lt;LeafDropDay),(SUM(I$36:I280)),0)</f>
        <v>1314</v>
      </c>
      <c r="K280" s="4">
        <f t="shared" si="53"/>
        <v>1.5098999998807656</v>
      </c>
      <c r="L280" s="4">
        <f t="shared" si="54"/>
        <v>0.595838205569447</v>
      </c>
      <c r="M280" s="4">
        <f t="shared" si="60"/>
        <v>0.5532888347062008</v>
      </c>
      <c r="N280" s="4">
        <f t="shared" si="55"/>
        <v>0.3296706264329531</v>
      </c>
      <c r="O280" s="4">
        <f t="shared" si="61"/>
        <v>0</v>
      </c>
      <c r="P280" s="10">
        <f t="shared" si="62"/>
        <v>0</v>
      </c>
      <c r="Q280" s="10">
        <f t="shared" si="63"/>
        <v>-1.75714443888764</v>
      </c>
      <c r="R280" s="4">
        <f t="shared" si="64"/>
        <v>0</v>
      </c>
      <c r="S280" s="4">
        <f t="shared" si="56"/>
        <v>0</v>
      </c>
      <c r="T280" s="4">
        <f t="shared" si="66"/>
        <v>156.24203326392188</v>
      </c>
      <c r="U280" s="4">
        <f t="shared" si="65"/>
        <v>156.24203326392188</v>
      </c>
      <c r="V280" s="4">
        <f t="shared" si="57"/>
        <v>0</v>
      </c>
      <c r="W280" s="4">
        <f t="shared" si="58"/>
        <v>8.670754167540705</v>
      </c>
    </row>
    <row r="281" spans="2:23" ht="12.75">
      <c r="B281" s="19">
        <v>246</v>
      </c>
      <c r="C281" s="58">
        <v>37136</v>
      </c>
      <c r="D281" s="50">
        <v>0</v>
      </c>
      <c r="E281" s="10">
        <f ca="1" t="shared" si="69"/>
        <v>21.4</v>
      </c>
      <c r="F281" s="10">
        <f ca="1" t="shared" si="69"/>
        <v>5.33</v>
      </c>
      <c r="G281" s="10">
        <f ca="1" t="shared" si="69"/>
        <v>0</v>
      </c>
      <c r="H281" s="10">
        <f t="shared" si="59"/>
        <v>21.4</v>
      </c>
      <c r="I281" s="10">
        <f>IF((SUM(H$36:H281)&gt;GDD_budbreak),(IF(((E281-10)&gt;0),(E281-10),0)),0)</f>
        <v>11.399999999999999</v>
      </c>
      <c r="J281" s="4">
        <f>IF((B281&lt;LeafDropDay),(SUM(I$36:I281)),0)</f>
        <v>1325.4</v>
      </c>
      <c r="K281" s="4">
        <f t="shared" si="53"/>
        <v>1.5098999999119307</v>
      </c>
      <c r="L281" s="4">
        <f t="shared" si="54"/>
        <v>0.5958382055770044</v>
      </c>
      <c r="M281" s="4">
        <f t="shared" si="60"/>
        <v>0.47560654749418496</v>
      </c>
      <c r="N281" s="4">
        <f t="shared" si="55"/>
        <v>0.2833845518196095</v>
      </c>
      <c r="O281" s="4">
        <f t="shared" si="61"/>
        <v>0</v>
      </c>
      <c r="P281" s="10">
        <f t="shared" si="62"/>
        <v>0</v>
      </c>
      <c r="Q281" s="10">
        <f t="shared" si="63"/>
        <v>-1.5104396611985185</v>
      </c>
      <c r="R281" s="4">
        <f t="shared" si="64"/>
        <v>0</v>
      </c>
      <c r="S281" s="4">
        <f t="shared" si="56"/>
        <v>0</v>
      </c>
      <c r="T281" s="4">
        <f t="shared" si="66"/>
        <v>154.73159360272336</v>
      </c>
      <c r="U281" s="4">
        <f t="shared" si="65"/>
        <v>154.73159360272336</v>
      </c>
      <c r="V281" s="4">
        <f t="shared" si="57"/>
        <v>0</v>
      </c>
      <c r="W281" s="4">
        <f t="shared" si="58"/>
        <v>9.172537226904295</v>
      </c>
    </row>
    <row r="282" spans="2:23" ht="12.75">
      <c r="B282" s="19">
        <v>247</v>
      </c>
      <c r="C282" s="58">
        <v>37137</v>
      </c>
      <c r="D282" s="50">
        <v>0</v>
      </c>
      <c r="E282" s="10">
        <f ca="1" t="shared" si="69"/>
        <v>18.9</v>
      </c>
      <c r="F282" s="10">
        <f ca="1" t="shared" si="69"/>
        <v>5.076</v>
      </c>
      <c r="G282" s="10">
        <f ca="1" t="shared" si="69"/>
        <v>0</v>
      </c>
      <c r="H282" s="10">
        <f t="shared" si="59"/>
        <v>18.9</v>
      </c>
      <c r="I282" s="10">
        <f>IF((SUM(H$36:H282)&gt;GDD_budbreak),(IF(((E282-10)&gt;0),(E282-10),0)),0)</f>
        <v>8.899999999999999</v>
      </c>
      <c r="J282" s="4">
        <f>IF((B282&lt;LeafDropDay),(SUM(I$36:I282)),0)</f>
        <v>1334.3000000000002</v>
      </c>
      <c r="K282" s="4">
        <f t="shared" si="53"/>
        <v>1.5098999999344005</v>
      </c>
      <c r="L282" s="4">
        <f t="shared" si="54"/>
        <v>0.5958382055824534</v>
      </c>
      <c r="M282" s="4">
        <f t="shared" si="60"/>
        <v>0.4039232532993865</v>
      </c>
      <c r="N282" s="4">
        <f t="shared" si="55"/>
        <v>0.24067290643893324</v>
      </c>
      <c r="O282" s="4">
        <f t="shared" si="61"/>
        <v>0</v>
      </c>
      <c r="P282" s="10">
        <f t="shared" si="62"/>
        <v>0</v>
      </c>
      <c r="Q282" s="10">
        <f t="shared" si="63"/>
        <v>-1.2216556730840251</v>
      </c>
      <c r="R282" s="4">
        <f t="shared" si="64"/>
        <v>0</v>
      </c>
      <c r="S282" s="4">
        <f t="shared" si="56"/>
        <v>0</v>
      </c>
      <c r="T282" s="4">
        <f t="shared" si="66"/>
        <v>153.50993792963934</v>
      </c>
      <c r="U282" s="4">
        <f t="shared" si="65"/>
        <v>153.50993792963934</v>
      </c>
      <c r="V282" s="4">
        <f t="shared" si="57"/>
        <v>0</v>
      </c>
      <c r="W282" s="4">
        <f t="shared" si="58"/>
        <v>9.603418933258324</v>
      </c>
    </row>
    <row r="283" spans="2:23" ht="12.75">
      <c r="B283" s="19">
        <v>248</v>
      </c>
      <c r="C283" s="58">
        <v>37138</v>
      </c>
      <c r="D283" s="50">
        <v>0</v>
      </c>
      <c r="E283" s="10">
        <f ca="1" t="shared" si="69"/>
        <v>18.6</v>
      </c>
      <c r="F283" s="10">
        <f ca="1" t="shared" si="69"/>
        <v>4.822</v>
      </c>
      <c r="G283" s="10">
        <f ca="1" t="shared" si="69"/>
        <v>0</v>
      </c>
      <c r="H283" s="10">
        <f t="shared" si="59"/>
        <v>18.6</v>
      </c>
      <c r="I283" s="10">
        <f>IF((SUM(H$36:H283)&gt;GDD_budbreak),(IF(((E283-10)&gt;0),(E283-10),0)),0)</f>
        <v>8.600000000000001</v>
      </c>
      <c r="J283" s="4">
        <f>IF((B283&lt;LeafDropDay),(SUM(I$36:I283)),0)</f>
        <v>1342.9</v>
      </c>
      <c r="K283" s="4">
        <f t="shared" si="53"/>
        <v>1.5098999999553413</v>
      </c>
      <c r="L283" s="4">
        <f t="shared" si="54"/>
        <v>0.5958382055875314</v>
      </c>
      <c r="M283" s="4">
        <f t="shared" si="60"/>
        <v>0.34236872382023953</v>
      </c>
      <c r="N283" s="4">
        <f t="shared" si="55"/>
        <v>0.20399636605034466</v>
      </c>
      <c r="O283" s="4">
        <f t="shared" si="61"/>
        <v>0</v>
      </c>
      <c r="P283" s="10">
        <f t="shared" si="62"/>
        <v>0</v>
      </c>
      <c r="Q283" s="10">
        <f t="shared" si="63"/>
        <v>-0.983670477094762</v>
      </c>
      <c r="R283" s="4">
        <f t="shared" si="64"/>
        <v>0</v>
      </c>
      <c r="S283" s="4">
        <f t="shared" si="56"/>
        <v>0</v>
      </c>
      <c r="T283" s="4">
        <f t="shared" si="66"/>
        <v>152.52626745254457</v>
      </c>
      <c r="U283" s="4">
        <f t="shared" si="65"/>
        <v>152.52626745254457</v>
      </c>
      <c r="V283" s="4">
        <f t="shared" si="57"/>
        <v>0</v>
      </c>
      <c r="W283" s="4">
        <f t="shared" si="58"/>
        <v>9.967682510995902</v>
      </c>
    </row>
    <row r="284" spans="2:23" ht="12.75">
      <c r="B284" s="19">
        <v>249</v>
      </c>
      <c r="C284" s="58">
        <v>37139</v>
      </c>
      <c r="D284" s="50">
        <v>0</v>
      </c>
      <c r="E284" s="10">
        <f ca="1" t="shared" si="69"/>
        <v>21.15</v>
      </c>
      <c r="F284" s="10">
        <f ca="1" t="shared" si="69"/>
        <v>5.33</v>
      </c>
      <c r="G284" s="10">
        <f ca="1" t="shared" si="69"/>
        <v>0</v>
      </c>
      <c r="H284" s="10">
        <f t="shared" si="59"/>
        <v>21.15</v>
      </c>
      <c r="I284" s="10">
        <f>IF((SUM(H$36:H284)&gt;GDD_budbreak),(IF(((E284-10)&gt;0),(E284-10),0)),0)</f>
        <v>11.149999999999999</v>
      </c>
      <c r="J284" s="4">
        <f>IF((B284&lt;LeafDropDay),(SUM(I$36:I284)),0)</f>
        <v>1354.0500000000002</v>
      </c>
      <c r="K284" s="4">
        <f t="shared" si="53"/>
        <v>1.5098999999639218</v>
      </c>
      <c r="L284" s="4">
        <f t="shared" si="54"/>
        <v>0.5958382055896122</v>
      </c>
      <c r="M284" s="4">
        <f t="shared" si="60"/>
        <v>0.2903310698577284</v>
      </c>
      <c r="N284" s="4">
        <f t="shared" si="55"/>
        <v>0.17299034369094124</v>
      </c>
      <c r="O284" s="4">
        <f t="shared" si="61"/>
        <v>0</v>
      </c>
      <c r="P284" s="10">
        <f t="shared" si="62"/>
        <v>0</v>
      </c>
      <c r="Q284" s="10">
        <f t="shared" si="63"/>
        <v>-0.9220385318727168</v>
      </c>
      <c r="R284" s="4">
        <f t="shared" si="64"/>
        <v>0</v>
      </c>
      <c r="S284" s="4">
        <f t="shared" si="56"/>
        <v>0</v>
      </c>
      <c r="T284" s="4">
        <f t="shared" si="66"/>
        <v>151.60422892067186</v>
      </c>
      <c r="U284" s="4">
        <f t="shared" si="65"/>
        <v>151.60422892067186</v>
      </c>
      <c r="V284" s="4">
        <f t="shared" si="57"/>
        <v>0</v>
      </c>
      <c r="W284" s="4">
        <f t="shared" si="58"/>
        <v>10.323915696982935</v>
      </c>
    </row>
    <row r="285" spans="2:23" ht="12.75">
      <c r="B285" s="19">
        <v>250</v>
      </c>
      <c r="C285" s="58">
        <v>37140</v>
      </c>
      <c r="D285" s="50">
        <v>0</v>
      </c>
      <c r="E285" s="10">
        <f ca="1" t="shared" si="69"/>
        <v>16.15</v>
      </c>
      <c r="F285" s="10">
        <f ca="1" t="shared" si="69"/>
        <v>5.076</v>
      </c>
      <c r="G285" s="10">
        <f ca="1" t="shared" si="69"/>
        <v>0</v>
      </c>
      <c r="H285" s="10">
        <f t="shared" si="59"/>
        <v>16.15</v>
      </c>
      <c r="I285" s="10">
        <f>IF((SUM(H$36:H285)&gt;GDD_budbreak),(IF(((E285-10)&gt;0),(E285-10),0)),0)</f>
        <v>6.149999999999999</v>
      </c>
      <c r="J285" s="4">
        <f>IF((B285&lt;LeafDropDay),(SUM(I$36:I285)),0)</f>
        <v>1360.2000000000003</v>
      </c>
      <c r="K285" s="4">
        <f t="shared" si="53"/>
        <v>1.5098999999714338</v>
      </c>
      <c r="L285" s="4">
        <f t="shared" si="54"/>
        <v>0.5958382055914337</v>
      </c>
      <c r="M285" s="4">
        <f t="shared" si="60"/>
        <v>0.23944061471672362</v>
      </c>
      <c r="N285" s="4">
        <f t="shared" si="55"/>
        <v>0.14266786621852245</v>
      </c>
      <c r="O285" s="4">
        <f t="shared" si="61"/>
        <v>0</v>
      </c>
      <c r="P285" s="10">
        <f t="shared" si="62"/>
        <v>0</v>
      </c>
      <c r="Q285" s="10">
        <f t="shared" si="63"/>
        <v>-0.72418208892522</v>
      </c>
      <c r="R285" s="4">
        <f t="shared" si="64"/>
        <v>0</v>
      </c>
      <c r="S285" s="4">
        <f t="shared" si="56"/>
        <v>0</v>
      </c>
      <c r="T285" s="4">
        <f t="shared" si="66"/>
        <v>150.88004683174663</v>
      </c>
      <c r="U285" s="4">
        <f t="shared" si="65"/>
        <v>150.88004683174663</v>
      </c>
      <c r="V285" s="4">
        <f t="shared" si="57"/>
        <v>0</v>
      </c>
      <c r="W285" s="4">
        <f t="shared" si="58"/>
        <v>10.614202937663357</v>
      </c>
    </row>
    <row r="286" spans="2:23" ht="12.75">
      <c r="B286" s="19">
        <v>251</v>
      </c>
      <c r="C286" s="58">
        <v>37141</v>
      </c>
      <c r="D286" s="50">
        <v>0</v>
      </c>
      <c r="E286" s="10">
        <f ca="1" t="shared" si="69"/>
        <v>16.7</v>
      </c>
      <c r="F286" s="10">
        <f ca="1" t="shared" si="69"/>
        <v>4.315</v>
      </c>
      <c r="G286" s="10">
        <f ca="1" t="shared" si="69"/>
        <v>0</v>
      </c>
      <c r="H286" s="10">
        <f t="shared" si="59"/>
        <v>16.7</v>
      </c>
      <c r="I286" s="10">
        <f>IF((SUM(H$36:H286)&gt;GDD_budbreak),(IF(((E286-10)&gt;0),(E286-10),0)),0)</f>
        <v>6.699999999999999</v>
      </c>
      <c r="J286" s="4">
        <f>IF((B286&lt;LeafDropDay),(SUM(I$36:I286)),0)</f>
        <v>1366.9000000000003</v>
      </c>
      <c r="K286" s="4">
        <f t="shared" si="53"/>
        <v>1.5098999999777987</v>
      </c>
      <c r="L286" s="4">
        <f t="shared" si="54"/>
        <v>0.5958382055929773</v>
      </c>
      <c r="M286" s="4">
        <f t="shared" si="60"/>
        <v>0.19797100890523467</v>
      </c>
      <c r="N286" s="4">
        <f t="shared" si="55"/>
        <v>0.11795869070552635</v>
      </c>
      <c r="O286" s="4">
        <f t="shared" si="61"/>
        <v>0</v>
      </c>
      <c r="P286" s="10">
        <f t="shared" si="62"/>
        <v>0</v>
      </c>
      <c r="Q286" s="10">
        <f t="shared" si="63"/>
        <v>-0.5089917503943463</v>
      </c>
      <c r="R286" s="4">
        <f t="shared" si="64"/>
        <v>0</v>
      </c>
      <c r="S286" s="4">
        <f t="shared" si="56"/>
        <v>0</v>
      </c>
      <c r="T286" s="4">
        <f t="shared" si="66"/>
        <v>150.37105508135227</v>
      </c>
      <c r="U286" s="4">
        <f t="shared" si="65"/>
        <v>150.37105508135227</v>
      </c>
      <c r="V286" s="4">
        <f t="shared" si="57"/>
        <v>0</v>
      </c>
      <c r="W286" s="4">
        <f t="shared" si="58"/>
        <v>10.823965824437511</v>
      </c>
    </row>
    <row r="287" spans="2:23" ht="12.75">
      <c r="B287" s="19">
        <v>252</v>
      </c>
      <c r="C287" s="58">
        <v>37142</v>
      </c>
      <c r="D287" s="50">
        <v>0</v>
      </c>
      <c r="E287" s="10">
        <f ca="1" t="shared" si="69"/>
        <v>17.2</v>
      </c>
      <c r="F287" s="10">
        <f ca="1" t="shared" si="69"/>
        <v>4.315</v>
      </c>
      <c r="G287" s="10">
        <f ca="1" t="shared" si="69"/>
        <v>0</v>
      </c>
      <c r="H287" s="10">
        <f t="shared" si="59"/>
        <v>17.2</v>
      </c>
      <c r="I287" s="10">
        <f>IF((SUM(H$36:H287)&gt;GDD_budbreak),(IF(((E287-10)&gt;0),(E287-10),0)),0)</f>
        <v>7.199999999999999</v>
      </c>
      <c r="J287" s="4">
        <f>IF((B287&lt;LeafDropDay),(SUM(I$36:I287)),0)</f>
        <v>1374.1000000000004</v>
      </c>
      <c r="K287" s="4">
        <f t="shared" si="53"/>
        <v>1.5098999999820855</v>
      </c>
      <c r="L287" s="4">
        <f t="shared" si="54"/>
        <v>0.5958382055940168</v>
      </c>
      <c r="M287" s="4">
        <f t="shared" si="60"/>
        <v>0.16800488222321264</v>
      </c>
      <c r="N287" s="4">
        <f t="shared" si="55"/>
        <v>0.10010372755491315</v>
      </c>
      <c r="O287" s="4">
        <f t="shared" si="61"/>
        <v>0</v>
      </c>
      <c r="P287" s="10">
        <f t="shared" si="62"/>
        <v>0</v>
      </c>
      <c r="Q287" s="10">
        <f t="shared" si="63"/>
        <v>-0.43194758439945025</v>
      </c>
      <c r="R287" s="4">
        <f t="shared" si="64"/>
        <v>0</v>
      </c>
      <c r="S287" s="4">
        <f t="shared" si="56"/>
        <v>0</v>
      </c>
      <c r="T287" s="4">
        <f t="shared" si="66"/>
        <v>149.93910749695283</v>
      </c>
      <c r="U287" s="4">
        <f t="shared" si="65"/>
        <v>149.93910749695283</v>
      </c>
      <c r="V287" s="4">
        <f t="shared" si="57"/>
        <v>0</v>
      </c>
      <c r="W287" s="4">
        <f t="shared" si="58"/>
        <v>11.005798798389133</v>
      </c>
    </row>
    <row r="288" spans="2:23" ht="12.75">
      <c r="B288" s="19">
        <v>253</v>
      </c>
      <c r="C288" s="58">
        <v>37143</v>
      </c>
      <c r="D288" s="50">
        <v>0</v>
      </c>
      <c r="E288" s="10">
        <f ca="1" t="shared" si="69"/>
        <v>16.1</v>
      </c>
      <c r="F288" s="10">
        <f ca="1" t="shared" si="69"/>
        <v>4.569</v>
      </c>
      <c r="G288" s="10">
        <f ca="1" t="shared" si="69"/>
        <v>0</v>
      </c>
      <c r="H288" s="10">
        <f t="shared" si="59"/>
        <v>16.1</v>
      </c>
      <c r="I288" s="10">
        <f>IF((SUM(H$36:H288)&gt;GDD_budbreak),(IF(((E288-10)&gt;0),(E288-10),0)),0)</f>
        <v>6.100000000000001</v>
      </c>
      <c r="J288" s="4">
        <f>IF((B288&lt;LeafDropDay),(SUM(I$36:I288)),0)</f>
        <v>1380.2000000000003</v>
      </c>
      <c r="K288" s="4">
        <f t="shared" si="53"/>
        <v>1.5098999999870362</v>
      </c>
      <c r="L288" s="4">
        <f t="shared" si="54"/>
        <v>0.5958382055952174</v>
      </c>
      <c r="M288" s="4">
        <f t="shared" si="60"/>
        <v>0.14202874308726676</v>
      </c>
      <c r="N288" s="4">
        <f t="shared" si="55"/>
        <v>0.08462615142406116</v>
      </c>
      <c r="O288" s="4">
        <f t="shared" si="61"/>
        <v>0</v>
      </c>
      <c r="P288" s="10">
        <f t="shared" si="62"/>
        <v>0</v>
      </c>
      <c r="Q288" s="10">
        <f t="shared" si="63"/>
        <v>-0.3866568858565354</v>
      </c>
      <c r="R288" s="4">
        <f t="shared" si="64"/>
        <v>10</v>
      </c>
      <c r="S288" s="4">
        <f t="shared" si="56"/>
        <v>4.905280512</v>
      </c>
      <c r="T288" s="4">
        <f t="shared" si="66"/>
        <v>159.5524506110963</v>
      </c>
      <c r="U288" s="4">
        <f t="shared" si="65"/>
        <v>159.5524506110963</v>
      </c>
      <c r="V288" s="4">
        <f t="shared" si="57"/>
        <v>0</v>
      </c>
      <c r="W288" s="4">
        <f t="shared" si="58"/>
        <v>7.679343332026106</v>
      </c>
    </row>
    <row r="289" spans="2:23" ht="12.75">
      <c r="B289" s="19">
        <v>254</v>
      </c>
      <c r="C289" s="58">
        <v>37144</v>
      </c>
      <c r="D289" s="50">
        <v>0</v>
      </c>
      <c r="E289" s="10">
        <f ca="1" t="shared" si="69"/>
        <v>19.15</v>
      </c>
      <c r="F289" s="10">
        <f ca="1" t="shared" si="69"/>
        <v>4.569</v>
      </c>
      <c r="G289" s="10">
        <f ca="1" t="shared" si="69"/>
        <v>0</v>
      </c>
      <c r="H289" s="10">
        <f t="shared" si="59"/>
        <v>19.15</v>
      </c>
      <c r="I289" s="10">
        <f>IF((SUM(H$36:H289)&gt;GDD_budbreak),(IF(((E289-10)&gt;0),(E289-10),0)),0)</f>
        <v>9.149999999999999</v>
      </c>
      <c r="J289" s="4">
        <f>IF((B289&lt;LeafDropDay),(SUM(I$36:I289)),0)</f>
        <v>1389.3500000000004</v>
      </c>
      <c r="K289" s="4">
        <f t="shared" si="53"/>
        <v>1.509899999989261</v>
      </c>
      <c r="L289" s="4">
        <f t="shared" si="54"/>
        <v>0.5958382055957568</v>
      </c>
      <c r="M289" s="4">
        <f t="shared" si="60"/>
        <v>0.6172366668534134</v>
      </c>
      <c r="N289" s="4">
        <f t="shared" si="55"/>
        <v>0.3677731880058438</v>
      </c>
      <c r="O289" s="4">
        <f t="shared" si="61"/>
        <v>0</v>
      </c>
      <c r="P289" s="10">
        <f t="shared" si="62"/>
        <v>0</v>
      </c>
      <c r="Q289" s="10">
        <f t="shared" si="63"/>
        <v>-1.6803556959987003</v>
      </c>
      <c r="R289" s="4">
        <f t="shared" si="64"/>
        <v>0</v>
      </c>
      <c r="S289" s="4">
        <f t="shared" si="56"/>
        <v>0</v>
      </c>
      <c r="T289" s="4">
        <f t="shared" si="66"/>
        <v>157.8720949150976</v>
      </c>
      <c r="U289" s="4">
        <f t="shared" si="65"/>
        <v>157.8720949150976</v>
      </c>
      <c r="V289" s="4">
        <f t="shared" si="57"/>
        <v>0</v>
      </c>
      <c r="W289" s="4">
        <f t="shared" si="58"/>
        <v>8.164937641954005</v>
      </c>
    </row>
    <row r="290" spans="2:23" ht="12.75">
      <c r="B290" s="19">
        <v>255</v>
      </c>
      <c r="C290" s="58">
        <v>37145</v>
      </c>
      <c r="D290" s="50">
        <v>0</v>
      </c>
      <c r="E290" s="10">
        <f ca="1" t="shared" si="69"/>
        <v>15.3</v>
      </c>
      <c r="F290" s="10">
        <f ca="1" t="shared" si="69"/>
        <v>4.061</v>
      </c>
      <c r="G290" s="10">
        <f ca="1" t="shared" si="69"/>
        <v>0</v>
      </c>
      <c r="H290" s="10">
        <f t="shared" si="59"/>
        <v>15.3</v>
      </c>
      <c r="I290" s="10">
        <f>IF((SUM(H$36:H290)&gt;GDD_budbreak),(IF(((E290-10)&gt;0),(E290-10),0)),0)</f>
        <v>5.300000000000001</v>
      </c>
      <c r="J290" s="4">
        <f>IF((B290&lt;LeafDropDay),(SUM(I$36:I290)),0)</f>
        <v>1394.6500000000003</v>
      </c>
      <c r="K290" s="4">
        <f t="shared" si="53"/>
        <v>1.5098999999920282</v>
      </c>
      <c r="L290" s="4">
        <f t="shared" si="54"/>
        <v>0.595838205596428</v>
      </c>
      <c r="M290" s="4">
        <f t="shared" si="60"/>
        <v>0.5478660511494279</v>
      </c>
      <c r="N290" s="4">
        <f t="shared" si="55"/>
        <v>0.32643952482407596</v>
      </c>
      <c r="O290" s="4">
        <f t="shared" si="61"/>
        <v>0</v>
      </c>
      <c r="P290" s="10">
        <f t="shared" si="62"/>
        <v>0</v>
      </c>
      <c r="Q290" s="10">
        <f t="shared" si="63"/>
        <v>-1.3256709103105724</v>
      </c>
      <c r="R290" s="4">
        <f t="shared" si="64"/>
        <v>0</v>
      </c>
      <c r="S290" s="4">
        <f t="shared" si="56"/>
        <v>0</v>
      </c>
      <c r="T290" s="4">
        <f t="shared" si="66"/>
        <v>156.546424004787</v>
      </c>
      <c r="U290" s="4">
        <f t="shared" si="65"/>
        <v>156.546424004787</v>
      </c>
      <c r="V290" s="4">
        <f t="shared" si="57"/>
        <v>0</v>
      </c>
      <c r="W290" s="4">
        <f t="shared" si="58"/>
        <v>8.573570171037288</v>
      </c>
    </row>
    <row r="291" spans="2:23" ht="12.75">
      <c r="B291" s="19">
        <v>256</v>
      </c>
      <c r="C291" s="58">
        <v>37146</v>
      </c>
      <c r="D291" s="50">
        <v>0</v>
      </c>
      <c r="E291" s="10">
        <f ca="1" t="shared" si="69"/>
        <v>18.35</v>
      </c>
      <c r="F291" s="10">
        <f ca="1" t="shared" si="69"/>
        <v>3.807</v>
      </c>
      <c r="G291" s="10">
        <f ca="1" t="shared" si="69"/>
        <v>0</v>
      </c>
      <c r="H291" s="10">
        <f t="shared" si="59"/>
        <v>18.35</v>
      </c>
      <c r="I291" s="10">
        <f>IF((SUM(H$36:H291)&gt;GDD_budbreak),(IF(((E291-10)&gt;0),(E291-10),0)),0)</f>
        <v>8.350000000000001</v>
      </c>
      <c r="J291" s="4">
        <f>IF((B291&lt;LeafDropDay),(SUM(I$36:I291)),0)</f>
        <v>1403.0000000000002</v>
      </c>
      <c r="K291" s="4">
        <f t="shared" si="53"/>
        <v>1.5098999999945422</v>
      </c>
      <c r="L291" s="4">
        <f t="shared" si="54"/>
        <v>0.5958382055970375</v>
      </c>
      <c r="M291" s="4">
        <f t="shared" si="60"/>
        <v>0.48948997556610174</v>
      </c>
      <c r="N291" s="4">
        <f t="shared" si="55"/>
        <v>0.2916568286990438</v>
      </c>
      <c r="O291" s="4">
        <f t="shared" si="61"/>
        <v>0</v>
      </c>
      <c r="P291" s="10">
        <f t="shared" si="62"/>
        <v>0</v>
      </c>
      <c r="Q291" s="10">
        <f t="shared" si="63"/>
        <v>-1.1103375468572598</v>
      </c>
      <c r="R291" s="4">
        <f t="shared" si="64"/>
        <v>0</v>
      </c>
      <c r="S291" s="4">
        <f t="shared" si="56"/>
        <v>0</v>
      </c>
      <c r="T291" s="4">
        <f t="shared" si="66"/>
        <v>155.43608645792975</v>
      </c>
      <c r="U291" s="4">
        <f t="shared" si="65"/>
        <v>155.43608645792975</v>
      </c>
      <c r="V291" s="4">
        <f t="shared" si="57"/>
        <v>0</v>
      </c>
      <c r="W291" s="4">
        <f t="shared" si="58"/>
        <v>8.934375228185667</v>
      </c>
    </row>
    <row r="292" spans="2:23" ht="12.75">
      <c r="B292" s="19">
        <v>257</v>
      </c>
      <c r="C292" s="58">
        <v>37147</v>
      </c>
      <c r="D292" s="50">
        <v>0</v>
      </c>
      <c r="E292" s="10">
        <f ca="1" t="shared" si="69"/>
        <v>20.55</v>
      </c>
      <c r="F292" s="10">
        <f ca="1" t="shared" si="69"/>
        <v>4.569</v>
      </c>
      <c r="G292" s="10">
        <f ca="1" t="shared" si="69"/>
        <v>0</v>
      </c>
      <c r="H292" s="10">
        <f t="shared" si="59"/>
        <v>20.55</v>
      </c>
      <c r="I292" s="10">
        <f>IF((SUM(H$36:H292)&gt;GDD_budbreak),(IF(((E292-10)&gt;0),(E292-10),0)),0)</f>
        <v>10.55</v>
      </c>
      <c r="J292" s="4">
        <f>IF((B292&lt;LeafDropDay),(SUM(I$36:I292)),0)</f>
        <v>1413.5500000000002</v>
      </c>
      <c r="K292" s="4">
        <f aca="true" t="shared" si="70" ref="K292:K355">IF(J292&gt;0,((1.0066-1.0118*EXP(-5.0278*(J293/GDD_MaxLAI)^1.9331))*MaxLAI),0)</f>
        <v>1.5098999999957996</v>
      </c>
      <c r="L292" s="4">
        <f aca="true" t="shared" si="71" ref="L292:L355">1-EXP(-ExtCoeff*K292)</f>
        <v>0.5958382055973425</v>
      </c>
      <c r="M292" s="4">
        <f t="shared" si="60"/>
        <v>0.4379463959734762</v>
      </c>
      <c r="N292" s="4">
        <f aca="true" t="shared" si="72" ref="N292:N355">IF(AlterKc?&gt;0,L292*M292,L292)</f>
        <v>0.26094519472465927</v>
      </c>
      <c r="O292" s="4">
        <f t="shared" si="61"/>
        <v>0</v>
      </c>
      <c r="P292" s="10">
        <f t="shared" si="62"/>
        <v>0</v>
      </c>
      <c r="Q292" s="10">
        <f t="shared" si="63"/>
        <v>-1.1922585946969682</v>
      </c>
      <c r="R292" s="4">
        <f t="shared" si="64"/>
        <v>0</v>
      </c>
      <c r="S292" s="4">
        <f aca="true" t="shared" si="73" ref="S292:S355">R292*IrrConv</f>
        <v>0</v>
      </c>
      <c r="T292" s="4">
        <f t="shared" si="66"/>
        <v>154.24382786323278</v>
      </c>
      <c r="U292" s="4">
        <f t="shared" si="65"/>
        <v>154.24382786323278</v>
      </c>
      <c r="V292" s="4">
        <f aca="true" t="shared" si="74" ref="V292:V355">IF((T292&gt;SMatFC),((T292-SMatFC)*-V$29),0)</f>
        <v>0</v>
      </c>
      <c r="W292" s="4">
        <f aca="true" t="shared" si="75" ref="W292:W355">((SoilA*(U292/((RootDepth*1000)*(1-(Gravel/100))))^SoilB)/100)</f>
        <v>9.341797896192524</v>
      </c>
    </row>
    <row r="293" spans="2:23" ht="12.75">
      <c r="B293" s="19">
        <v>258</v>
      </c>
      <c r="C293" s="58">
        <v>37148</v>
      </c>
      <c r="D293" s="50">
        <v>0</v>
      </c>
      <c r="E293" s="10">
        <f ca="1" t="shared" si="69"/>
        <v>17.25</v>
      </c>
      <c r="F293" s="10">
        <f ca="1" t="shared" si="69"/>
        <v>3.807</v>
      </c>
      <c r="G293" s="10">
        <f ca="1" t="shared" si="69"/>
        <v>0</v>
      </c>
      <c r="H293" s="10">
        <f aca="true" t="shared" si="76" ref="H293:H356">IF(((E293-0)&gt;0),(E293-0),0)</f>
        <v>17.25</v>
      </c>
      <c r="I293" s="10">
        <f>IF((SUM(H$36:H293)&gt;GDD_budbreak),(IF(((E293-10)&gt;0),(E293-10),0)),0)</f>
        <v>7.25</v>
      </c>
      <c r="J293" s="4">
        <f>IF((B293&lt;LeafDropDay),(SUM(I$36:I293)),0)</f>
        <v>1420.8000000000002</v>
      </c>
      <c r="K293" s="4">
        <f t="shared" si="70"/>
        <v>1.509899999996664</v>
      </c>
      <c r="L293" s="4">
        <f t="shared" si="71"/>
        <v>0.5958382055975521</v>
      </c>
      <c r="M293" s="4">
        <f aca="true" t="shared" si="77" ref="M293:M356">IF((W292&gt;LWP_KcMax),IF(W292&lt;LWP_Kc0,(1-((W292-LWP_KcMax)/(LWP_Kc0-LWP_KcMax))),0),1)</f>
        <v>0.37974315768678224</v>
      </c>
      <c r="N293" s="4">
        <f t="shared" si="72"/>
        <v>0.2262654816640406</v>
      </c>
      <c r="O293" s="4">
        <f aca="true" t="shared" si="78" ref="O293:O356">IF(CC_cover&gt;0,(IF(B293&lt;CCLastDay,(IF((U292&gt;(SMatFC*CC_SMdeath)),(((U292-(SMatFC*CC_SMdeath))/(SMatFC-(SMatFC*CC_SMdeath)))*CC_cover),0)),0)),0)</f>
        <v>0</v>
      </c>
      <c r="P293" s="10">
        <f aca="true" t="shared" si="79" ref="P293:P356">F293*O293*-1</f>
        <v>0</v>
      </c>
      <c r="Q293" s="10">
        <f aca="true" t="shared" si="80" ref="Q293:Q356">F293*N293*-1</f>
        <v>-0.8613926886950025</v>
      </c>
      <c r="R293" s="4">
        <f aca="true" t="shared" si="81" ref="R293:R356">IF((SimIrr?=1),(IF((U292&lt;SMatIrrig),((SMatOptLWP-SMatIrrig)*2),0)),D293)</f>
        <v>0</v>
      </c>
      <c r="S293" s="4">
        <f t="shared" si="73"/>
        <v>0</v>
      </c>
      <c r="T293" s="4">
        <f t="shared" si="66"/>
        <v>153.3824351745378</v>
      </c>
      <c r="U293" s="4">
        <f aca="true" t="shared" si="82" ref="U293:U356">T293+V293</f>
        <v>153.3824351745378</v>
      </c>
      <c r="V293" s="4">
        <f t="shared" si="74"/>
        <v>0</v>
      </c>
      <c r="W293" s="4">
        <f t="shared" si="75"/>
        <v>9.649743038361393</v>
      </c>
    </row>
    <row r="294" spans="2:23" ht="12.75">
      <c r="B294" s="19">
        <v>259</v>
      </c>
      <c r="C294" s="58">
        <v>37149</v>
      </c>
      <c r="D294" s="50">
        <v>0</v>
      </c>
      <c r="E294" s="10">
        <f ca="1" t="shared" si="69"/>
        <v>16.35</v>
      </c>
      <c r="F294" s="10">
        <f ca="1" t="shared" si="69"/>
        <v>3.3</v>
      </c>
      <c r="G294" s="10">
        <f ca="1" t="shared" si="69"/>
        <v>0</v>
      </c>
      <c r="H294" s="10">
        <f t="shared" si="76"/>
        <v>16.35</v>
      </c>
      <c r="I294" s="10">
        <f>IF((SUM(H$36:H294)&gt;GDD_budbreak),(IF(((E294-10)&gt;0),(E294-10),0)),0)</f>
        <v>6.350000000000001</v>
      </c>
      <c r="J294" s="4">
        <f>IF((B294&lt;LeafDropDay),(SUM(I$36:I294)),0)</f>
        <v>1427.15</v>
      </c>
      <c r="K294" s="4">
        <f t="shared" si="70"/>
        <v>1.5098999999974385</v>
      </c>
      <c r="L294" s="4">
        <f t="shared" si="71"/>
        <v>0.5958382055977398</v>
      </c>
      <c r="M294" s="4">
        <f t="shared" si="77"/>
        <v>0.33575099451980095</v>
      </c>
      <c r="N294" s="4">
        <f t="shared" si="72"/>
        <v>0.20005327010233476</v>
      </c>
      <c r="O294" s="4">
        <f t="shared" si="78"/>
        <v>0</v>
      </c>
      <c r="P294" s="10">
        <f t="shared" si="79"/>
        <v>0</v>
      </c>
      <c r="Q294" s="10">
        <f t="shared" si="80"/>
        <v>-0.6601757913377047</v>
      </c>
      <c r="R294" s="4">
        <f t="shared" si="81"/>
        <v>0</v>
      </c>
      <c r="S294" s="4">
        <f t="shared" si="73"/>
        <v>0</v>
      </c>
      <c r="T294" s="4">
        <f aca="true" t="shared" si="83" ref="T294:T357">G294+P294+Q294+R294+U293</f>
        <v>152.72225938320008</v>
      </c>
      <c r="U294" s="4">
        <f t="shared" si="82"/>
        <v>152.72225938320008</v>
      </c>
      <c r="V294" s="4">
        <f t="shared" si="74"/>
        <v>0</v>
      </c>
      <c r="W294" s="4">
        <f t="shared" si="75"/>
        <v>9.893829654738887</v>
      </c>
    </row>
    <row r="295" spans="2:23" ht="12.75">
      <c r="B295" s="19">
        <v>260</v>
      </c>
      <c r="C295" s="58">
        <v>37150</v>
      </c>
      <c r="D295" s="50">
        <v>0</v>
      </c>
      <c r="E295" s="10">
        <f ca="1" t="shared" si="69"/>
        <v>17.25</v>
      </c>
      <c r="F295" s="10">
        <f ca="1" t="shared" si="69"/>
        <v>3.3</v>
      </c>
      <c r="G295" s="10">
        <f ca="1" t="shared" si="69"/>
        <v>0</v>
      </c>
      <c r="H295" s="10">
        <f t="shared" si="76"/>
        <v>17.25</v>
      </c>
      <c r="I295" s="10">
        <f>IF((SUM(H$36:H295)&gt;GDD_budbreak),(IF(((E295-10)&gt;0),(E295-10),0)),0)</f>
        <v>7.25</v>
      </c>
      <c r="J295" s="4">
        <f>IF((B295&lt;LeafDropDay),(SUM(I$36:I295)),0)</f>
        <v>1434.4</v>
      </c>
      <c r="K295" s="4">
        <f t="shared" si="70"/>
        <v>1.5098999999979736</v>
      </c>
      <c r="L295" s="4">
        <f t="shared" si="71"/>
        <v>0.5958382055978697</v>
      </c>
      <c r="M295" s="4">
        <f t="shared" si="77"/>
        <v>0.30088147789444464</v>
      </c>
      <c r="N295" s="4">
        <f t="shared" si="72"/>
        <v>0.179276679886261</v>
      </c>
      <c r="O295" s="4">
        <f t="shared" si="78"/>
        <v>0</v>
      </c>
      <c r="P295" s="10">
        <f t="shared" si="79"/>
        <v>0</v>
      </c>
      <c r="Q295" s="10">
        <f t="shared" si="80"/>
        <v>-0.5916130436246613</v>
      </c>
      <c r="R295" s="4">
        <f t="shared" si="81"/>
        <v>0</v>
      </c>
      <c r="S295" s="4">
        <f t="shared" si="73"/>
        <v>0</v>
      </c>
      <c r="T295" s="4">
        <f t="shared" si="83"/>
        <v>152.13064633957543</v>
      </c>
      <c r="U295" s="4">
        <f t="shared" si="82"/>
        <v>152.13064633957543</v>
      </c>
      <c r="V295" s="4">
        <f t="shared" si="74"/>
        <v>0</v>
      </c>
      <c r="W295" s="4">
        <f t="shared" si="75"/>
        <v>10.118737590466468</v>
      </c>
    </row>
    <row r="296" spans="2:23" ht="12.75">
      <c r="B296" s="19">
        <v>261</v>
      </c>
      <c r="C296" s="58">
        <v>37151</v>
      </c>
      <c r="D296" s="50">
        <v>0</v>
      </c>
      <c r="E296" s="10">
        <f ca="1" t="shared" si="84" ref="E296:G315">INDIRECT(WeatherSheet&amp;"!"&amp;E665)</f>
        <v>16.4</v>
      </c>
      <c r="F296" s="10">
        <f ca="1" t="shared" si="84"/>
        <v>3.3</v>
      </c>
      <c r="G296" s="10">
        <f ca="1" t="shared" si="84"/>
        <v>0</v>
      </c>
      <c r="H296" s="10">
        <f t="shared" si="76"/>
        <v>16.4</v>
      </c>
      <c r="I296" s="10">
        <f>IF((SUM(H$36:H296)&gt;GDD_budbreak),(IF(((E296-10)&gt;0),(E296-10),0)),0)</f>
        <v>6.399999999999999</v>
      </c>
      <c r="J296" s="4">
        <f>IF((B296&lt;LeafDropDay),(SUM(I$36:I296)),0)</f>
        <v>1440.8000000000002</v>
      </c>
      <c r="K296" s="4">
        <f t="shared" si="70"/>
        <v>1.5098999999984761</v>
      </c>
      <c r="L296" s="4">
        <f t="shared" si="71"/>
        <v>0.5958382055979915</v>
      </c>
      <c r="M296" s="4">
        <f t="shared" si="77"/>
        <v>0.26875177279050455</v>
      </c>
      <c r="N296" s="4">
        <f t="shared" si="72"/>
        <v>0.16013257405077336</v>
      </c>
      <c r="O296" s="4">
        <f t="shared" si="78"/>
        <v>0</v>
      </c>
      <c r="P296" s="10">
        <f t="shared" si="79"/>
        <v>0</v>
      </c>
      <c r="Q296" s="10">
        <f t="shared" si="80"/>
        <v>-0.528437494367552</v>
      </c>
      <c r="R296" s="4">
        <f t="shared" si="81"/>
        <v>0</v>
      </c>
      <c r="S296" s="4">
        <f t="shared" si="73"/>
        <v>0</v>
      </c>
      <c r="T296" s="4">
        <f t="shared" si="83"/>
        <v>151.60220884520788</v>
      </c>
      <c r="U296" s="4">
        <f t="shared" si="82"/>
        <v>151.60220884520788</v>
      </c>
      <c r="V296" s="4">
        <f t="shared" si="74"/>
        <v>0</v>
      </c>
      <c r="W296" s="4">
        <f t="shared" si="75"/>
        <v>10.324712393081972</v>
      </c>
    </row>
    <row r="297" spans="2:23" ht="12.75">
      <c r="B297" s="19">
        <v>262</v>
      </c>
      <c r="C297" s="58">
        <v>37152</v>
      </c>
      <c r="D297" s="50">
        <v>0</v>
      </c>
      <c r="E297" s="10">
        <f ca="1" t="shared" si="84"/>
        <v>17.75</v>
      </c>
      <c r="F297" s="10">
        <f ca="1" t="shared" si="84"/>
        <v>3.3</v>
      </c>
      <c r="G297" s="10">
        <f ca="1" t="shared" si="84"/>
        <v>0</v>
      </c>
      <c r="H297" s="10">
        <f t="shared" si="76"/>
        <v>17.75</v>
      </c>
      <c r="I297" s="10">
        <f>IF((SUM(H$36:H297)&gt;GDD_budbreak),(IF(((E297-10)&gt;0),(E297-10),0)),0)</f>
        <v>7.75</v>
      </c>
      <c r="J297" s="4">
        <f>IF((B297&lt;LeafDropDay),(SUM(I$36:I297)),0)</f>
        <v>1448.5500000000002</v>
      </c>
      <c r="K297" s="4">
        <f t="shared" si="70"/>
        <v>1.5098999999988452</v>
      </c>
      <c r="L297" s="4">
        <f t="shared" si="71"/>
        <v>0.595838205598081</v>
      </c>
      <c r="M297" s="4">
        <f t="shared" si="77"/>
        <v>0.23932680098828973</v>
      </c>
      <c r="N297" s="4">
        <f t="shared" si="72"/>
        <v>0.1426000516523916</v>
      </c>
      <c r="O297" s="4">
        <f t="shared" si="78"/>
        <v>0</v>
      </c>
      <c r="P297" s="10">
        <f t="shared" si="79"/>
        <v>0</v>
      </c>
      <c r="Q297" s="10">
        <f t="shared" si="80"/>
        <v>-0.47058017045289224</v>
      </c>
      <c r="R297" s="4">
        <f t="shared" si="81"/>
        <v>0</v>
      </c>
      <c r="S297" s="4">
        <f t="shared" si="73"/>
        <v>0</v>
      </c>
      <c r="T297" s="4">
        <f t="shared" si="83"/>
        <v>151.13162867475498</v>
      </c>
      <c r="U297" s="4">
        <f t="shared" si="82"/>
        <v>151.13162867475498</v>
      </c>
      <c r="V297" s="4">
        <f t="shared" si="74"/>
        <v>0</v>
      </c>
      <c r="W297" s="4">
        <f t="shared" si="75"/>
        <v>10.51228469985589</v>
      </c>
    </row>
    <row r="298" spans="2:23" ht="12.75">
      <c r="B298" s="19">
        <v>263</v>
      </c>
      <c r="C298" s="58">
        <v>37153</v>
      </c>
      <c r="D298" s="50">
        <v>0</v>
      </c>
      <c r="E298" s="10">
        <f ca="1" t="shared" si="84"/>
        <v>17.5</v>
      </c>
      <c r="F298" s="10">
        <f ca="1" t="shared" si="84"/>
        <v>3.553</v>
      </c>
      <c r="G298" s="10">
        <f ca="1" t="shared" si="84"/>
        <v>0</v>
      </c>
      <c r="H298" s="10">
        <f t="shared" si="76"/>
        <v>17.5</v>
      </c>
      <c r="I298" s="10">
        <f>IF((SUM(H$36:H298)&gt;GDD_budbreak),(IF(((E298-10)&gt;0),(E298-10),0)),0)</f>
        <v>7.5</v>
      </c>
      <c r="J298" s="4">
        <f>IF((B298&lt;LeafDropDay),(SUM(I$36:I298)),0)</f>
        <v>1456.0500000000002</v>
      </c>
      <c r="K298" s="4">
        <f t="shared" si="70"/>
        <v>1.5098999999990892</v>
      </c>
      <c r="L298" s="4">
        <f t="shared" si="71"/>
        <v>0.5958382055981402</v>
      </c>
      <c r="M298" s="4">
        <f t="shared" si="77"/>
        <v>0.21253075716344427</v>
      </c>
      <c r="N298" s="4">
        <f t="shared" si="72"/>
        <v>0.1266339449826807</v>
      </c>
      <c r="O298" s="4">
        <f t="shared" si="78"/>
        <v>0</v>
      </c>
      <c r="P298" s="10">
        <f t="shared" si="79"/>
        <v>0</v>
      </c>
      <c r="Q298" s="10">
        <f t="shared" si="80"/>
        <v>-0.44993040652346455</v>
      </c>
      <c r="R298" s="4">
        <f t="shared" si="81"/>
        <v>0</v>
      </c>
      <c r="S298" s="4">
        <f t="shared" si="73"/>
        <v>0</v>
      </c>
      <c r="T298" s="4">
        <f t="shared" si="83"/>
        <v>150.68169826823151</v>
      </c>
      <c r="U298" s="4">
        <f t="shared" si="82"/>
        <v>150.68169826823151</v>
      </c>
      <c r="V298" s="4">
        <f t="shared" si="74"/>
        <v>0</v>
      </c>
      <c r="W298" s="4">
        <f t="shared" si="75"/>
        <v>10.695373378029135</v>
      </c>
    </row>
    <row r="299" spans="2:23" ht="12.75">
      <c r="B299" s="19">
        <v>264</v>
      </c>
      <c r="C299" s="58">
        <v>37154</v>
      </c>
      <c r="D299" s="50">
        <v>0</v>
      </c>
      <c r="E299" s="10">
        <f ca="1" t="shared" si="84"/>
        <v>16.4</v>
      </c>
      <c r="F299" s="10">
        <f ca="1" t="shared" si="84"/>
        <v>3.3</v>
      </c>
      <c r="G299" s="10">
        <f ca="1" t="shared" si="84"/>
        <v>0</v>
      </c>
      <c r="H299" s="10">
        <f t="shared" si="76"/>
        <v>16.4</v>
      </c>
      <c r="I299" s="10">
        <f>IF((SUM(H$36:H299)&gt;GDD_budbreak),(IF(((E299-10)&gt;0),(E299-10),0)),0)</f>
        <v>6.399999999999999</v>
      </c>
      <c r="J299" s="4">
        <f>IF((B299&lt;LeafDropDay),(SUM(I$36:I299)),0)</f>
        <v>1462.4500000000003</v>
      </c>
      <c r="K299" s="4">
        <f t="shared" si="70"/>
        <v>1.5098999999993192</v>
      </c>
      <c r="L299" s="4">
        <f t="shared" si="71"/>
        <v>0.5958382055981959</v>
      </c>
      <c r="M299" s="4">
        <f t="shared" si="77"/>
        <v>0.1863752317101236</v>
      </c>
      <c r="N299" s="4">
        <f t="shared" si="72"/>
        <v>0.11104948363010803</v>
      </c>
      <c r="O299" s="4">
        <f t="shared" si="78"/>
        <v>0</v>
      </c>
      <c r="P299" s="10">
        <f t="shared" si="79"/>
        <v>0</v>
      </c>
      <c r="Q299" s="10">
        <f t="shared" si="80"/>
        <v>-0.36646329597935645</v>
      </c>
      <c r="R299" s="4">
        <f t="shared" si="81"/>
        <v>0</v>
      </c>
      <c r="S299" s="4">
        <f t="shared" si="73"/>
        <v>0</v>
      </c>
      <c r="T299" s="4">
        <f t="shared" si="83"/>
        <v>150.31523497225217</v>
      </c>
      <c r="U299" s="4">
        <f t="shared" si="82"/>
        <v>150.31523497225217</v>
      </c>
      <c r="V299" s="4">
        <f t="shared" si="74"/>
        <v>0</v>
      </c>
      <c r="W299" s="4">
        <f t="shared" si="75"/>
        <v>10.847264582666618</v>
      </c>
    </row>
    <row r="300" spans="2:23" ht="12.75">
      <c r="B300" s="19">
        <v>265</v>
      </c>
      <c r="C300" s="58">
        <v>37155</v>
      </c>
      <c r="D300" s="50">
        <v>0</v>
      </c>
      <c r="E300" s="10">
        <f ca="1" t="shared" si="84"/>
        <v>17.8</v>
      </c>
      <c r="F300" s="10">
        <f ca="1" t="shared" si="84"/>
        <v>3.553</v>
      </c>
      <c r="G300" s="10">
        <f ca="1" t="shared" si="84"/>
        <v>0</v>
      </c>
      <c r="H300" s="10">
        <f t="shared" si="76"/>
        <v>17.8</v>
      </c>
      <c r="I300" s="10">
        <f>IF((SUM(H$36:H300)&gt;GDD_budbreak),(IF(((E300-10)&gt;0),(E300-10),0)),0)</f>
        <v>7.800000000000001</v>
      </c>
      <c r="J300" s="4">
        <f>IF((B300&lt;LeafDropDay),(SUM(I$36:I300)),0)</f>
        <v>1470.2500000000002</v>
      </c>
      <c r="K300" s="4">
        <f t="shared" si="70"/>
        <v>1.5098999999994644</v>
      </c>
      <c r="L300" s="4">
        <f t="shared" si="71"/>
        <v>0.5958382055982312</v>
      </c>
      <c r="M300" s="4">
        <f t="shared" si="77"/>
        <v>0.16467648819048308</v>
      </c>
      <c r="N300" s="4">
        <f t="shared" si="72"/>
        <v>0.09812054322763575</v>
      </c>
      <c r="O300" s="4">
        <f t="shared" si="78"/>
        <v>0</v>
      </c>
      <c r="P300" s="10">
        <f t="shared" si="79"/>
        <v>0</v>
      </c>
      <c r="Q300" s="10">
        <f t="shared" si="80"/>
        <v>-0.34862229008778983</v>
      </c>
      <c r="R300" s="4">
        <f t="shared" si="81"/>
        <v>0</v>
      </c>
      <c r="S300" s="4">
        <f t="shared" si="73"/>
        <v>0</v>
      </c>
      <c r="T300" s="4">
        <f t="shared" si="83"/>
        <v>149.96661268216437</v>
      </c>
      <c r="U300" s="4">
        <f t="shared" si="82"/>
        <v>149.96661268216437</v>
      </c>
      <c r="V300" s="4">
        <f t="shared" si="74"/>
        <v>0</v>
      </c>
      <c r="W300" s="4">
        <f t="shared" si="75"/>
        <v>10.994113950681331</v>
      </c>
    </row>
    <row r="301" spans="2:23" ht="12.75">
      <c r="B301" s="19">
        <v>266</v>
      </c>
      <c r="C301" s="58">
        <v>37156</v>
      </c>
      <c r="D301" s="50">
        <v>0</v>
      </c>
      <c r="E301" s="10">
        <f ca="1" t="shared" si="84"/>
        <v>16.4</v>
      </c>
      <c r="F301" s="10">
        <f ca="1" t="shared" si="84"/>
        <v>2.792</v>
      </c>
      <c r="G301" s="10">
        <f ca="1" t="shared" si="84"/>
        <v>0</v>
      </c>
      <c r="H301" s="10">
        <f t="shared" si="76"/>
        <v>16.4</v>
      </c>
      <c r="I301" s="10">
        <f>IF((SUM(H$36:H301)&gt;GDD_budbreak),(IF(((E301-10)&gt;0),(E301-10),0)),0)</f>
        <v>6.399999999999999</v>
      </c>
      <c r="J301" s="4">
        <f>IF((B301&lt;LeafDropDay),(SUM(I$36:I301)),0)</f>
        <v>1476.6500000000003</v>
      </c>
      <c r="K301" s="4">
        <f t="shared" si="70"/>
        <v>1.509899999999574</v>
      </c>
      <c r="L301" s="4">
        <f t="shared" si="71"/>
        <v>0.5958382055982576</v>
      </c>
      <c r="M301" s="4">
        <f t="shared" si="77"/>
        <v>0.14369800704552405</v>
      </c>
      <c r="N301" s="4">
        <f t="shared" si="72"/>
        <v>0.08562076266605083</v>
      </c>
      <c r="O301" s="4">
        <f t="shared" si="78"/>
        <v>0</v>
      </c>
      <c r="P301" s="10">
        <f t="shared" si="79"/>
        <v>0</v>
      </c>
      <c r="Q301" s="10">
        <f t="shared" si="80"/>
        <v>-0.2390531693636139</v>
      </c>
      <c r="R301" s="4">
        <f t="shared" si="81"/>
        <v>10</v>
      </c>
      <c r="S301" s="4">
        <f t="shared" si="73"/>
        <v>4.905280512</v>
      </c>
      <c r="T301" s="4">
        <f t="shared" si="83"/>
        <v>159.72755951280075</v>
      </c>
      <c r="U301" s="4">
        <f t="shared" si="82"/>
        <v>159.72755951280075</v>
      </c>
      <c r="V301" s="4">
        <f t="shared" si="74"/>
        <v>0</v>
      </c>
      <c r="W301" s="4">
        <f t="shared" si="75"/>
        <v>7.6307155732635</v>
      </c>
    </row>
    <row r="302" spans="2:23" ht="12.75">
      <c r="B302" s="19">
        <v>267</v>
      </c>
      <c r="C302" s="58">
        <v>37157</v>
      </c>
      <c r="D302" s="50">
        <v>0</v>
      </c>
      <c r="E302" s="10">
        <f ca="1" t="shared" si="84"/>
        <v>16.1</v>
      </c>
      <c r="F302" s="10">
        <f ca="1" t="shared" si="84"/>
        <v>2.284</v>
      </c>
      <c r="G302" s="10">
        <f ca="1" t="shared" si="84"/>
        <v>0</v>
      </c>
      <c r="H302" s="10">
        <f t="shared" si="76"/>
        <v>16.1</v>
      </c>
      <c r="I302" s="10">
        <f>IF((SUM(H$36:H302)&gt;GDD_budbreak),(IF(((E302-10)&gt;0),(E302-10),0)),0)</f>
        <v>6.100000000000001</v>
      </c>
      <c r="J302" s="4">
        <f>IF((B302&lt;LeafDropDay),(SUM(I$36:I302)),0)</f>
        <v>1482.7500000000002</v>
      </c>
      <c r="K302" s="4">
        <f t="shared" si="70"/>
        <v>1.5098999999996887</v>
      </c>
      <c r="L302" s="4">
        <f t="shared" si="71"/>
        <v>0.5958382055982856</v>
      </c>
      <c r="M302" s="4">
        <f t="shared" si="77"/>
        <v>0.6241834895337857</v>
      </c>
      <c r="N302" s="4">
        <f t="shared" si="72"/>
        <v>0.3719123703678871</v>
      </c>
      <c r="O302" s="4">
        <f t="shared" si="78"/>
        <v>0</v>
      </c>
      <c r="P302" s="10">
        <f t="shared" si="79"/>
        <v>0</v>
      </c>
      <c r="Q302" s="10">
        <f t="shared" si="80"/>
        <v>-0.849447853920254</v>
      </c>
      <c r="R302" s="4">
        <f t="shared" si="81"/>
        <v>0</v>
      </c>
      <c r="S302" s="4">
        <f t="shared" si="73"/>
        <v>0</v>
      </c>
      <c r="T302" s="4">
        <f t="shared" si="83"/>
        <v>158.8781116588805</v>
      </c>
      <c r="U302" s="4">
        <f t="shared" si="82"/>
        <v>158.8781116588805</v>
      </c>
      <c r="V302" s="4">
        <f t="shared" si="74"/>
        <v>0</v>
      </c>
      <c r="W302" s="4">
        <f t="shared" si="75"/>
        <v>7.870033224260125</v>
      </c>
    </row>
    <row r="303" spans="2:23" ht="12.75">
      <c r="B303" s="19">
        <v>268</v>
      </c>
      <c r="C303" s="58">
        <v>37158</v>
      </c>
      <c r="D303" s="50">
        <v>0</v>
      </c>
      <c r="E303" s="10">
        <f ca="1" t="shared" si="84"/>
        <v>18.3</v>
      </c>
      <c r="F303" s="10">
        <f ca="1" t="shared" si="84"/>
        <v>3.046</v>
      </c>
      <c r="G303" s="10">
        <f ca="1" t="shared" si="84"/>
        <v>0</v>
      </c>
      <c r="H303" s="10">
        <f t="shared" si="76"/>
        <v>18.3</v>
      </c>
      <c r="I303" s="10">
        <f>IF((SUM(H$36:H303)&gt;GDD_budbreak),(IF(((E303-10)&gt;0),(E303-10),0)),0)</f>
        <v>8.3</v>
      </c>
      <c r="J303" s="4">
        <f>IF((B303&lt;LeafDropDay),(SUM(I$36:I303)),0)</f>
        <v>1491.0500000000002</v>
      </c>
      <c r="K303" s="4">
        <f t="shared" si="70"/>
        <v>1.509899999999787</v>
      </c>
      <c r="L303" s="4">
        <f t="shared" si="71"/>
        <v>0.5958382055983094</v>
      </c>
      <c r="M303" s="4">
        <f t="shared" si="77"/>
        <v>0.5899952536771249</v>
      </c>
      <c r="N303" s="4">
        <f t="shared" si="72"/>
        <v>0.35154171326249745</v>
      </c>
      <c r="O303" s="4">
        <f t="shared" si="78"/>
        <v>0</v>
      </c>
      <c r="P303" s="10">
        <f t="shared" si="79"/>
        <v>0</v>
      </c>
      <c r="Q303" s="10">
        <f t="shared" si="80"/>
        <v>-1.070796058597567</v>
      </c>
      <c r="R303" s="4">
        <f t="shared" si="81"/>
        <v>0</v>
      </c>
      <c r="S303" s="4">
        <f t="shared" si="73"/>
        <v>0</v>
      </c>
      <c r="T303" s="4">
        <f t="shared" si="83"/>
        <v>157.80731560028292</v>
      </c>
      <c r="U303" s="4">
        <f t="shared" si="82"/>
        <v>157.80731560028292</v>
      </c>
      <c r="V303" s="4">
        <f t="shared" si="74"/>
        <v>0</v>
      </c>
      <c r="W303" s="4">
        <f t="shared" si="75"/>
        <v>8.18436713628538</v>
      </c>
    </row>
    <row r="304" spans="2:23" ht="12.75">
      <c r="B304" s="19">
        <v>269</v>
      </c>
      <c r="C304" s="58">
        <v>37159</v>
      </c>
      <c r="D304" s="50">
        <v>0</v>
      </c>
      <c r="E304" s="10">
        <f ca="1" t="shared" si="84"/>
        <v>20</v>
      </c>
      <c r="F304" s="10">
        <f ca="1" t="shared" si="84"/>
        <v>3.807</v>
      </c>
      <c r="G304" s="10">
        <f ca="1" t="shared" si="84"/>
        <v>0</v>
      </c>
      <c r="H304" s="10">
        <f t="shared" si="76"/>
        <v>20</v>
      </c>
      <c r="I304" s="10">
        <f>IF((SUM(H$36:H304)&gt;GDD_budbreak),(IF(((E304-10)&gt;0),(E304-10),0)),0)</f>
        <v>10</v>
      </c>
      <c r="J304" s="4">
        <f>IF((B304&lt;LeafDropDay),(SUM(I$36:I304)),0)</f>
        <v>1501.0500000000002</v>
      </c>
      <c r="K304" s="4">
        <f t="shared" si="70"/>
        <v>1.509899999999845</v>
      </c>
      <c r="L304" s="4">
        <f t="shared" si="71"/>
        <v>0.5958382055983233</v>
      </c>
      <c r="M304" s="4">
        <f t="shared" si="77"/>
        <v>0.5450904091020887</v>
      </c>
      <c r="N304" s="4">
        <f t="shared" si="72"/>
        <v>0.3247856912482445</v>
      </c>
      <c r="O304" s="4">
        <f t="shared" si="78"/>
        <v>0</v>
      </c>
      <c r="P304" s="10">
        <f t="shared" si="79"/>
        <v>0</v>
      </c>
      <c r="Q304" s="10">
        <f t="shared" si="80"/>
        <v>-1.2364591265820668</v>
      </c>
      <c r="R304" s="4">
        <f t="shared" si="81"/>
        <v>0</v>
      </c>
      <c r="S304" s="4">
        <f t="shared" si="73"/>
        <v>0</v>
      </c>
      <c r="T304" s="4">
        <f t="shared" si="83"/>
        <v>156.57085647370084</v>
      </c>
      <c r="U304" s="4">
        <f t="shared" si="82"/>
        <v>156.57085647370084</v>
      </c>
      <c r="V304" s="4">
        <f t="shared" si="74"/>
        <v>0</v>
      </c>
      <c r="W304" s="4">
        <f t="shared" si="75"/>
        <v>8.565825052008258</v>
      </c>
    </row>
    <row r="305" spans="2:23" ht="12.75">
      <c r="B305" s="19">
        <v>270</v>
      </c>
      <c r="C305" s="58">
        <v>37160</v>
      </c>
      <c r="D305" s="50">
        <v>0</v>
      </c>
      <c r="E305" s="10">
        <f ca="1" t="shared" si="84"/>
        <v>18.35</v>
      </c>
      <c r="F305" s="10">
        <f ca="1" t="shared" si="84"/>
        <v>3.553</v>
      </c>
      <c r="G305" s="10">
        <f ca="1" t="shared" si="84"/>
        <v>0</v>
      </c>
      <c r="H305" s="10">
        <f t="shared" si="76"/>
        <v>18.35</v>
      </c>
      <c r="I305" s="10">
        <f>IF((SUM(H$36:H305)&gt;GDD_budbreak),(IF(((E305-10)&gt;0),(E305-10),0)),0)</f>
        <v>8.350000000000001</v>
      </c>
      <c r="J305" s="4">
        <f>IF((B305&lt;LeafDropDay),(SUM(I$36:I305)),0)</f>
        <v>1509.4</v>
      </c>
      <c r="K305" s="4">
        <f t="shared" si="70"/>
        <v>1.5098999999998814</v>
      </c>
      <c r="L305" s="4">
        <f t="shared" si="71"/>
        <v>0.5958382055983322</v>
      </c>
      <c r="M305" s="4">
        <f t="shared" si="77"/>
        <v>0.49059642114167745</v>
      </c>
      <c r="N305" s="4">
        <f t="shared" si="72"/>
        <v>0.2923160912460208</v>
      </c>
      <c r="O305" s="4">
        <f t="shared" si="78"/>
        <v>0</v>
      </c>
      <c r="P305" s="10">
        <f t="shared" si="79"/>
        <v>0</v>
      </c>
      <c r="Q305" s="10">
        <f t="shared" si="80"/>
        <v>-1.038599072197112</v>
      </c>
      <c r="R305" s="4">
        <f t="shared" si="81"/>
        <v>0</v>
      </c>
      <c r="S305" s="4">
        <f t="shared" si="73"/>
        <v>0</v>
      </c>
      <c r="T305" s="4">
        <f t="shared" si="83"/>
        <v>155.53225740150373</v>
      </c>
      <c r="U305" s="4">
        <f t="shared" si="82"/>
        <v>155.53225740150373</v>
      </c>
      <c r="V305" s="4">
        <f t="shared" si="74"/>
        <v>0</v>
      </c>
      <c r="W305" s="4">
        <f t="shared" si="75"/>
        <v>8.902429219156224</v>
      </c>
    </row>
    <row r="306" spans="2:23" ht="12.75">
      <c r="B306" s="19">
        <v>271</v>
      </c>
      <c r="C306" s="58">
        <v>37161</v>
      </c>
      <c r="D306" s="50">
        <v>0</v>
      </c>
      <c r="E306" s="10">
        <f ca="1" t="shared" si="84"/>
        <v>16.95</v>
      </c>
      <c r="F306" s="10">
        <f ca="1" t="shared" si="84"/>
        <v>3.807</v>
      </c>
      <c r="G306" s="10">
        <f ca="1" t="shared" si="84"/>
        <v>0</v>
      </c>
      <c r="H306" s="10">
        <f t="shared" si="76"/>
        <v>16.95</v>
      </c>
      <c r="I306" s="10">
        <f>IF((SUM(H$36:H306)&gt;GDD_budbreak),(IF(((E306-10)&gt;0),(E306-10),0)),0)</f>
        <v>6.949999999999999</v>
      </c>
      <c r="J306" s="4">
        <f>IF((B306&lt;LeafDropDay),(SUM(I$36:I306)),0)</f>
        <v>1516.3500000000001</v>
      </c>
      <c r="K306" s="4">
        <f t="shared" si="70"/>
        <v>1.5098999999999183</v>
      </c>
      <c r="L306" s="4">
        <f t="shared" si="71"/>
        <v>0.5958382055983412</v>
      </c>
      <c r="M306" s="4">
        <f t="shared" si="77"/>
        <v>0.4425101115491109</v>
      </c>
      <c r="N306" s="4">
        <f t="shared" si="72"/>
        <v>0.26366443082454405</v>
      </c>
      <c r="O306" s="4">
        <f t="shared" si="78"/>
        <v>0</v>
      </c>
      <c r="P306" s="10">
        <f t="shared" si="79"/>
        <v>0</v>
      </c>
      <c r="Q306" s="10">
        <f t="shared" si="80"/>
        <v>-1.0037704881490392</v>
      </c>
      <c r="R306" s="4">
        <f t="shared" si="81"/>
        <v>0</v>
      </c>
      <c r="S306" s="4">
        <f t="shared" si="73"/>
        <v>0</v>
      </c>
      <c r="T306" s="4">
        <f t="shared" si="83"/>
        <v>154.5284869133547</v>
      </c>
      <c r="U306" s="4">
        <f t="shared" si="82"/>
        <v>154.5284869133547</v>
      </c>
      <c r="V306" s="4">
        <f t="shared" si="74"/>
        <v>0</v>
      </c>
      <c r="W306" s="4">
        <f t="shared" si="75"/>
        <v>9.242577053544514</v>
      </c>
    </row>
    <row r="307" spans="2:23" ht="12.75">
      <c r="B307" s="19">
        <v>272</v>
      </c>
      <c r="C307" s="58">
        <v>37162</v>
      </c>
      <c r="D307" s="50">
        <v>0</v>
      </c>
      <c r="E307" s="10">
        <f ca="1" t="shared" si="84"/>
        <v>19.7</v>
      </c>
      <c r="F307" s="10">
        <f ca="1" t="shared" si="84"/>
        <v>3.807</v>
      </c>
      <c r="G307" s="10">
        <f ca="1" t="shared" si="84"/>
        <v>0</v>
      </c>
      <c r="H307" s="10">
        <f t="shared" si="76"/>
        <v>19.7</v>
      </c>
      <c r="I307" s="10">
        <f>IF((SUM(H$36:H307)&gt;GDD_budbreak),(IF(((E307-10)&gt;0),(E307-10),0)),0)</f>
        <v>9.7</v>
      </c>
      <c r="J307" s="4">
        <f>IF((B307&lt;LeafDropDay),(SUM(I$36:I307)),0)</f>
        <v>1526.0500000000002</v>
      </c>
      <c r="K307" s="4">
        <f t="shared" si="70"/>
        <v>1.5098999999999536</v>
      </c>
      <c r="L307" s="4">
        <f t="shared" si="71"/>
        <v>0.5958382055983498</v>
      </c>
      <c r="M307" s="4">
        <f t="shared" si="77"/>
        <v>0.39391756377935516</v>
      </c>
      <c r="N307" s="4">
        <f t="shared" si="72"/>
        <v>0.23471113435596447</v>
      </c>
      <c r="O307" s="4">
        <f t="shared" si="78"/>
        <v>0</v>
      </c>
      <c r="P307" s="10">
        <f t="shared" si="79"/>
        <v>0</v>
      </c>
      <c r="Q307" s="10">
        <f t="shared" si="80"/>
        <v>-0.8935452884931567</v>
      </c>
      <c r="R307" s="4">
        <f t="shared" si="81"/>
        <v>0</v>
      </c>
      <c r="S307" s="4">
        <f t="shared" si="73"/>
        <v>0</v>
      </c>
      <c r="T307" s="4">
        <f t="shared" si="83"/>
        <v>153.63494162486154</v>
      </c>
      <c r="U307" s="4">
        <f t="shared" si="82"/>
        <v>153.63494162486154</v>
      </c>
      <c r="V307" s="4">
        <f t="shared" si="74"/>
        <v>0</v>
      </c>
      <c r="W307" s="4">
        <f t="shared" si="75"/>
        <v>9.558255747662741</v>
      </c>
    </row>
    <row r="308" spans="2:23" ht="12.75">
      <c r="B308" s="19">
        <v>273</v>
      </c>
      <c r="C308" s="58">
        <v>37163</v>
      </c>
      <c r="D308" s="50">
        <v>0</v>
      </c>
      <c r="E308" s="10">
        <f ca="1" t="shared" si="84"/>
        <v>24.45</v>
      </c>
      <c r="F308" s="10">
        <f ca="1" t="shared" si="84"/>
        <v>4.569</v>
      </c>
      <c r="G308" s="10">
        <f ca="1" t="shared" si="84"/>
        <v>0</v>
      </c>
      <c r="H308" s="10">
        <f t="shared" si="76"/>
        <v>24.45</v>
      </c>
      <c r="I308" s="10">
        <f>IF((SUM(H$36:H308)&gt;GDD_budbreak),(IF(((E308-10)&gt;0),(E308-10),0)),0)</f>
        <v>14.45</v>
      </c>
      <c r="J308" s="4">
        <f>IF((B308&lt;LeafDropDay),(SUM(I$36:I308)),0)</f>
        <v>1540.5000000000002</v>
      </c>
      <c r="K308" s="4">
        <f t="shared" si="70"/>
        <v>1.5098999999999736</v>
      </c>
      <c r="L308" s="4">
        <f t="shared" si="71"/>
        <v>0.5958382055983547</v>
      </c>
      <c r="M308" s="4">
        <f t="shared" si="77"/>
        <v>0.34882060747675125</v>
      </c>
      <c r="N308" s="4">
        <f t="shared" si="72"/>
        <v>0.2078406448346755</v>
      </c>
      <c r="O308" s="4">
        <f t="shared" si="78"/>
        <v>0</v>
      </c>
      <c r="P308" s="10">
        <f t="shared" si="79"/>
        <v>0</v>
      </c>
      <c r="Q308" s="10">
        <f t="shared" si="80"/>
        <v>-0.9496239062496323</v>
      </c>
      <c r="R308" s="4">
        <f t="shared" si="81"/>
        <v>0</v>
      </c>
      <c r="S308" s="4">
        <f t="shared" si="73"/>
        <v>0</v>
      </c>
      <c r="T308" s="4">
        <f t="shared" si="83"/>
        <v>152.6853177186119</v>
      </c>
      <c r="U308" s="4">
        <f t="shared" si="82"/>
        <v>152.6853177186119</v>
      </c>
      <c r="V308" s="4">
        <f t="shared" si="74"/>
        <v>0</v>
      </c>
      <c r="W308" s="4">
        <f t="shared" si="75"/>
        <v>9.907700650923799</v>
      </c>
    </row>
    <row r="309" spans="2:23" ht="12.75">
      <c r="B309" s="19">
        <v>274</v>
      </c>
      <c r="C309" s="58">
        <v>37164</v>
      </c>
      <c r="D309" s="50">
        <v>0</v>
      </c>
      <c r="E309" s="10">
        <f ca="1" t="shared" si="84"/>
        <v>24.45</v>
      </c>
      <c r="F309" s="10">
        <f ca="1" t="shared" si="84"/>
        <v>4.315</v>
      </c>
      <c r="G309" s="10">
        <f ca="1" t="shared" si="84"/>
        <v>0</v>
      </c>
      <c r="H309" s="10">
        <f t="shared" si="76"/>
        <v>24.45</v>
      </c>
      <c r="I309" s="10">
        <f>IF((SUM(H$36:H309)&gt;GDD_budbreak),(IF(((E309-10)&gt;0),(E309-10),0)),0)</f>
        <v>14.45</v>
      </c>
      <c r="J309" s="4">
        <f>IF((B309&lt;LeafDropDay),(SUM(I$36:I309)),0)</f>
        <v>1554.9500000000003</v>
      </c>
      <c r="K309" s="4">
        <f t="shared" si="70"/>
        <v>1.5098999999999823</v>
      </c>
      <c r="L309" s="4">
        <f t="shared" si="71"/>
        <v>0.5958382055983567</v>
      </c>
      <c r="M309" s="4">
        <f t="shared" si="77"/>
        <v>0.29889990701088587</v>
      </c>
      <c r="N309" s="4">
        <f t="shared" si="72"/>
        <v>0.1780959842468819</v>
      </c>
      <c r="O309" s="4">
        <f t="shared" si="78"/>
        <v>0</v>
      </c>
      <c r="P309" s="10">
        <f t="shared" si="79"/>
        <v>0</v>
      </c>
      <c r="Q309" s="10">
        <f t="shared" si="80"/>
        <v>-0.7684841720252954</v>
      </c>
      <c r="R309" s="4">
        <f t="shared" si="81"/>
        <v>0</v>
      </c>
      <c r="S309" s="4">
        <f t="shared" si="73"/>
        <v>0</v>
      </c>
      <c r="T309" s="4">
        <f t="shared" si="83"/>
        <v>151.91683354658662</v>
      </c>
      <c r="U309" s="4">
        <f t="shared" si="82"/>
        <v>151.91683354658662</v>
      </c>
      <c r="V309" s="4">
        <f t="shared" si="74"/>
        <v>0</v>
      </c>
      <c r="W309" s="4">
        <f t="shared" si="75"/>
        <v>10.201491948086607</v>
      </c>
    </row>
    <row r="310" spans="2:23" ht="12.75">
      <c r="B310" s="19">
        <v>275</v>
      </c>
      <c r="C310" s="58">
        <v>37165</v>
      </c>
      <c r="D310" s="50">
        <v>0</v>
      </c>
      <c r="E310" s="10">
        <f ca="1" t="shared" si="84"/>
        <v>20.3</v>
      </c>
      <c r="F310" s="10">
        <f ca="1" t="shared" si="84"/>
        <v>3.553</v>
      </c>
      <c r="G310" s="10">
        <f ca="1" t="shared" si="84"/>
        <v>0</v>
      </c>
      <c r="H310" s="10">
        <f t="shared" si="76"/>
        <v>20.3</v>
      </c>
      <c r="I310" s="10">
        <f>IF((SUM(H$36:H310)&gt;GDD_budbreak),(IF(((E310-10)&gt;0),(E310-10),0)),0)</f>
        <v>10.3</v>
      </c>
      <c r="J310" s="4">
        <f>IF((B310&lt;LeafDropDay),(SUM(I$36:I310)),0)</f>
        <v>1565.2500000000002</v>
      </c>
      <c r="K310" s="4">
        <f t="shared" si="70"/>
        <v>1.509899999999988</v>
      </c>
      <c r="L310" s="4">
        <f t="shared" si="71"/>
        <v>0.5958382055983581</v>
      </c>
      <c r="M310" s="4">
        <f t="shared" si="77"/>
        <v>0.2569297217019132</v>
      </c>
      <c r="N310" s="4">
        <f t="shared" si="72"/>
        <v>0.1530885443437535</v>
      </c>
      <c r="O310" s="4">
        <f t="shared" si="78"/>
        <v>0</v>
      </c>
      <c r="P310" s="10">
        <f t="shared" si="79"/>
        <v>0</v>
      </c>
      <c r="Q310" s="10">
        <f t="shared" si="80"/>
        <v>-0.5439235980533561</v>
      </c>
      <c r="R310" s="4">
        <f t="shared" si="81"/>
        <v>0</v>
      </c>
      <c r="S310" s="4">
        <f t="shared" si="73"/>
        <v>0</v>
      </c>
      <c r="T310" s="4">
        <f t="shared" si="83"/>
        <v>151.37290994853325</v>
      </c>
      <c r="U310" s="4">
        <f t="shared" si="82"/>
        <v>151.37290994853325</v>
      </c>
      <c r="V310" s="4">
        <f t="shared" si="74"/>
        <v>0</v>
      </c>
      <c r="W310" s="4">
        <f t="shared" si="75"/>
        <v>10.415615816796853</v>
      </c>
    </row>
    <row r="311" spans="2:23" ht="12.75">
      <c r="B311" s="19">
        <v>276</v>
      </c>
      <c r="C311" s="58">
        <v>37166</v>
      </c>
      <c r="D311" s="50">
        <v>0</v>
      </c>
      <c r="E311" s="10">
        <f ca="1" t="shared" si="84"/>
        <v>19.7</v>
      </c>
      <c r="F311" s="10">
        <f ca="1" t="shared" si="84"/>
        <v>3.553</v>
      </c>
      <c r="G311" s="10">
        <f ca="1" t="shared" si="84"/>
        <v>0</v>
      </c>
      <c r="H311" s="10">
        <f t="shared" si="76"/>
        <v>19.7</v>
      </c>
      <c r="I311" s="10">
        <f>IF((SUM(H$36:H311)&gt;GDD_budbreak),(IF(((E311-10)&gt;0),(E311-10),0)),0)</f>
        <v>9.7</v>
      </c>
      <c r="J311" s="4">
        <f>IF((B311&lt;LeafDropDay),(SUM(I$36:I311)),0)</f>
        <v>1574.9500000000003</v>
      </c>
      <c r="K311" s="4">
        <f t="shared" si="70"/>
        <v>1.509899999999991</v>
      </c>
      <c r="L311" s="4">
        <f t="shared" si="71"/>
        <v>0.5958382055983589</v>
      </c>
      <c r="M311" s="4">
        <f t="shared" si="77"/>
        <v>0.22634059760044956</v>
      </c>
      <c r="N311" s="4">
        <f t="shared" si="72"/>
        <v>0.13486237552831207</v>
      </c>
      <c r="O311" s="4">
        <f t="shared" si="78"/>
        <v>0</v>
      </c>
      <c r="P311" s="10">
        <f t="shared" si="79"/>
        <v>0</v>
      </c>
      <c r="Q311" s="10">
        <f t="shared" si="80"/>
        <v>-0.47916602025209276</v>
      </c>
      <c r="R311" s="4">
        <f t="shared" si="81"/>
        <v>0</v>
      </c>
      <c r="S311" s="4">
        <f t="shared" si="73"/>
        <v>0</v>
      </c>
      <c r="T311" s="4">
        <f t="shared" si="83"/>
        <v>150.89374392828117</v>
      </c>
      <c r="U311" s="4">
        <f t="shared" si="82"/>
        <v>150.89374392828117</v>
      </c>
      <c r="V311" s="4">
        <f t="shared" si="74"/>
        <v>0</v>
      </c>
      <c r="W311" s="4">
        <f t="shared" si="75"/>
        <v>10.608624372094768</v>
      </c>
    </row>
    <row r="312" spans="2:23" ht="12.75">
      <c r="B312" s="19">
        <v>277</v>
      </c>
      <c r="C312" s="58">
        <v>37167</v>
      </c>
      <c r="D312" s="50">
        <v>0</v>
      </c>
      <c r="E312" s="10">
        <f ca="1" t="shared" si="84"/>
        <v>17.2</v>
      </c>
      <c r="F312" s="10">
        <f ca="1" t="shared" si="84"/>
        <v>2.538</v>
      </c>
      <c r="G312" s="10">
        <f ca="1" t="shared" si="84"/>
        <v>0</v>
      </c>
      <c r="H312" s="10">
        <f t="shared" si="76"/>
        <v>17.2</v>
      </c>
      <c r="I312" s="10">
        <f>IF((SUM(H$36:H312)&gt;GDD_budbreak),(IF(((E312-10)&gt;0),(E312-10),0)),0)</f>
        <v>7.199999999999999</v>
      </c>
      <c r="J312" s="4">
        <f>IF((B312&lt;LeafDropDay),(SUM(I$36:I312)),0)</f>
        <v>1582.1500000000003</v>
      </c>
      <c r="K312" s="4">
        <f t="shared" si="70"/>
        <v>1.509899999999993</v>
      </c>
      <c r="L312" s="4">
        <f t="shared" si="71"/>
        <v>0.5958382055983593</v>
      </c>
      <c r="M312" s="4">
        <f t="shared" si="77"/>
        <v>0.19876794684360455</v>
      </c>
      <c r="N312" s="4">
        <f t="shared" si="72"/>
        <v>0.1184335367777634</v>
      </c>
      <c r="O312" s="4">
        <f t="shared" si="78"/>
        <v>0</v>
      </c>
      <c r="P312" s="10">
        <f t="shared" si="79"/>
        <v>0</v>
      </c>
      <c r="Q312" s="10">
        <f t="shared" si="80"/>
        <v>-0.3005843163419635</v>
      </c>
      <c r="R312" s="4">
        <f t="shared" si="81"/>
        <v>0</v>
      </c>
      <c r="S312" s="4">
        <f t="shared" si="73"/>
        <v>0</v>
      </c>
      <c r="T312" s="4">
        <f t="shared" si="83"/>
        <v>150.5931596119392</v>
      </c>
      <c r="U312" s="4">
        <f t="shared" si="82"/>
        <v>150.5931596119392</v>
      </c>
      <c r="V312" s="4">
        <f t="shared" si="74"/>
        <v>0</v>
      </c>
      <c r="W312" s="4">
        <f t="shared" si="75"/>
        <v>10.731841017940871</v>
      </c>
    </row>
    <row r="313" spans="2:23" ht="12.75">
      <c r="B313" s="19">
        <v>278</v>
      </c>
      <c r="C313" s="58">
        <v>37168</v>
      </c>
      <c r="D313" s="50">
        <v>0</v>
      </c>
      <c r="E313" s="10">
        <f ca="1" t="shared" si="84"/>
        <v>16.35</v>
      </c>
      <c r="F313" s="10">
        <f ca="1" t="shared" si="84"/>
        <v>3.046</v>
      </c>
      <c r="G313" s="10">
        <f ca="1" t="shared" si="84"/>
        <v>0</v>
      </c>
      <c r="H313" s="10">
        <f t="shared" si="76"/>
        <v>16.35</v>
      </c>
      <c r="I313" s="10">
        <f>IF((SUM(H$36:H313)&gt;GDD_budbreak),(IF(((E313-10)&gt;0),(E313-10),0)),0)</f>
        <v>6.350000000000001</v>
      </c>
      <c r="J313" s="4">
        <f>IF((B313&lt;LeafDropDay),(SUM(I$36:I313)),0)</f>
        <v>1588.5000000000002</v>
      </c>
      <c r="K313" s="4">
        <f t="shared" si="70"/>
        <v>1.5098999999999938</v>
      </c>
      <c r="L313" s="4">
        <f t="shared" si="71"/>
        <v>0.5958382055983595</v>
      </c>
      <c r="M313" s="4">
        <f t="shared" si="77"/>
        <v>0.18116556886558988</v>
      </c>
      <c r="N313" s="4">
        <f t="shared" si="72"/>
        <v>0.10794536746907911</v>
      </c>
      <c r="O313" s="4">
        <f t="shared" si="78"/>
        <v>0</v>
      </c>
      <c r="P313" s="10">
        <f t="shared" si="79"/>
        <v>0</v>
      </c>
      <c r="Q313" s="10">
        <f t="shared" si="80"/>
        <v>-0.32880158931081493</v>
      </c>
      <c r="R313" s="4">
        <f t="shared" si="81"/>
        <v>0</v>
      </c>
      <c r="S313" s="4">
        <f t="shared" si="73"/>
        <v>0</v>
      </c>
      <c r="T313" s="4">
        <f t="shared" si="83"/>
        <v>150.2643580226284</v>
      </c>
      <c r="U313" s="4">
        <f t="shared" si="82"/>
        <v>150.2643580226284</v>
      </c>
      <c r="V313" s="4">
        <f t="shared" si="74"/>
        <v>0</v>
      </c>
      <c r="W313" s="4">
        <f t="shared" si="75"/>
        <v>10.868551359303469</v>
      </c>
    </row>
    <row r="314" spans="2:23" ht="12.75">
      <c r="B314" s="19">
        <v>279</v>
      </c>
      <c r="C314" s="58">
        <v>37169</v>
      </c>
      <c r="D314" s="50">
        <v>0</v>
      </c>
      <c r="E314" s="10">
        <f ca="1" t="shared" si="84"/>
        <v>14.2</v>
      </c>
      <c r="F314" s="10">
        <f ca="1" t="shared" si="84"/>
        <v>2.792</v>
      </c>
      <c r="G314" s="10">
        <f ca="1" t="shared" si="84"/>
        <v>0</v>
      </c>
      <c r="H314" s="10">
        <f t="shared" si="76"/>
        <v>14.2</v>
      </c>
      <c r="I314" s="10">
        <f>IF((SUM(H$36:H314)&gt;GDD_budbreak),(IF(((E314-10)&gt;0),(E314-10),0)),0)</f>
        <v>4.199999999999999</v>
      </c>
      <c r="J314" s="4">
        <f>IF((B314&lt;LeafDropDay),(SUM(I$36:I314)),0)</f>
        <v>1592.7000000000003</v>
      </c>
      <c r="K314" s="4">
        <f t="shared" si="70"/>
        <v>1.509899999999995</v>
      </c>
      <c r="L314" s="4">
        <f t="shared" si="71"/>
        <v>0.5958382055983598</v>
      </c>
      <c r="M314" s="4">
        <f t="shared" si="77"/>
        <v>0.16163552009950444</v>
      </c>
      <c r="N314" s="4">
        <f t="shared" si="72"/>
        <v>0.09630861825704634</v>
      </c>
      <c r="O314" s="4">
        <f t="shared" si="78"/>
        <v>0</v>
      </c>
      <c r="P314" s="10">
        <f t="shared" si="79"/>
        <v>0</v>
      </c>
      <c r="Q314" s="10">
        <f t="shared" si="80"/>
        <v>-0.2688936621736734</v>
      </c>
      <c r="R314" s="4">
        <f t="shared" si="81"/>
        <v>0</v>
      </c>
      <c r="S314" s="4">
        <f t="shared" si="73"/>
        <v>0</v>
      </c>
      <c r="T314" s="4">
        <f t="shared" si="83"/>
        <v>149.99546436045472</v>
      </c>
      <c r="U314" s="4">
        <f t="shared" si="82"/>
        <v>149.99546436045472</v>
      </c>
      <c r="V314" s="4">
        <f t="shared" si="74"/>
        <v>0</v>
      </c>
      <c r="W314" s="4">
        <f t="shared" si="75"/>
        <v>10.981872711568077</v>
      </c>
    </row>
    <row r="315" spans="2:23" ht="12.75">
      <c r="B315" s="19">
        <v>280</v>
      </c>
      <c r="C315" s="58">
        <v>37170</v>
      </c>
      <c r="D315" s="50">
        <v>0</v>
      </c>
      <c r="E315" s="10">
        <f ca="1" t="shared" si="84"/>
        <v>14.7</v>
      </c>
      <c r="F315" s="10">
        <f ca="1" t="shared" si="84"/>
        <v>2.792</v>
      </c>
      <c r="G315" s="10">
        <f ca="1" t="shared" si="84"/>
        <v>0</v>
      </c>
      <c r="H315" s="10">
        <f t="shared" si="76"/>
        <v>14.7</v>
      </c>
      <c r="I315" s="10">
        <f>IF((SUM(H$36:H315)&gt;GDD_budbreak),(IF(((E315-10)&gt;0),(E315-10),0)),0)</f>
        <v>4.699999999999999</v>
      </c>
      <c r="J315" s="4">
        <f>IF((B315&lt;LeafDropDay),(SUM(I$36:I315)),0)</f>
        <v>1597.4000000000003</v>
      </c>
      <c r="K315" s="4">
        <f t="shared" si="70"/>
        <v>1.5098999999999962</v>
      </c>
      <c r="L315" s="4">
        <f t="shared" si="71"/>
        <v>0.5958382055983602</v>
      </c>
      <c r="M315" s="4">
        <f t="shared" si="77"/>
        <v>0.14544675549027475</v>
      </c>
      <c r="N315" s="4">
        <f t="shared" si="72"/>
        <v>0.08666273380142875</v>
      </c>
      <c r="O315" s="4">
        <f t="shared" si="78"/>
        <v>0</v>
      </c>
      <c r="P315" s="10">
        <f t="shared" si="79"/>
        <v>0</v>
      </c>
      <c r="Q315" s="10">
        <f t="shared" si="80"/>
        <v>-0.24196235277358905</v>
      </c>
      <c r="R315" s="4">
        <f t="shared" si="81"/>
        <v>10</v>
      </c>
      <c r="S315" s="4">
        <f t="shared" si="73"/>
        <v>4.905280512</v>
      </c>
      <c r="T315" s="4">
        <f t="shared" si="83"/>
        <v>159.75350200768113</v>
      </c>
      <c r="U315" s="4">
        <f t="shared" si="82"/>
        <v>159.75350200768113</v>
      </c>
      <c r="V315" s="4">
        <f t="shared" si="74"/>
        <v>0</v>
      </c>
      <c r="W315" s="4">
        <f t="shared" si="75"/>
        <v>7.623542091789967</v>
      </c>
    </row>
    <row r="316" spans="2:23" ht="12.75">
      <c r="B316" s="19">
        <v>281</v>
      </c>
      <c r="C316" s="58">
        <v>37171</v>
      </c>
      <c r="D316" s="50">
        <v>0</v>
      </c>
      <c r="E316" s="10">
        <f ca="1" t="shared" si="85" ref="E316:G335">INDIRECT(WeatherSheet&amp;"!"&amp;E685)</f>
        <v>16.1</v>
      </c>
      <c r="F316" s="10">
        <f ca="1" t="shared" si="85"/>
        <v>2.792</v>
      </c>
      <c r="G316" s="10">
        <f ca="1" t="shared" si="85"/>
        <v>0</v>
      </c>
      <c r="H316" s="10">
        <f t="shared" si="76"/>
        <v>16.1</v>
      </c>
      <c r="I316" s="10">
        <f>IF((SUM(H$36:H316)&gt;GDD_budbreak),(IF(((E316-10)&gt;0),(E316-10),0)),0)</f>
        <v>6.100000000000001</v>
      </c>
      <c r="J316" s="4">
        <f>IF((B316&lt;LeafDropDay),(SUM(I$36:I316)),0)</f>
        <v>1603.5000000000002</v>
      </c>
      <c r="K316" s="4">
        <f t="shared" si="70"/>
        <v>1.5098999999999974</v>
      </c>
      <c r="L316" s="4">
        <f t="shared" si="71"/>
        <v>0.5958382055983604</v>
      </c>
      <c r="M316" s="4">
        <f t="shared" si="77"/>
        <v>0.6252082726014332</v>
      </c>
      <c r="N316" s="4">
        <f t="shared" si="72"/>
        <v>0.3725229752720885</v>
      </c>
      <c r="O316" s="4">
        <f t="shared" si="78"/>
        <v>0</v>
      </c>
      <c r="P316" s="10">
        <f t="shared" si="79"/>
        <v>0</v>
      </c>
      <c r="Q316" s="10">
        <f t="shared" si="80"/>
        <v>-1.040084146959671</v>
      </c>
      <c r="R316" s="4">
        <f t="shared" si="81"/>
        <v>0</v>
      </c>
      <c r="S316" s="4">
        <f t="shared" si="73"/>
        <v>0</v>
      </c>
      <c r="T316" s="4">
        <f t="shared" si="83"/>
        <v>158.71341786072148</v>
      </c>
      <c r="U316" s="4">
        <f t="shared" si="82"/>
        <v>158.71341786072148</v>
      </c>
      <c r="V316" s="4">
        <f t="shared" si="74"/>
        <v>0</v>
      </c>
      <c r="W316" s="4">
        <f t="shared" si="75"/>
        <v>7.917445648677166</v>
      </c>
    </row>
    <row r="317" spans="2:23" ht="12.75">
      <c r="B317" s="19">
        <v>282</v>
      </c>
      <c r="C317" s="58">
        <v>37172</v>
      </c>
      <c r="D317" s="50">
        <v>0</v>
      </c>
      <c r="E317" s="10">
        <f ca="1" t="shared" si="85"/>
        <v>18.05</v>
      </c>
      <c r="F317" s="10">
        <f ca="1" t="shared" si="85"/>
        <v>3.553</v>
      </c>
      <c r="G317" s="10">
        <f ca="1" t="shared" si="85"/>
        <v>0</v>
      </c>
      <c r="H317" s="10">
        <f t="shared" si="76"/>
        <v>18.05</v>
      </c>
      <c r="I317" s="10">
        <f>IF((SUM(H$36:H317)&gt;GDD_budbreak),(IF(((E317-10)&gt;0),(E317-10),0)),0)</f>
        <v>8.05</v>
      </c>
      <c r="J317" s="4">
        <f>IF((B317&lt;LeafDropDay),(SUM(I$36:I317)),0)</f>
        <v>1611.5500000000002</v>
      </c>
      <c r="K317" s="4">
        <f t="shared" si="70"/>
        <v>1.5098999999999978</v>
      </c>
      <c r="L317" s="4">
        <f t="shared" si="71"/>
        <v>0.5958382055983604</v>
      </c>
      <c r="M317" s="4">
        <f t="shared" si="77"/>
        <v>0.5832220501889762</v>
      </c>
      <c r="N317" s="4">
        <f t="shared" si="72"/>
        <v>0.3475059798499965</v>
      </c>
      <c r="O317" s="4">
        <f t="shared" si="78"/>
        <v>0</v>
      </c>
      <c r="P317" s="10">
        <f t="shared" si="79"/>
        <v>0</v>
      </c>
      <c r="Q317" s="10">
        <f t="shared" si="80"/>
        <v>-1.2346887464070375</v>
      </c>
      <c r="R317" s="4">
        <f t="shared" si="81"/>
        <v>0</v>
      </c>
      <c r="S317" s="4">
        <f t="shared" si="73"/>
        <v>0</v>
      </c>
      <c r="T317" s="4">
        <f t="shared" si="83"/>
        <v>157.47872911431443</v>
      </c>
      <c r="U317" s="4">
        <f t="shared" si="82"/>
        <v>157.47872911431443</v>
      </c>
      <c r="V317" s="4">
        <f t="shared" si="74"/>
        <v>0</v>
      </c>
      <c r="W317" s="4">
        <f t="shared" si="75"/>
        <v>8.283760265720842</v>
      </c>
    </row>
    <row r="318" spans="2:23" ht="12.75">
      <c r="B318" s="19">
        <v>283</v>
      </c>
      <c r="C318" s="58">
        <v>37173</v>
      </c>
      <c r="D318" s="50">
        <v>0</v>
      </c>
      <c r="E318" s="10">
        <f ca="1" t="shared" si="85"/>
        <v>16.35</v>
      </c>
      <c r="F318" s="10">
        <f ca="1" t="shared" si="85"/>
        <v>3.553</v>
      </c>
      <c r="G318" s="10">
        <f ca="1" t="shared" si="85"/>
        <v>0</v>
      </c>
      <c r="H318" s="10">
        <f t="shared" si="76"/>
        <v>16.35</v>
      </c>
      <c r="I318" s="10">
        <f>IF((SUM(H$36:H318)&gt;GDD_budbreak),(IF(((E318-10)&gt;0),(E318-10),0)),0)</f>
        <v>6.350000000000001</v>
      </c>
      <c r="J318" s="4">
        <f>IF((B318&lt;LeafDropDay),(SUM(I$36:I318)),0)</f>
        <v>1617.9</v>
      </c>
      <c r="K318" s="4">
        <f t="shared" si="70"/>
        <v>1.5098999999999987</v>
      </c>
      <c r="L318" s="4">
        <f t="shared" si="71"/>
        <v>0.5958382055983606</v>
      </c>
      <c r="M318" s="4">
        <f t="shared" si="77"/>
        <v>0.5308913906113083</v>
      </c>
      <c r="N318" s="4">
        <f t="shared" si="72"/>
        <v>0.31632537354946033</v>
      </c>
      <c r="O318" s="4">
        <f t="shared" si="78"/>
        <v>0</v>
      </c>
      <c r="P318" s="10">
        <f t="shared" si="79"/>
        <v>0</v>
      </c>
      <c r="Q318" s="10">
        <f t="shared" si="80"/>
        <v>-1.1239040522212325</v>
      </c>
      <c r="R318" s="4">
        <f t="shared" si="81"/>
        <v>0</v>
      </c>
      <c r="S318" s="4">
        <f t="shared" si="73"/>
        <v>0</v>
      </c>
      <c r="T318" s="4">
        <f t="shared" si="83"/>
        <v>156.3548250620932</v>
      </c>
      <c r="U318" s="4">
        <f t="shared" si="82"/>
        <v>156.3548250620932</v>
      </c>
      <c r="V318" s="4">
        <f t="shared" si="74"/>
        <v>0</v>
      </c>
      <c r="W318" s="4">
        <f t="shared" si="75"/>
        <v>8.634592793645716</v>
      </c>
    </row>
    <row r="319" spans="2:23" ht="12.75">
      <c r="B319" s="19">
        <v>284</v>
      </c>
      <c r="C319" s="58">
        <v>37174</v>
      </c>
      <c r="D319" s="50">
        <v>0</v>
      </c>
      <c r="E319" s="10">
        <f ca="1" t="shared" si="85"/>
        <v>18.6</v>
      </c>
      <c r="F319" s="10">
        <f ca="1" t="shared" si="85"/>
        <v>3.046</v>
      </c>
      <c r="G319" s="10">
        <f ca="1" t="shared" si="85"/>
        <v>0</v>
      </c>
      <c r="H319" s="10">
        <f t="shared" si="76"/>
        <v>18.6</v>
      </c>
      <c r="I319" s="10">
        <f>IF((SUM(H$36:H319)&gt;GDD_budbreak),(IF(((E319-10)&gt;0),(E319-10),0)),0)</f>
        <v>8.600000000000001</v>
      </c>
      <c r="J319" s="4">
        <f>IF((B319&lt;LeafDropDay),(SUM(I$36:I319)),0)</f>
        <v>1626.5</v>
      </c>
      <c r="K319" s="4">
        <f t="shared" si="70"/>
        <v>-0.00780000000000014</v>
      </c>
      <c r="L319" s="4">
        <f t="shared" si="71"/>
        <v>-0.00469096830387894</v>
      </c>
      <c r="M319" s="4">
        <f t="shared" si="77"/>
        <v>0.480772458050612</v>
      </c>
      <c r="N319" s="4">
        <f t="shared" si="72"/>
        <v>-0.002255288362093388</v>
      </c>
      <c r="O319" s="4">
        <f t="shared" si="78"/>
        <v>0</v>
      </c>
      <c r="P319" s="10">
        <f t="shared" si="79"/>
        <v>0</v>
      </c>
      <c r="Q319" s="10">
        <f t="shared" si="80"/>
        <v>0.00686960835093646</v>
      </c>
      <c r="R319" s="4">
        <f t="shared" si="81"/>
        <v>0</v>
      </c>
      <c r="S319" s="4">
        <f t="shared" si="73"/>
        <v>0</v>
      </c>
      <c r="T319" s="4">
        <f t="shared" si="83"/>
        <v>156.36169467044414</v>
      </c>
      <c r="U319" s="4">
        <f t="shared" si="82"/>
        <v>156.36169467044414</v>
      </c>
      <c r="V319" s="4">
        <f t="shared" si="74"/>
        <v>0</v>
      </c>
      <c r="W319" s="4">
        <f t="shared" si="75"/>
        <v>8.632396097063904</v>
      </c>
    </row>
    <row r="320" spans="2:23" ht="12.75">
      <c r="B320" s="19">
        <v>285</v>
      </c>
      <c r="C320" s="58">
        <v>37175</v>
      </c>
      <c r="D320" s="50">
        <v>0</v>
      </c>
      <c r="E320" s="10">
        <f ca="1" t="shared" si="85"/>
        <v>24.75</v>
      </c>
      <c r="F320" s="10">
        <f ca="1" t="shared" si="85"/>
        <v>6.345</v>
      </c>
      <c r="G320" s="10">
        <f ca="1" t="shared" si="85"/>
        <v>0</v>
      </c>
      <c r="H320" s="10">
        <f t="shared" si="76"/>
        <v>24.75</v>
      </c>
      <c r="I320" s="10">
        <f>IF((SUM(H$36:H320)&gt;GDD_budbreak),(IF(((E320-10)&gt;0),(E320-10),0)),0)</f>
        <v>14.75</v>
      </c>
      <c r="J320" s="4">
        <f>IF((B320&lt;LeafDropDay),(SUM(I$36:I320)),0)</f>
        <v>0</v>
      </c>
      <c r="K320" s="4">
        <f t="shared" si="70"/>
        <v>0</v>
      </c>
      <c r="L320" s="4">
        <f t="shared" si="71"/>
        <v>0</v>
      </c>
      <c r="M320" s="4">
        <f t="shared" si="77"/>
        <v>0.4810862718480138</v>
      </c>
      <c r="N320" s="4">
        <f t="shared" si="72"/>
        <v>0</v>
      </c>
      <c r="O320" s="4">
        <f t="shared" si="78"/>
        <v>0</v>
      </c>
      <c r="P320" s="10">
        <f t="shared" si="79"/>
        <v>0</v>
      </c>
      <c r="Q320" s="10">
        <f t="shared" si="80"/>
        <v>0</v>
      </c>
      <c r="R320" s="4">
        <f t="shared" si="81"/>
        <v>0</v>
      </c>
      <c r="S320" s="4">
        <f t="shared" si="73"/>
        <v>0</v>
      </c>
      <c r="T320" s="4">
        <f t="shared" si="83"/>
        <v>156.36169467044414</v>
      </c>
      <c r="U320" s="4">
        <f t="shared" si="82"/>
        <v>156.36169467044414</v>
      </c>
      <c r="V320" s="4">
        <f t="shared" si="74"/>
        <v>0</v>
      </c>
      <c r="W320" s="4">
        <f t="shared" si="75"/>
        <v>8.632396097063904</v>
      </c>
    </row>
    <row r="321" spans="2:23" ht="12.75">
      <c r="B321" s="19">
        <v>286</v>
      </c>
      <c r="C321" s="58">
        <v>37176</v>
      </c>
      <c r="D321" s="50">
        <v>0</v>
      </c>
      <c r="E321" s="10">
        <f ca="1" t="shared" si="85"/>
        <v>20.25</v>
      </c>
      <c r="F321" s="10">
        <f ca="1" t="shared" si="85"/>
        <v>4.061</v>
      </c>
      <c r="G321" s="10">
        <f ca="1" t="shared" si="85"/>
        <v>0</v>
      </c>
      <c r="H321" s="10">
        <f t="shared" si="76"/>
        <v>20.25</v>
      </c>
      <c r="I321" s="10">
        <f>IF((SUM(H$36:H321)&gt;GDD_budbreak),(IF(((E321-10)&gt;0),(E321-10),0)),0)</f>
        <v>10.25</v>
      </c>
      <c r="J321" s="4">
        <f>IF((B321&lt;LeafDropDay),(SUM(I$36:I321)),0)</f>
        <v>0</v>
      </c>
      <c r="K321" s="4">
        <f t="shared" si="70"/>
        <v>0</v>
      </c>
      <c r="L321" s="4">
        <f t="shared" si="71"/>
        <v>0</v>
      </c>
      <c r="M321" s="4">
        <f t="shared" si="77"/>
        <v>0.4810862718480138</v>
      </c>
      <c r="N321" s="4">
        <f t="shared" si="72"/>
        <v>0</v>
      </c>
      <c r="O321" s="4">
        <f t="shared" si="78"/>
        <v>0</v>
      </c>
      <c r="P321" s="10">
        <f t="shared" si="79"/>
        <v>0</v>
      </c>
      <c r="Q321" s="10">
        <f t="shared" si="80"/>
        <v>0</v>
      </c>
      <c r="R321" s="4">
        <f t="shared" si="81"/>
        <v>0</v>
      </c>
      <c r="S321" s="4">
        <f t="shared" si="73"/>
        <v>0</v>
      </c>
      <c r="T321" s="4">
        <f t="shared" si="83"/>
        <v>156.36169467044414</v>
      </c>
      <c r="U321" s="4">
        <f t="shared" si="82"/>
        <v>156.36169467044414</v>
      </c>
      <c r="V321" s="4">
        <f t="shared" si="74"/>
        <v>0</v>
      </c>
      <c r="W321" s="4">
        <f t="shared" si="75"/>
        <v>8.632396097063904</v>
      </c>
    </row>
    <row r="322" spans="2:23" ht="12.75">
      <c r="B322" s="19">
        <v>287</v>
      </c>
      <c r="C322" s="58">
        <v>37177</v>
      </c>
      <c r="D322" s="50">
        <v>0</v>
      </c>
      <c r="E322" s="10">
        <f ca="1" t="shared" si="85"/>
        <v>22.75</v>
      </c>
      <c r="F322" s="10">
        <f ca="1" t="shared" si="85"/>
        <v>4.061</v>
      </c>
      <c r="G322" s="10">
        <f ca="1" t="shared" si="85"/>
        <v>0</v>
      </c>
      <c r="H322" s="10">
        <f t="shared" si="76"/>
        <v>22.75</v>
      </c>
      <c r="I322" s="10">
        <f>IF((SUM(H$36:H322)&gt;GDD_budbreak),(IF(((E322-10)&gt;0),(E322-10),0)),0)</f>
        <v>12.75</v>
      </c>
      <c r="J322" s="4">
        <f>IF((B322&lt;LeafDropDay),(SUM(I$36:I322)),0)</f>
        <v>0</v>
      </c>
      <c r="K322" s="4">
        <f t="shared" si="70"/>
        <v>0</v>
      </c>
      <c r="L322" s="4">
        <f t="shared" si="71"/>
        <v>0</v>
      </c>
      <c r="M322" s="4">
        <f t="shared" si="77"/>
        <v>0.4810862718480138</v>
      </c>
      <c r="N322" s="4">
        <f t="shared" si="72"/>
        <v>0</v>
      </c>
      <c r="O322" s="4">
        <f t="shared" si="78"/>
        <v>0</v>
      </c>
      <c r="P322" s="10">
        <f t="shared" si="79"/>
        <v>0</v>
      </c>
      <c r="Q322" s="10">
        <f t="shared" si="80"/>
        <v>0</v>
      </c>
      <c r="R322" s="4">
        <f t="shared" si="81"/>
        <v>0</v>
      </c>
      <c r="S322" s="4">
        <f t="shared" si="73"/>
        <v>0</v>
      </c>
      <c r="T322" s="4">
        <f t="shared" si="83"/>
        <v>156.36169467044414</v>
      </c>
      <c r="U322" s="4">
        <f t="shared" si="82"/>
        <v>156.36169467044414</v>
      </c>
      <c r="V322" s="4">
        <f t="shared" si="74"/>
        <v>0</v>
      </c>
      <c r="W322" s="4">
        <f t="shared" si="75"/>
        <v>8.632396097063904</v>
      </c>
    </row>
    <row r="323" spans="2:23" ht="12.75">
      <c r="B323" s="19">
        <v>288</v>
      </c>
      <c r="C323" s="58">
        <v>37178</v>
      </c>
      <c r="D323" s="50">
        <v>0</v>
      </c>
      <c r="E323" s="10">
        <f ca="1" t="shared" si="85"/>
        <v>20</v>
      </c>
      <c r="F323" s="10">
        <f ca="1" t="shared" si="85"/>
        <v>3.553</v>
      </c>
      <c r="G323" s="10">
        <f ca="1" t="shared" si="85"/>
        <v>0</v>
      </c>
      <c r="H323" s="10">
        <f t="shared" si="76"/>
        <v>20</v>
      </c>
      <c r="I323" s="10">
        <f>IF((SUM(H$36:H323)&gt;GDD_budbreak),(IF(((E323-10)&gt;0),(E323-10),0)),0)</f>
        <v>10</v>
      </c>
      <c r="J323" s="4">
        <f>IF((B323&lt;LeafDropDay),(SUM(I$36:I323)),0)</f>
        <v>0</v>
      </c>
      <c r="K323" s="4">
        <f t="shared" si="70"/>
        <v>0</v>
      </c>
      <c r="L323" s="4">
        <f t="shared" si="71"/>
        <v>0</v>
      </c>
      <c r="M323" s="4">
        <f t="shared" si="77"/>
        <v>0.4810862718480138</v>
      </c>
      <c r="N323" s="4">
        <f t="shared" si="72"/>
        <v>0</v>
      </c>
      <c r="O323" s="4">
        <f t="shared" si="78"/>
        <v>0</v>
      </c>
      <c r="P323" s="10">
        <f t="shared" si="79"/>
        <v>0</v>
      </c>
      <c r="Q323" s="10">
        <f t="shared" si="80"/>
        <v>0</v>
      </c>
      <c r="R323" s="4">
        <f t="shared" si="81"/>
        <v>0</v>
      </c>
      <c r="S323" s="4">
        <f t="shared" si="73"/>
        <v>0</v>
      </c>
      <c r="T323" s="4">
        <f t="shared" si="83"/>
        <v>156.36169467044414</v>
      </c>
      <c r="U323" s="4">
        <f t="shared" si="82"/>
        <v>156.36169467044414</v>
      </c>
      <c r="V323" s="4">
        <f t="shared" si="74"/>
        <v>0</v>
      </c>
      <c r="W323" s="4">
        <f t="shared" si="75"/>
        <v>8.632396097063904</v>
      </c>
    </row>
    <row r="324" spans="2:23" ht="12.75">
      <c r="B324" s="19">
        <v>289</v>
      </c>
      <c r="C324" s="58">
        <v>37179</v>
      </c>
      <c r="D324" s="50">
        <v>0</v>
      </c>
      <c r="E324" s="10">
        <f ca="1" t="shared" si="85"/>
        <v>15.55</v>
      </c>
      <c r="F324" s="10">
        <f ca="1" t="shared" si="85"/>
        <v>1.777</v>
      </c>
      <c r="G324" s="10">
        <f ca="1" t="shared" si="85"/>
        <v>0</v>
      </c>
      <c r="H324" s="10">
        <f t="shared" si="76"/>
        <v>15.55</v>
      </c>
      <c r="I324" s="10">
        <f>IF((SUM(H$36:H324)&gt;GDD_budbreak),(IF(((E324-10)&gt;0),(E324-10),0)),0)</f>
        <v>5.550000000000001</v>
      </c>
      <c r="J324" s="4">
        <f>IF((B324&lt;LeafDropDay),(SUM(I$36:I324)),0)</f>
        <v>0</v>
      </c>
      <c r="K324" s="4">
        <f t="shared" si="70"/>
        <v>0</v>
      </c>
      <c r="L324" s="4">
        <f t="shared" si="71"/>
        <v>0</v>
      </c>
      <c r="M324" s="4">
        <f t="shared" si="77"/>
        <v>0.4810862718480138</v>
      </c>
      <c r="N324" s="4">
        <f t="shared" si="72"/>
        <v>0</v>
      </c>
      <c r="O324" s="4">
        <f t="shared" si="78"/>
        <v>0</v>
      </c>
      <c r="P324" s="10">
        <f t="shared" si="79"/>
        <v>0</v>
      </c>
      <c r="Q324" s="10">
        <f t="shared" si="80"/>
        <v>0</v>
      </c>
      <c r="R324" s="4">
        <f t="shared" si="81"/>
        <v>0</v>
      </c>
      <c r="S324" s="4">
        <f t="shared" si="73"/>
        <v>0</v>
      </c>
      <c r="T324" s="4">
        <f t="shared" si="83"/>
        <v>156.36169467044414</v>
      </c>
      <c r="U324" s="4">
        <f t="shared" si="82"/>
        <v>156.36169467044414</v>
      </c>
      <c r="V324" s="4">
        <f t="shared" si="74"/>
        <v>0</v>
      </c>
      <c r="W324" s="4">
        <f t="shared" si="75"/>
        <v>8.632396097063904</v>
      </c>
    </row>
    <row r="325" spans="2:23" ht="12.75">
      <c r="B325" s="19">
        <v>290</v>
      </c>
      <c r="C325" s="58">
        <v>37180</v>
      </c>
      <c r="D325" s="50">
        <v>0</v>
      </c>
      <c r="E325" s="10">
        <f ca="1" t="shared" si="85"/>
        <v>15.8</v>
      </c>
      <c r="F325" s="10">
        <f ca="1" t="shared" si="85"/>
        <v>2.538</v>
      </c>
      <c r="G325" s="10">
        <f ca="1" t="shared" si="85"/>
        <v>0</v>
      </c>
      <c r="H325" s="10">
        <f t="shared" si="76"/>
        <v>15.8</v>
      </c>
      <c r="I325" s="10">
        <f>IF((SUM(H$36:H325)&gt;GDD_budbreak),(IF(((E325-10)&gt;0),(E325-10),0)),0)</f>
        <v>5.800000000000001</v>
      </c>
      <c r="J325" s="4">
        <f>IF((B325&lt;LeafDropDay),(SUM(I$36:I325)),0)</f>
        <v>0</v>
      </c>
      <c r="K325" s="4">
        <f t="shared" si="70"/>
        <v>0</v>
      </c>
      <c r="L325" s="4">
        <f t="shared" si="71"/>
        <v>0</v>
      </c>
      <c r="M325" s="4">
        <f t="shared" si="77"/>
        <v>0.4810862718480138</v>
      </c>
      <c r="N325" s="4">
        <f t="shared" si="72"/>
        <v>0</v>
      </c>
      <c r="O325" s="4">
        <f t="shared" si="78"/>
        <v>0</v>
      </c>
      <c r="P325" s="10">
        <f t="shared" si="79"/>
        <v>0</v>
      </c>
      <c r="Q325" s="10">
        <f t="shared" si="80"/>
        <v>0</v>
      </c>
      <c r="R325" s="4">
        <f t="shared" si="81"/>
        <v>0</v>
      </c>
      <c r="S325" s="4">
        <f t="shared" si="73"/>
        <v>0</v>
      </c>
      <c r="T325" s="4">
        <f t="shared" si="83"/>
        <v>156.36169467044414</v>
      </c>
      <c r="U325" s="4">
        <f t="shared" si="82"/>
        <v>156.36169467044414</v>
      </c>
      <c r="V325" s="4">
        <f t="shared" si="74"/>
        <v>0</v>
      </c>
      <c r="W325" s="4">
        <f t="shared" si="75"/>
        <v>8.632396097063904</v>
      </c>
    </row>
    <row r="326" spans="2:23" ht="12.75">
      <c r="B326" s="19">
        <v>291</v>
      </c>
      <c r="C326" s="58">
        <v>37181</v>
      </c>
      <c r="D326" s="50">
        <v>0</v>
      </c>
      <c r="E326" s="10">
        <f ca="1" t="shared" si="85"/>
        <v>16.7</v>
      </c>
      <c r="F326" s="10">
        <f ca="1" t="shared" si="85"/>
        <v>3.046</v>
      </c>
      <c r="G326" s="10">
        <f ca="1" t="shared" si="85"/>
        <v>0</v>
      </c>
      <c r="H326" s="10">
        <f t="shared" si="76"/>
        <v>16.7</v>
      </c>
      <c r="I326" s="10">
        <f>IF((SUM(H$36:H326)&gt;GDD_budbreak),(IF(((E326-10)&gt;0),(E326-10),0)),0)</f>
        <v>6.699999999999999</v>
      </c>
      <c r="J326" s="4">
        <f>IF((B326&lt;LeafDropDay),(SUM(I$36:I326)),0)</f>
        <v>0</v>
      </c>
      <c r="K326" s="4">
        <f t="shared" si="70"/>
        <v>0</v>
      </c>
      <c r="L326" s="4">
        <f t="shared" si="71"/>
        <v>0</v>
      </c>
      <c r="M326" s="4">
        <f t="shared" si="77"/>
        <v>0.4810862718480138</v>
      </c>
      <c r="N326" s="4">
        <f t="shared" si="72"/>
        <v>0</v>
      </c>
      <c r="O326" s="4">
        <f t="shared" si="78"/>
        <v>0</v>
      </c>
      <c r="P326" s="10">
        <f t="shared" si="79"/>
        <v>0</v>
      </c>
      <c r="Q326" s="10">
        <f t="shared" si="80"/>
        <v>0</v>
      </c>
      <c r="R326" s="4">
        <f t="shared" si="81"/>
        <v>0</v>
      </c>
      <c r="S326" s="4">
        <f t="shared" si="73"/>
        <v>0</v>
      </c>
      <c r="T326" s="4">
        <f t="shared" si="83"/>
        <v>156.36169467044414</v>
      </c>
      <c r="U326" s="4">
        <f t="shared" si="82"/>
        <v>156.36169467044414</v>
      </c>
      <c r="V326" s="4">
        <f t="shared" si="74"/>
        <v>0</v>
      </c>
      <c r="W326" s="4">
        <f t="shared" si="75"/>
        <v>8.632396097063904</v>
      </c>
    </row>
    <row r="327" spans="2:23" ht="12.75">
      <c r="B327" s="19">
        <v>292</v>
      </c>
      <c r="C327" s="58">
        <v>37182</v>
      </c>
      <c r="D327" s="50">
        <v>0</v>
      </c>
      <c r="E327" s="10">
        <f ca="1" t="shared" si="85"/>
        <v>17.5</v>
      </c>
      <c r="F327" s="10">
        <f ca="1" t="shared" si="85"/>
        <v>2.538</v>
      </c>
      <c r="G327" s="10">
        <f ca="1" t="shared" si="85"/>
        <v>0</v>
      </c>
      <c r="H327" s="10">
        <f t="shared" si="76"/>
        <v>17.5</v>
      </c>
      <c r="I327" s="10">
        <f>IF((SUM(H$36:H327)&gt;GDD_budbreak),(IF(((E327-10)&gt;0),(E327-10),0)),0)</f>
        <v>7.5</v>
      </c>
      <c r="J327" s="4">
        <f>IF((B327&lt;LeafDropDay),(SUM(I$36:I327)),0)</f>
        <v>0</v>
      </c>
      <c r="K327" s="4">
        <f t="shared" si="70"/>
        <v>0</v>
      </c>
      <c r="L327" s="4">
        <f t="shared" si="71"/>
        <v>0</v>
      </c>
      <c r="M327" s="4">
        <f t="shared" si="77"/>
        <v>0.4810862718480138</v>
      </c>
      <c r="N327" s="4">
        <f t="shared" si="72"/>
        <v>0</v>
      </c>
      <c r="O327" s="4">
        <f t="shared" si="78"/>
        <v>0</v>
      </c>
      <c r="P327" s="10">
        <f t="shared" si="79"/>
        <v>0</v>
      </c>
      <c r="Q327" s="10">
        <f t="shared" si="80"/>
        <v>0</v>
      </c>
      <c r="R327" s="4">
        <f t="shared" si="81"/>
        <v>0</v>
      </c>
      <c r="S327" s="4">
        <f t="shared" si="73"/>
        <v>0</v>
      </c>
      <c r="T327" s="4">
        <f t="shared" si="83"/>
        <v>156.36169467044414</v>
      </c>
      <c r="U327" s="4">
        <f t="shared" si="82"/>
        <v>156.36169467044414</v>
      </c>
      <c r="V327" s="4">
        <f t="shared" si="74"/>
        <v>0</v>
      </c>
      <c r="W327" s="4">
        <f t="shared" si="75"/>
        <v>8.632396097063904</v>
      </c>
    </row>
    <row r="328" spans="2:23" ht="12.75">
      <c r="B328" s="19">
        <v>293</v>
      </c>
      <c r="C328" s="58">
        <v>37183</v>
      </c>
      <c r="D328" s="50">
        <v>0</v>
      </c>
      <c r="E328" s="10">
        <f ca="1" t="shared" si="85"/>
        <v>14.15</v>
      </c>
      <c r="F328" s="10">
        <f ca="1" t="shared" si="85"/>
        <v>2.538</v>
      </c>
      <c r="G328" s="10">
        <f ca="1" t="shared" si="85"/>
        <v>0</v>
      </c>
      <c r="H328" s="10">
        <f t="shared" si="76"/>
        <v>14.15</v>
      </c>
      <c r="I328" s="10">
        <f>IF((SUM(H$36:H328)&gt;GDD_budbreak),(IF(((E328-10)&gt;0),(E328-10),0)),0)</f>
        <v>4.15</v>
      </c>
      <c r="J328" s="4">
        <f>IF((B328&lt;LeafDropDay),(SUM(I$36:I328)),0)</f>
        <v>0</v>
      </c>
      <c r="K328" s="4">
        <f t="shared" si="70"/>
        <v>0</v>
      </c>
      <c r="L328" s="4">
        <f t="shared" si="71"/>
        <v>0</v>
      </c>
      <c r="M328" s="4">
        <f t="shared" si="77"/>
        <v>0.4810862718480138</v>
      </c>
      <c r="N328" s="4">
        <f t="shared" si="72"/>
        <v>0</v>
      </c>
      <c r="O328" s="4">
        <f t="shared" si="78"/>
        <v>0</v>
      </c>
      <c r="P328" s="10">
        <f t="shared" si="79"/>
        <v>0</v>
      </c>
      <c r="Q328" s="10">
        <f t="shared" si="80"/>
        <v>0</v>
      </c>
      <c r="R328" s="4">
        <f t="shared" si="81"/>
        <v>0</v>
      </c>
      <c r="S328" s="4">
        <f t="shared" si="73"/>
        <v>0</v>
      </c>
      <c r="T328" s="4">
        <f t="shared" si="83"/>
        <v>156.36169467044414</v>
      </c>
      <c r="U328" s="4">
        <f t="shared" si="82"/>
        <v>156.36169467044414</v>
      </c>
      <c r="V328" s="4">
        <f t="shared" si="74"/>
        <v>0</v>
      </c>
      <c r="W328" s="4">
        <f t="shared" si="75"/>
        <v>8.632396097063904</v>
      </c>
    </row>
    <row r="329" spans="2:23" ht="12.75">
      <c r="B329" s="19">
        <v>294</v>
      </c>
      <c r="C329" s="58">
        <v>37184</v>
      </c>
      <c r="D329" s="50">
        <v>0</v>
      </c>
      <c r="E329" s="10">
        <f ca="1" t="shared" si="85"/>
        <v>11.65</v>
      </c>
      <c r="F329" s="10">
        <f ca="1" t="shared" si="85"/>
        <v>1.777</v>
      </c>
      <c r="G329" s="10">
        <f ca="1" t="shared" si="85"/>
        <v>0</v>
      </c>
      <c r="H329" s="10">
        <f t="shared" si="76"/>
        <v>11.65</v>
      </c>
      <c r="I329" s="10">
        <f>IF((SUM(H$36:H329)&gt;GDD_budbreak),(IF(((E329-10)&gt;0),(E329-10),0)),0)</f>
        <v>1.6500000000000004</v>
      </c>
      <c r="J329" s="4">
        <f>IF((B329&lt;LeafDropDay),(SUM(I$36:I329)),0)</f>
        <v>0</v>
      </c>
      <c r="K329" s="4">
        <f t="shared" si="70"/>
        <v>0</v>
      </c>
      <c r="L329" s="4">
        <f t="shared" si="71"/>
        <v>0</v>
      </c>
      <c r="M329" s="4">
        <f t="shared" si="77"/>
        <v>0.4810862718480138</v>
      </c>
      <c r="N329" s="4">
        <f t="shared" si="72"/>
        <v>0</v>
      </c>
      <c r="O329" s="4">
        <f t="shared" si="78"/>
        <v>0</v>
      </c>
      <c r="P329" s="10">
        <f t="shared" si="79"/>
        <v>0</v>
      </c>
      <c r="Q329" s="10">
        <f t="shared" si="80"/>
        <v>0</v>
      </c>
      <c r="R329" s="4">
        <f t="shared" si="81"/>
        <v>0</v>
      </c>
      <c r="S329" s="4">
        <f t="shared" si="73"/>
        <v>0</v>
      </c>
      <c r="T329" s="4">
        <f t="shared" si="83"/>
        <v>156.36169467044414</v>
      </c>
      <c r="U329" s="4">
        <f t="shared" si="82"/>
        <v>156.36169467044414</v>
      </c>
      <c r="V329" s="4">
        <f t="shared" si="74"/>
        <v>0</v>
      </c>
      <c r="W329" s="4">
        <f t="shared" si="75"/>
        <v>8.632396097063904</v>
      </c>
    </row>
    <row r="330" spans="2:23" ht="12.75">
      <c r="B330" s="19">
        <v>295</v>
      </c>
      <c r="C330" s="58">
        <v>37185</v>
      </c>
      <c r="D330" s="50">
        <v>0</v>
      </c>
      <c r="E330" s="10">
        <f ca="1" t="shared" si="85"/>
        <v>15.8</v>
      </c>
      <c r="F330" s="10">
        <f ca="1" t="shared" si="85"/>
        <v>2.538</v>
      </c>
      <c r="G330" s="10">
        <f ca="1" t="shared" si="85"/>
        <v>0</v>
      </c>
      <c r="H330" s="10">
        <f t="shared" si="76"/>
        <v>15.8</v>
      </c>
      <c r="I330" s="10">
        <f>IF((SUM(H$36:H330)&gt;GDD_budbreak),(IF(((E330-10)&gt;0),(E330-10),0)),0)</f>
        <v>5.800000000000001</v>
      </c>
      <c r="J330" s="4">
        <f>IF((B330&lt;LeafDropDay),(SUM(I$36:I330)),0)</f>
        <v>0</v>
      </c>
      <c r="K330" s="4">
        <f t="shared" si="70"/>
        <v>0</v>
      </c>
      <c r="L330" s="4">
        <f t="shared" si="71"/>
        <v>0</v>
      </c>
      <c r="M330" s="4">
        <f t="shared" si="77"/>
        <v>0.4810862718480138</v>
      </c>
      <c r="N330" s="4">
        <f t="shared" si="72"/>
        <v>0</v>
      </c>
      <c r="O330" s="4">
        <f t="shared" si="78"/>
        <v>0</v>
      </c>
      <c r="P330" s="10">
        <f t="shared" si="79"/>
        <v>0</v>
      </c>
      <c r="Q330" s="10">
        <f t="shared" si="80"/>
        <v>0</v>
      </c>
      <c r="R330" s="4">
        <f t="shared" si="81"/>
        <v>0</v>
      </c>
      <c r="S330" s="4">
        <f t="shared" si="73"/>
        <v>0</v>
      </c>
      <c r="T330" s="4">
        <f t="shared" si="83"/>
        <v>156.36169467044414</v>
      </c>
      <c r="U330" s="4">
        <f t="shared" si="82"/>
        <v>156.36169467044414</v>
      </c>
      <c r="V330" s="4">
        <f t="shared" si="74"/>
        <v>0</v>
      </c>
      <c r="W330" s="4">
        <f t="shared" si="75"/>
        <v>8.632396097063904</v>
      </c>
    </row>
    <row r="331" spans="2:23" ht="12.75">
      <c r="B331" s="19">
        <v>296</v>
      </c>
      <c r="C331" s="58">
        <v>37186</v>
      </c>
      <c r="D331" s="50">
        <v>0</v>
      </c>
      <c r="E331" s="10">
        <f ca="1" t="shared" si="85"/>
        <v>17.75</v>
      </c>
      <c r="F331" s="10">
        <f ca="1" t="shared" si="85"/>
        <v>3.046</v>
      </c>
      <c r="G331" s="10">
        <f ca="1" t="shared" si="85"/>
        <v>0</v>
      </c>
      <c r="H331" s="10">
        <f t="shared" si="76"/>
        <v>17.75</v>
      </c>
      <c r="I331" s="10">
        <f>IF((SUM(H$36:H331)&gt;GDD_budbreak),(IF(((E331-10)&gt;0),(E331-10),0)),0)</f>
        <v>7.75</v>
      </c>
      <c r="J331" s="4">
        <f>IF((B331&lt;LeafDropDay),(SUM(I$36:I331)),0)</f>
        <v>0</v>
      </c>
      <c r="K331" s="4">
        <f t="shared" si="70"/>
        <v>0</v>
      </c>
      <c r="L331" s="4">
        <f t="shared" si="71"/>
        <v>0</v>
      </c>
      <c r="M331" s="4">
        <f t="shared" si="77"/>
        <v>0.4810862718480138</v>
      </c>
      <c r="N331" s="4">
        <f t="shared" si="72"/>
        <v>0</v>
      </c>
      <c r="O331" s="4">
        <f t="shared" si="78"/>
        <v>0</v>
      </c>
      <c r="P331" s="10">
        <f t="shared" si="79"/>
        <v>0</v>
      </c>
      <c r="Q331" s="10">
        <f t="shared" si="80"/>
        <v>0</v>
      </c>
      <c r="R331" s="4">
        <f t="shared" si="81"/>
        <v>0</v>
      </c>
      <c r="S331" s="4">
        <f t="shared" si="73"/>
        <v>0</v>
      </c>
      <c r="T331" s="4">
        <f t="shared" si="83"/>
        <v>156.36169467044414</v>
      </c>
      <c r="U331" s="4">
        <f t="shared" si="82"/>
        <v>156.36169467044414</v>
      </c>
      <c r="V331" s="4">
        <f t="shared" si="74"/>
        <v>0</v>
      </c>
      <c r="W331" s="4">
        <f t="shared" si="75"/>
        <v>8.632396097063904</v>
      </c>
    </row>
    <row r="332" spans="2:23" ht="12.75">
      <c r="B332" s="19">
        <v>297</v>
      </c>
      <c r="C332" s="58">
        <v>37187</v>
      </c>
      <c r="D332" s="50">
        <v>0</v>
      </c>
      <c r="E332" s="10">
        <f ca="1" t="shared" si="85"/>
        <v>16.15</v>
      </c>
      <c r="F332" s="10">
        <f ca="1" t="shared" si="85"/>
        <v>3.553</v>
      </c>
      <c r="G332" s="10">
        <f ca="1" t="shared" si="85"/>
        <v>0</v>
      </c>
      <c r="H332" s="10">
        <f t="shared" si="76"/>
        <v>16.15</v>
      </c>
      <c r="I332" s="10">
        <f>IF((SUM(H$36:H332)&gt;GDD_budbreak),(IF(((E332-10)&gt;0),(E332-10),0)),0)</f>
        <v>6.149999999999999</v>
      </c>
      <c r="J332" s="4">
        <f>IF((B332&lt;LeafDropDay),(SUM(I$36:I332)),0)</f>
        <v>0</v>
      </c>
      <c r="K332" s="4">
        <f t="shared" si="70"/>
        <v>0</v>
      </c>
      <c r="L332" s="4">
        <f t="shared" si="71"/>
        <v>0</v>
      </c>
      <c r="M332" s="4">
        <f t="shared" si="77"/>
        <v>0.4810862718480138</v>
      </c>
      <c r="N332" s="4">
        <f t="shared" si="72"/>
        <v>0</v>
      </c>
      <c r="O332" s="4">
        <f t="shared" si="78"/>
        <v>0</v>
      </c>
      <c r="P332" s="10">
        <f t="shared" si="79"/>
        <v>0</v>
      </c>
      <c r="Q332" s="10">
        <f t="shared" si="80"/>
        <v>0</v>
      </c>
      <c r="R332" s="4">
        <f t="shared" si="81"/>
        <v>0</v>
      </c>
      <c r="S332" s="4">
        <f t="shared" si="73"/>
        <v>0</v>
      </c>
      <c r="T332" s="4">
        <f t="shared" si="83"/>
        <v>156.36169467044414</v>
      </c>
      <c r="U332" s="4">
        <f t="shared" si="82"/>
        <v>156.36169467044414</v>
      </c>
      <c r="V332" s="4">
        <f t="shared" si="74"/>
        <v>0</v>
      </c>
      <c r="W332" s="4">
        <f t="shared" si="75"/>
        <v>8.632396097063904</v>
      </c>
    </row>
    <row r="333" spans="2:23" ht="12.75">
      <c r="B333" s="19">
        <v>298</v>
      </c>
      <c r="C333" s="58">
        <v>37188</v>
      </c>
      <c r="D333" s="50">
        <v>0</v>
      </c>
      <c r="E333" s="10">
        <f ca="1" t="shared" si="85"/>
        <v>17.2</v>
      </c>
      <c r="F333" s="10">
        <f ca="1" t="shared" si="85"/>
        <v>2.792</v>
      </c>
      <c r="G333" s="10">
        <f ca="1" t="shared" si="85"/>
        <v>0</v>
      </c>
      <c r="H333" s="10">
        <f t="shared" si="76"/>
        <v>17.2</v>
      </c>
      <c r="I333" s="10">
        <f>IF((SUM(H$36:H333)&gt;GDD_budbreak),(IF(((E333-10)&gt;0),(E333-10),0)),0)</f>
        <v>7.199999999999999</v>
      </c>
      <c r="J333" s="4">
        <f>IF((B333&lt;LeafDropDay),(SUM(I$36:I333)),0)</f>
        <v>0</v>
      </c>
      <c r="K333" s="4">
        <f t="shared" si="70"/>
        <v>0</v>
      </c>
      <c r="L333" s="4">
        <f t="shared" si="71"/>
        <v>0</v>
      </c>
      <c r="M333" s="4">
        <f t="shared" si="77"/>
        <v>0.4810862718480138</v>
      </c>
      <c r="N333" s="4">
        <f t="shared" si="72"/>
        <v>0</v>
      </c>
      <c r="O333" s="4">
        <f t="shared" si="78"/>
        <v>0</v>
      </c>
      <c r="P333" s="10">
        <f t="shared" si="79"/>
        <v>0</v>
      </c>
      <c r="Q333" s="10">
        <f t="shared" si="80"/>
        <v>0</v>
      </c>
      <c r="R333" s="4">
        <f t="shared" si="81"/>
        <v>0</v>
      </c>
      <c r="S333" s="4">
        <f t="shared" si="73"/>
        <v>0</v>
      </c>
      <c r="T333" s="4">
        <f t="shared" si="83"/>
        <v>156.36169467044414</v>
      </c>
      <c r="U333" s="4">
        <f t="shared" si="82"/>
        <v>156.36169467044414</v>
      </c>
      <c r="V333" s="4">
        <f t="shared" si="74"/>
        <v>0</v>
      </c>
      <c r="W333" s="4">
        <f t="shared" si="75"/>
        <v>8.632396097063904</v>
      </c>
    </row>
    <row r="334" spans="2:23" ht="12.75">
      <c r="B334" s="19">
        <v>299</v>
      </c>
      <c r="C334" s="58">
        <v>37189</v>
      </c>
      <c r="D334" s="50">
        <v>0</v>
      </c>
      <c r="E334" s="10">
        <f ca="1" t="shared" si="85"/>
        <v>13.3</v>
      </c>
      <c r="F334" s="10">
        <f ca="1" t="shared" si="85"/>
        <v>2.792</v>
      </c>
      <c r="G334" s="10">
        <f ca="1" t="shared" si="85"/>
        <v>0</v>
      </c>
      <c r="H334" s="10">
        <f t="shared" si="76"/>
        <v>13.3</v>
      </c>
      <c r="I334" s="10">
        <f>IF((SUM(H$36:H334)&gt;GDD_budbreak),(IF(((E334-10)&gt;0),(E334-10),0)),0)</f>
        <v>3.3000000000000007</v>
      </c>
      <c r="J334" s="4">
        <f>IF((B334&lt;LeafDropDay),(SUM(I$36:I334)),0)</f>
        <v>0</v>
      </c>
      <c r="K334" s="4">
        <f t="shared" si="70"/>
        <v>0</v>
      </c>
      <c r="L334" s="4">
        <f t="shared" si="71"/>
        <v>0</v>
      </c>
      <c r="M334" s="4">
        <f t="shared" si="77"/>
        <v>0.4810862718480138</v>
      </c>
      <c r="N334" s="4">
        <f t="shared" si="72"/>
        <v>0</v>
      </c>
      <c r="O334" s="4">
        <f t="shared" si="78"/>
        <v>0</v>
      </c>
      <c r="P334" s="10">
        <f t="shared" si="79"/>
        <v>0</v>
      </c>
      <c r="Q334" s="10">
        <f t="shared" si="80"/>
        <v>0</v>
      </c>
      <c r="R334" s="4">
        <f t="shared" si="81"/>
        <v>0</v>
      </c>
      <c r="S334" s="4">
        <f t="shared" si="73"/>
        <v>0</v>
      </c>
      <c r="T334" s="4">
        <f t="shared" si="83"/>
        <v>156.36169467044414</v>
      </c>
      <c r="U334" s="4">
        <f t="shared" si="82"/>
        <v>156.36169467044414</v>
      </c>
      <c r="V334" s="4">
        <f t="shared" si="74"/>
        <v>0</v>
      </c>
      <c r="W334" s="4">
        <f t="shared" si="75"/>
        <v>8.632396097063904</v>
      </c>
    </row>
    <row r="335" spans="2:23" ht="12.75">
      <c r="B335" s="19">
        <v>300</v>
      </c>
      <c r="C335" s="58">
        <v>37190</v>
      </c>
      <c r="D335" s="50">
        <v>0</v>
      </c>
      <c r="E335" s="10">
        <f ca="1" t="shared" si="85"/>
        <v>12.8</v>
      </c>
      <c r="F335" s="10">
        <f ca="1" t="shared" si="85"/>
        <v>1.269</v>
      </c>
      <c r="G335" s="10">
        <f ca="1" t="shared" si="85"/>
        <v>0</v>
      </c>
      <c r="H335" s="10">
        <f t="shared" si="76"/>
        <v>12.8</v>
      </c>
      <c r="I335" s="10">
        <f>IF((SUM(H$36:H335)&gt;GDD_budbreak),(IF(((E335-10)&gt;0),(E335-10),0)),0)</f>
        <v>2.8000000000000007</v>
      </c>
      <c r="J335" s="4">
        <f>IF((B335&lt;LeafDropDay),(SUM(I$36:I335)),0)</f>
        <v>0</v>
      </c>
      <c r="K335" s="4">
        <f t="shared" si="70"/>
        <v>0</v>
      </c>
      <c r="L335" s="4">
        <f t="shared" si="71"/>
        <v>0</v>
      </c>
      <c r="M335" s="4">
        <f t="shared" si="77"/>
        <v>0.4810862718480138</v>
      </c>
      <c r="N335" s="4">
        <f t="shared" si="72"/>
        <v>0</v>
      </c>
      <c r="O335" s="4">
        <f t="shared" si="78"/>
        <v>0</v>
      </c>
      <c r="P335" s="10">
        <f t="shared" si="79"/>
        <v>0</v>
      </c>
      <c r="Q335" s="10">
        <f t="shared" si="80"/>
        <v>0</v>
      </c>
      <c r="R335" s="4">
        <f t="shared" si="81"/>
        <v>0</v>
      </c>
      <c r="S335" s="4">
        <f t="shared" si="73"/>
        <v>0</v>
      </c>
      <c r="T335" s="4">
        <f t="shared" si="83"/>
        <v>156.36169467044414</v>
      </c>
      <c r="U335" s="4">
        <f t="shared" si="82"/>
        <v>156.36169467044414</v>
      </c>
      <c r="V335" s="4">
        <f t="shared" si="74"/>
        <v>0</v>
      </c>
      <c r="W335" s="4">
        <f t="shared" si="75"/>
        <v>8.632396097063904</v>
      </c>
    </row>
    <row r="336" spans="2:23" ht="12.75">
      <c r="B336" s="19">
        <v>301</v>
      </c>
      <c r="C336" s="58">
        <v>37191</v>
      </c>
      <c r="D336" s="50">
        <v>0</v>
      </c>
      <c r="E336" s="10">
        <f ca="1" t="shared" si="86" ref="E336:G355">INDIRECT(WeatherSheet&amp;"!"&amp;E705)</f>
        <v>13.9</v>
      </c>
      <c r="F336" s="10">
        <f ca="1" t="shared" si="86"/>
        <v>1.015</v>
      </c>
      <c r="G336" s="10">
        <f ca="1" t="shared" si="86"/>
        <v>0</v>
      </c>
      <c r="H336" s="10">
        <f t="shared" si="76"/>
        <v>13.9</v>
      </c>
      <c r="I336" s="10">
        <f>IF((SUM(H$36:H336)&gt;GDD_budbreak),(IF(((E336-10)&gt;0),(E336-10),0)),0)</f>
        <v>3.9000000000000004</v>
      </c>
      <c r="J336" s="4">
        <f>IF((B336&lt;LeafDropDay),(SUM(I$36:I336)),0)</f>
        <v>0</v>
      </c>
      <c r="K336" s="4">
        <f t="shared" si="70"/>
        <v>0</v>
      </c>
      <c r="L336" s="4">
        <f t="shared" si="71"/>
        <v>0</v>
      </c>
      <c r="M336" s="4">
        <f t="shared" si="77"/>
        <v>0.4810862718480138</v>
      </c>
      <c r="N336" s="4">
        <f t="shared" si="72"/>
        <v>0</v>
      </c>
      <c r="O336" s="4">
        <f t="shared" si="78"/>
        <v>0</v>
      </c>
      <c r="P336" s="10">
        <f t="shared" si="79"/>
        <v>0</v>
      </c>
      <c r="Q336" s="10">
        <f t="shared" si="80"/>
        <v>0</v>
      </c>
      <c r="R336" s="4">
        <f t="shared" si="81"/>
        <v>0</v>
      </c>
      <c r="S336" s="4">
        <f t="shared" si="73"/>
        <v>0</v>
      </c>
      <c r="T336" s="4">
        <f t="shared" si="83"/>
        <v>156.36169467044414</v>
      </c>
      <c r="U336" s="4">
        <f t="shared" si="82"/>
        <v>156.36169467044414</v>
      </c>
      <c r="V336" s="4">
        <f t="shared" si="74"/>
        <v>0</v>
      </c>
      <c r="W336" s="4">
        <f t="shared" si="75"/>
        <v>8.632396097063904</v>
      </c>
    </row>
    <row r="337" spans="2:23" ht="12.75">
      <c r="B337" s="19">
        <v>302</v>
      </c>
      <c r="C337" s="58">
        <v>37192</v>
      </c>
      <c r="D337" s="50">
        <v>0</v>
      </c>
      <c r="E337" s="10">
        <f ca="1" t="shared" si="86"/>
        <v>15.85</v>
      </c>
      <c r="F337" s="10">
        <f ca="1" t="shared" si="86"/>
        <v>1.015</v>
      </c>
      <c r="G337" s="10">
        <f ca="1" t="shared" si="86"/>
        <v>1.015</v>
      </c>
      <c r="H337" s="10">
        <f t="shared" si="76"/>
        <v>15.85</v>
      </c>
      <c r="I337" s="10">
        <f>IF((SUM(H$36:H337)&gt;GDD_budbreak),(IF(((E337-10)&gt;0),(E337-10),0)),0)</f>
        <v>5.85</v>
      </c>
      <c r="J337" s="4">
        <f>IF((B337&lt;LeafDropDay),(SUM(I$36:I337)),0)</f>
        <v>0</v>
      </c>
      <c r="K337" s="4">
        <f t="shared" si="70"/>
        <v>0</v>
      </c>
      <c r="L337" s="4">
        <f t="shared" si="71"/>
        <v>0</v>
      </c>
      <c r="M337" s="4">
        <f t="shared" si="77"/>
        <v>0.4810862718480138</v>
      </c>
      <c r="N337" s="4">
        <f t="shared" si="72"/>
        <v>0</v>
      </c>
      <c r="O337" s="4">
        <f t="shared" si="78"/>
        <v>0</v>
      </c>
      <c r="P337" s="10">
        <f t="shared" si="79"/>
        <v>0</v>
      </c>
      <c r="Q337" s="10">
        <f t="shared" si="80"/>
        <v>0</v>
      </c>
      <c r="R337" s="4">
        <f t="shared" si="81"/>
        <v>0</v>
      </c>
      <c r="S337" s="4">
        <f t="shared" si="73"/>
        <v>0</v>
      </c>
      <c r="T337" s="4">
        <f t="shared" si="83"/>
        <v>157.37669467044412</v>
      </c>
      <c r="U337" s="4">
        <f t="shared" si="82"/>
        <v>157.37669467044412</v>
      </c>
      <c r="V337" s="4">
        <f t="shared" si="74"/>
        <v>0</v>
      </c>
      <c r="W337" s="4">
        <f t="shared" si="75"/>
        <v>8.314911896631912</v>
      </c>
    </row>
    <row r="338" spans="2:23" ht="12.75">
      <c r="B338" s="19">
        <v>303</v>
      </c>
      <c r="C338" s="58">
        <v>37193</v>
      </c>
      <c r="D338" s="50">
        <v>0</v>
      </c>
      <c r="E338" s="10">
        <f ca="1" t="shared" si="86"/>
        <v>14.45</v>
      </c>
      <c r="F338" s="10">
        <f ca="1" t="shared" si="86"/>
        <v>0.508</v>
      </c>
      <c r="G338" s="10">
        <f ca="1" t="shared" si="86"/>
        <v>20.81</v>
      </c>
      <c r="H338" s="10">
        <f t="shared" si="76"/>
        <v>14.45</v>
      </c>
      <c r="I338" s="10">
        <f>IF((SUM(H$36:H338)&gt;GDD_budbreak),(IF(((E338-10)&gt;0),(E338-10),0)),0)</f>
        <v>4.449999999999999</v>
      </c>
      <c r="J338" s="4">
        <f>IF((B338&lt;LeafDropDay),(SUM(I$36:I338)),0)</f>
        <v>0</v>
      </c>
      <c r="K338" s="4">
        <f t="shared" si="70"/>
        <v>0</v>
      </c>
      <c r="L338" s="4">
        <f t="shared" si="71"/>
        <v>0</v>
      </c>
      <c r="M338" s="4">
        <f t="shared" si="77"/>
        <v>0.5264411576240126</v>
      </c>
      <c r="N338" s="4">
        <f t="shared" si="72"/>
        <v>0</v>
      </c>
      <c r="O338" s="4">
        <f t="shared" si="78"/>
        <v>0</v>
      </c>
      <c r="P338" s="10">
        <f t="shared" si="79"/>
        <v>0</v>
      </c>
      <c r="Q338" s="10">
        <f t="shared" si="80"/>
        <v>0</v>
      </c>
      <c r="R338" s="4">
        <f t="shared" si="81"/>
        <v>0</v>
      </c>
      <c r="S338" s="4">
        <f t="shared" si="73"/>
        <v>0</v>
      </c>
      <c r="T338" s="4">
        <f t="shared" si="83"/>
        <v>178.18669467044413</v>
      </c>
      <c r="U338" s="4">
        <f t="shared" si="82"/>
        <v>178.18669467044413</v>
      </c>
      <c r="V338" s="4">
        <f t="shared" si="74"/>
        <v>0</v>
      </c>
      <c r="W338" s="4">
        <f t="shared" si="75"/>
        <v>4.050488837422351</v>
      </c>
    </row>
    <row r="339" spans="2:23" ht="12.75">
      <c r="B339" s="19">
        <v>304</v>
      </c>
      <c r="C339" s="58">
        <v>37194</v>
      </c>
      <c r="D339" s="50">
        <v>0</v>
      </c>
      <c r="E339" s="10">
        <f ca="1" t="shared" si="86"/>
        <v>14.45</v>
      </c>
      <c r="F339" s="10">
        <f ca="1" t="shared" si="86"/>
        <v>1.269</v>
      </c>
      <c r="G339" s="10">
        <f ca="1" t="shared" si="86"/>
        <v>0</v>
      </c>
      <c r="H339" s="10">
        <f t="shared" si="76"/>
        <v>14.45</v>
      </c>
      <c r="I339" s="10">
        <f>IF((SUM(H$36:H339)&gt;GDD_budbreak),(IF(((E339-10)&gt;0),(E339-10),0)),0)</f>
        <v>4.449999999999999</v>
      </c>
      <c r="J339" s="4">
        <f>IF((B339&lt;LeafDropDay),(SUM(I$36:I339)),0)</f>
        <v>0</v>
      </c>
      <c r="K339" s="4">
        <f t="shared" si="70"/>
        <v>0</v>
      </c>
      <c r="L339" s="4">
        <f t="shared" si="71"/>
        <v>0</v>
      </c>
      <c r="M339" s="4">
        <f t="shared" si="77"/>
        <v>1</v>
      </c>
      <c r="N339" s="4">
        <f t="shared" si="72"/>
        <v>0</v>
      </c>
      <c r="O339" s="4">
        <f t="shared" si="78"/>
        <v>0</v>
      </c>
      <c r="P339" s="10">
        <f t="shared" si="79"/>
        <v>0</v>
      </c>
      <c r="Q339" s="10">
        <f t="shared" si="80"/>
        <v>0</v>
      </c>
      <c r="R339" s="4">
        <f t="shared" si="81"/>
        <v>0</v>
      </c>
      <c r="S339" s="4">
        <f t="shared" si="73"/>
        <v>0</v>
      </c>
      <c r="T339" s="4">
        <f t="shared" si="83"/>
        <v>178.18669467044413</v>
      </c>
      <c r="U339" s="4">
        <f t="shared" si="82"/>
        <v>178.18669467044413</v>
      </c>
      <c r="V339" s="4">
        <f t="shared" si="74"/>
        <v>0</v>
      </c>
      <c r="W339" s="4">
        <f t="shared" si="75"/>
        <v>4.050488837422351</v>
      </c>
    </row>
    <row r="340" spans="2:23" ht="12.75">
      <c r="B340" s="19">
        <v>305</v>
      </c>
      <c r="C340" s="58">
        <v>37195</v>
      </c>
      <c r="D340" s="50">
        <v>0</v>
      </c>
      <c r="E340" s="10">
        <f ca="1" t="shared" si="86"/>
        <v>13.6</v>
      </c>
      <c r="F340" s="10">
        <f ca="1" t="shared" si="86"/>
        <v>1.777</v>
      </c>
      <c r="G340" s="10">
        <f ca="1" t="shared" si="86"/>
        <v>0.254</v>
      </c>
      <c r="H340" s="10">
        <f t="shared" si="76"/>
        <v>13.6</v>
      </c>
      <c r="I340" s="10">
        <f>IF((SUM(H$36:H340)&gt;GDD_budbreak),(IF(((E340-10)&gt;0),(E340-10),0)),0)</f>
        <v>3.5999999999999996</v>
      </c>
      <c r="J340" s="4">
        <f>IF((B340&lt;LeafDropDay),(SUM(I$36:I340)),0)</f>
        <v>0</v>
      </c>
      <c r="K340" s="4">
        <f t="shared" si="70"/>
        <v>0</v>
      </c>
      <c r="L340" s="4">
        <f t="shared" si="71"/>
        <v>0</v>
      </c>
      <c r="M340" s="4">
        <f t="shared" si="77"/>
        <v>1</v>
      </c>
      <c r="N340" s="4">
        <f t="shared" si="72"/>
        <v>0</v>
      </c>
      <c r="O340" s="4">
        <f t="shared" si="78"/>
        <v>0</v>
      </c>
      <c r="P340" s="10">
        <f t="shared" si="79"/>
        <v>0</v>
      </c>
      <c r="Q340" s="10">
        <f t="shared" si="80"/>
        <v>0</v>
      </c>
      <c r="R340" s="4">
        <f t="shared" si="81"/>
        <v>0</v>
      </c>
      <c r="S340" s="4">
        <f t="shared" si="73"/>
        <v>0</v>
      </c>
      <c r="T340" s="4">
        <f t="shared" si="83"/>
        <v>178.44069467044412</v>
      </c>
      <c r="U340" s="4">
        <f t="shared" si="82"/>
        <v>178.44069467044412</v>
      </c>
      <c r="V340" s="4">
        <f t="shared" si="74"/>
        <v>0</v>
      </c>
      <c r="W340" s="4">
        <f t="shared" si="75"/>
        <v>4.0172122528359315</v>
      </c>
    </row>
    <row r="341" spans="2:23" ht="12.75">
      <c r="B341" s="19">
        <v>306</v>
      </c>
      <c r="C341" s="58">
        <v>37196</v>
      </c>
      <c r="D341" s="50">
        <v>0</v>
      </c>
      <c r="E341" s="10">
        <f ca="1" t="shared" si="86"/>
        <v>14.75</v>
      </c>
      <c r="F341" s="10">
        <f ca="1" t="shared" si="86"/>
        <v>2.031</v>
      </c>
      <c r="G341" s="10">
        <f ca="1" t="shared" si="86"/>
        <v>0.254</v>
      </c>
      <c r="H341" s="10">
        <f t="shared" si="76"/>
        <v>14.75</v>
      </c>
      <c r="I341" s="10">
        <f>IF((SUM(H$36:H341)&gt;GDD_budbreak),(IF(((E341-10)&gt;0),(E341-10),0)),0)</f>
        <v>4.75</v>
      </c>
      <c r="J341" s="4">
        <f>IF((B341&lt;LeafDropDay),(SUM(I$36:I341)),0)</f>
        <v>0</v>
      </c>
      <c r="K341" s="4">
        <f t="shared" si="70"/>
        <v>0</v>
      </c>
      <c r="L341" s="4">
        <f t="shared" si="71"/>
        <v>0</v>
      </c>
      <c r="M341" s="4">
        <f t="shared" si="77"/>
        <v>1</v>
      </c>
      <c r="N341" s="4">
        <f t="shared" si="72"/>
        <v>0</v>
      </c>
      <c r="O341" s="4">
        <f t="shared" si="78"/>
        <v>0</v>
      </c>
      <c r="P341" s="10">
        <f t="shared" si="79"/>
        <v>0</v>
      </c>
      <c r="Q341" s="10">
        <f t="shared" si="80"/>
        <v>0</v>
      </c>
      <c r="R341" s="4">
        <f t="shared" si="81"/>
        <v>0</v>
      </c>
      <c r="S341" s="4">
        <f t="shared" si="73"/>
        <v>0</v>
      </c>
      <c r="T341" s="4">
        <f t="shared" si="83"/>
        <v>178.6946946704441</v>
      </c>
      <c r="U341" s="4">
        <f t="shared" si="82"/>
        <v>178.6946946704441</v>
      </c>
      <c r="V341" s="4">
        <f t="shared" si="74"/>
        <v>0</v>
      </c>
      <c r="W341" s="4">
        <f t="shared" si="75"/>
        <v>3.9842558019946495</v>
      </c>
    </row>
    <row r="342" spans="2:23" ht="12.75">
      <c r="B342" s="19">
        <v>307</v>
      </c>
      <c r="C342" s="58">
        <v>37197</v>
      </c>
      <c r="D342" s="50">
        <v>0</v>
      </c>
      <c r="E342" s="10">
        <f ca="1" t="shared" si="86"/>
        <v>15.55</v>
      </c>
      <c r="F342" s="10">
        <f ca="1" t="shared" si="86"/>
        <v>2.031</v>
      </c>
      <c r="G342" s="10">
        <f ca="1" t="shared" si="86"/>
        <v>0</v>
      </c>
      <c r="H342" s="10">
        <f t="shared" si="76"/>
        <v>15.55</v>
      </c>
      <c r="I342" s="10">
        <f>IF((SUM(H$36:H342)&gt;GDD_budbreak),(IF(((E342-10)&gt;0),(E342-10),0)),0)</f>
        <v>5.550000000000001</v>
      </c>
      <c r="J342" s="4">
        <f>IF((B342&lt;LeafDropDay),(SUM(I$36:I342)),0)</f>
        <v>0</v>
      </c>
      <c r="K342" s="4">
        <f t="shared" si="70"/>
        <v>0</v>
      </c>
      <c r="L342" s="4">
        <f t="shared" si="71"/>
        <v>0</v>
      </c>
      <c r="M342" s="4">
        <f t="shared" si="77"/>
        <v>1</v>
      </c>
      <c r="N342" s="4">
        <f t="shared" si="72"/>
        <v>0</v>
      </c>
      <c r="O342" s="4">
        <f t="shared" si="78"/>
        <v>0</v>
      </c>
      <c r="P342" s="10">
        <f t="shared" si="79"/>
        <v>0</v>
      </c>
      <c r="Q342" s="10">
        <f t="shared" si="80"/>
        <v>0</v>
      </c>
      <c r="R342" s="4">
        <f t="shared" si="81"/>
        <v>0</v>
      </c>
      <c r="S342" s="4">
        <f t="shared" si="73"/>
        <v>0</v>
      </c>
      <c r="T342" s="4">
        <f t="shared" si="83"/>
        <v>178.6946946704441</v>
      </c>
      <c r="U342" s="4">
        <f t="shared" si="82"/>
        <v>178.6946946704441</v>
      </c>
      <c r="V342" s="4">
        <f t="shared" si="74"/>
        <v>0</v>
      </c>
      <c r="W342" s="4">
        <f t="shared" si="75"/>
        <v>3.9842558019946495</v>
      </c>
    </row>
    <row r="343" spans="2:23" ht="12.75">
      <c r="B343" s="19">
        <v>308</v>
      </c>
      <c r="C343" s="58">
        <v>37198</v>
      </c>
      <c r="D343" s="50">
        <v>0</v>
      </c>
      <c r="E343" s="10">
        <f ca="1" t="shared" si="86"/>
        <v>16.95</v>
      </c>
      <c r="F343" s="10">
        <f ca="1" t="shared" si="86"/>
        <v>2.031</v>
      </c>
      <c r="G343" s="10">
        <f ca="1" t="shared" si="86"/>
        <v>0.254</v>
      </c>
      <c r="H343" s="10">
        <f t="shared" si="76"/>
        <v>16.95</v>
      </c>
      <c r="I343" s="10">
        <f>IF((SUM(H$36:H343)&gt;GDD_budbreak),(IF(((E343-10)&gt;0),(E343-10),0)),0)</f>
        <v>6.949999999999999</v>
      </c>
      <c r="J343" s="4">
        <f>IF((B343&lt;LeafDropDay),(SUM(I$36:I343)),0)</f>
        <v>0</v>
      </c>
      <c r="K343" s="4">
        <f t="shared" si="70"/>
        <v>0</v>
      </c>
      <c r="L343" s="4">
        <f t="shared" si="71"/>
        <v>0</v>
      </c>
      <c r="M343" s="4">
        <f t="shared" si="77"/>
        <v>1</v>
      </c>
      <c r="N343" s="4">
        <f t="shared" si="72"/>
        <v>0</v>
      </c>
      <c r="O343" s="4">
        <f t="shared" si="78"/>
        <v>0</v>
      </c>
      <c r="P343" s="10">
        <f t="shared" si="79"/>
        <v>0</v>
      </c>
      <c r="Q343" s="10">
        <f t="shared" si="80"/>
        <v>0</v>
      </c>
      <c r="R343" s="4">
        <f t="shared" si="81"/>
        <v>0</v>
      </c>
      <c r="S343" s="4">
        <f t="shared" si="73"/>
        <v>0</v>
      </c>
      <c r="T343" s="4">
        <f t="shared" si="83"/>
        <v>178.9486946704441</v>
      </c>
      <c r="U343" s="4">
        <f t="shared" si="82"/>
        <v>178.9486946704441</v>
      </c>
      <c r="V343" s="4">
        <f t="shared" si="74"/>
        <v>0</v>
      </c>
      <c r="W343" s="4">
        <f t="shared" si="75"/>
        <v>3.9516159565907594</v>
      </c>
    </row>
    <row r="344" spans="2:23" ht="12.75">
      <c r="B344" s="19">
        <v>309</v>
      </c>
      <c r="C344" s="58">
        <v>37199</v>
      </c>
      <c r="D344" s="50">
        <v>0</v>
      </c>
      <c r="E344" s="10">
        <f ca="1" t="shared" si="86"/>
        <v>13.6</v>
      </c>
      <c r="F344" s="10">
        <f ca="1" t="shared" si="86"/>
        <v>1.777</v>
      </c>
      <c r="G344" s="10">
        <f ca="1" t="shared" si="86"/>
        <v>0.254</v>
      </c>
      <c r="H344" s="10">
        <f t="shared" si="76"/>
        <v>13.6</v>
      </c>
      <c r="I344" s="10">
        <f>IF((SUM(H$36:H344)&gt;GDD_budbreak),(IF(((E344-10)&gt;0),(E344-10),0)),0)</f>
        <v>3.5999999999999996</v>
      </c>
      <c r="J344" s="4">
        <f>IF((B344&lt;LeafDropDay),(SUM(I$36:I344)),0)</f>
        <v>0</v>
      </c>
      <c r="K344" s="4">
        <f t="shared" si="70"/>
        <v>0</v>
      </c>
      <c r="L344" s="4">
        <f t="shared" si="71"/>
        <v>0</v>
      </c>
      <c r="M344" s="4">
        <f t="shared" si="77"/>
        <v>1</v>
      </c>
      <c r="N344" s="4">
        <f t="shared" si="72"/>
        <v>0</v>
      </c>
      <c r="O344" s="4">
        <f t="shared" si="78"/>
        <v>0</v>
      </c>
      <c r="P344" s="10">
        <f t="shared" si="79"/>
        <v>0</v>
      </c>
      <c r="Q344" s="10">
        <f t="shared" si="80"/>
        <v>0</v>
      </c>
      <c r="R344" s="4">
        <f t="shared" si="81"/>
        <v>0</v>
      </c>
      <c r="S344" s="4">
        <f t="shared" si="73"/>
        <v>0</v>
      </c>
      <c r="T344" s="4">
        <f t="shared" si="83"/>
        <v>179.2026946704441</v>
      </c>
      <c r="U344" s="4">
        <f t="shared" si="82"/>
        <v>179.2026946704441</v>
      </c>
      <c r="V344" s="4">
        <f t="shared" si="74"/>
        <v>0</v>
      </c>
      <c r="W344" s="4">
        <f t="shared" si="75"/>
        <v>3.919289232132276</v>
      </c>
    </row>
    <row r="345" spans="2:23" ht="12.75">
      <c r="B345" s="19">
        <v>310</v>
      </c>
      <c r="C345" s="58">
        <v>37200</v>
      </c>
      <c r="D345" s="50">
        <v>0</v>
      </c>
      <c r="E345" s="10">
        <f ca="1" t="shared" si="86"/>
        <v>12.25</v>
      </c>
      <c r="F345" s="10">
        <f ca="1" t="shared" si="86"/>
        <v>1.269</v>
      </c>
      <c r="G345" s="10">
        <f ca="1" t="shared" si="86"/>
        <v>0</v>
      </c>
      <c r="H345" s="10">
        <f t="shared" si="76"/>
        <v>12.25</v>
      </c>
      <c r="I345" s="10">
        <f>IF((SUM(H$36:H345)&gt;GDD_budbreak),(IF(((E345-10)&gt;0),(E345-10),0)),0)</f>
        <v>2.25</v>
      </c>
      <c r="J345" s="4">
        <f>IF((B345&lt;LeafDropDay),(SUM(I$36:I345)),0)</f>
        <v>0</v>
      </c>
      <c r="K345" s="4">
        <f t="shared" si="70"/>
        <v>0</v>
      </c>
      <c r="L345" s="4">
        <f t="shared" si="71"/>
        <v>0</v>
      </c>
      <c r="M345" s="4">
        <f t="shared" si="77"/>
        <v>1</v>
      </c>
      <c r="N345" s="4">
        <f t="shared" si="72"/>
        <v>0</v>
      </c>
      <c r="O345" s="4">
        <f t="shared" si="78"/>
        <v>0</v>
      </c>
      <c r="P345" s="10">
        <f t="shared" si="79"/>
        <v>0</v>
      </c>
      <c r="Q345" s="10">
        <f t="shared" si="80"/>
        <v>0</v>
      </c>
      <c r="R345" s="4">
        <f t="shared" si="81"/>
        <v>0</v>
      </c>
      <c r="S345" s="4">
        <f t="shared" si="73"/>
        <v>0</v>
      </c>
      <c r="T345" s="4">
        <f t="shared" si="83"/>
        <v>179.2026946704441</v>
      </c>
      <c r="U345" s="4">
        <f t="shared" si="82"/>
        <v>179.2026946704441</v>
      </c>
      <c r="V345" s="4">
        <f t="shared" si="74"/>
        <v>0</v>
      </c>
      <c r="W345" s="4">
        <f t="shared" si="75"/>
        <v>3.919289232132276</v>
      </c>
    </row>
    <row r="346" spans="2:23" ht="12.75">
      <c r="B346" s="19">
        <v>311</v>
      </c>
      <c r="C346" s="58">
        <v>37201</v>
      </c>
      <c r="D346" s="50">
        <v>0</v>
      </c>
      <c r="E346" s="10">
        <f ca="1" t="shared" si="86"/>
        <v>12.5</v>
      </c>
      <c r="F346" s="10">
        <f ca="1" t="shared" si="86"/>
        <v>1.777</v>
      </c>
      <c r="G346" s="10">
        <f ca="1" t="shared" si="86"/>
        <v>0</v>
      </c>
      <c r="H346" s="10">
        <f t="shared" si="76"/>
        <v>12.5</v>
      </c>
      <c r="I346" s="10">
        <f>IF((SUM(H$36:H346)&gt;GDD_budbreak),(IF(((E346-10)&gt;0),(E346-10),0)),0)</f>
        <v>2.5</v>
      </c>
      <c r="J346" s="4">
        <f>IF((B346&lt;LeafDropDay),(SUM(I$36:I346)),0)</f>
        <v>0</v>
      </c>
      <c r="K346" s="4">
        <f t="shared" si="70"/>
        <v>0</v>
      </c>
      <c r="L346" s="4">
        <f t="shared" si="71"/>
        <v>0</v>
      </c>
      <c r="M346" s="4">
        <f t="shared" si="77"/>
        <v>1</v>
      </c>
      <c r="N346" s="4">
        <f t="shared" si="72"/>
        <v>0</v>
      </c>
      <c r="O346" s="4">
        <f t="shared" si="78"/>
        <v>0</v>
      </c>
      <c r="P346" s="10">
        <f t="shared" si="79"/>
        <v>0</v>
      </c>
      <c r="Q346" s="10">
        <f t="shared" si="80"/>
        <v>0</v>
      </c>
      <c r="R346" s="4">
        <f t="shared" si="81"/>
        <v>0</v>
      </c>
      <c r="S346" s="4">
        <f t="shared" si="73"/>
        <v>0</v>
      </c>
      <c r="T346" s="4">
        <f t="shared" si="83"/>
        <v>179.2026946704441</v>
      </c>
      <c r="U346" s="4">
        <f t="shared" si="82"/>
        <v>179.2026946704441</v>
      </c>
      <c r="V346" s="4">
        <f t="shared" si="74"/>
        <v>0</v>
      </c>
      <c r="W346" s="4">
        <f t="shared" si="75"/>
        <v>3.919289232132276</v>
      </c>
    </row>
    <row r="347" spans="2:23" ht="12.75">
      <c r="B347" s="19">
        <v>312</v>
      </c>
      <c r="C347" s="58">
        <v>37202</v>
      </c>
      <c r="D347" s="50">
        <v>0</v>
      </c>
      <c r="E347" s="10">
        <f ca="1" t="shared" si="86"/>
        <v>14.7</v>
      </c>
      <c r="F347" s="10">
        <f ca="1" t="shared" si="86"/>
        <v>2.792</v>
      </c>
      <c r="G347" s="10">
        <f ca="1" t="shared" si="86"/>
        <v>0</v>
      </c>
      <c r="H347" s="10">
        <f t="shared" si="76"/>
        <v>14.7</v>
      </c>
      <c r="I347" s="10">
        <f>IF((SUM(H$36:H347)&gt;GDD_budbreak),(IF(((E347-10)&gt;0),(E347-10),0)),0)</f>
        <v>4.699999999999999</v>
      </c>
      <c r="J347" s="4">
        <f>IF((B347&lt;LeafDropDay),(SUM(I$36:I347)),0)</f>
        <v>0</v>
      </c>
      <c r="K347" s="4">
        <f t="shared" si="70"/>
        <v>0</v>
      </c>
      <c r="L347" s="4">
        <f t="shared" si="71"/>
        <v>0</v>
      </c>
      <c r="M347" s="4">
        <f t="shared" si="77"/>
        <v>1</v>
      </c>
      <c r="N347" s="4">
        <f t="shared" si="72"/>
        <v>0</v>
      </c>
      <c r="O347" s="4">
        <f t="shared" si="78"/>
        <v>0</v>
      </c>
      <c r="P347" s="10">
        <f t="shared" si="79"/>
        <v>0</v>
      </c>
      <c r="Q347" s="10">
        <f t="shared" si="80"/>
        <v>0</v>
      </c>
      <c r="R347" s="4">
        <f t="shared" si="81"/>
        <v>0</v>
      </c>
      <c r="S347" s="4">
        <f t="shared" si="73"/>
        <v>0</v>
      </c>
      <c r="T347" s="4">
        <f t="shared" si="83"/>
        <v>179.2026946704441</v>
      </c>
      <c r="U347" s="4">
        <f t="shared" si="82"/>
        <v>179.2026946704441</v>
      </c>
      <c r="V347" s="4">
        <f t="shared" si="74"/>
        <v>0</v>
      </c>
      <c r="W347" s="4">
        <f t="shared" si="75"/>
        <v>3.919289232132276</v>
      </c>
    </row>
    <row r="348" spans="2:23" ht="12.75">
      <c r="B348" s="19">
        <v>313</v>
      </c>
      <c r="C348" s="58">
        <v>37203</v>
      </c>
      <c r="D348" s="50">
        <v>0</v>
      </c>
      <c r="E348" s="10">
        <f ca="1" t="shared" si="86"/>
        <v>15.85</v>
      </c>
      <c r="F348" s="10">
        <f ca="1" t="shared" si="86"/>
        <v>2.284</v>
      </c>
      <c r="G348" s="10">
        <f ca="1" t="shared" si="86"/>
        <v>4.315</v>
      </c>
      <c r="H348" s="10">
        <f t="shared" si="76"/>
        <v>15.85</v>
      </c>
      <c r="I348" s="10">
        <f>IF((SUM(H$36:H348)&gt;GDD_budbreak),(IF(((E348-10)&gt;0),(E348-10),0)),0)</f>
        <v>5.85</v>
      </c>
      <c r="J348" s="4">
        <f>IF((B348&lt;LeafDropDay),(SUM(I$36:I348)),0)</f>
        <v>0</v>
      </c>
      <c r="K348" s="4">
        <f t="shared" si="70"/>
        <v>0</v>
      </c>
      <c r="L348" s="4">
        <f t="shared" si="71"/>
        <v>0</v>
      </c>
      <c r="M348" s="4">
        <f t="shared" si="77"/>
        <v>1</v>
      </c>
      <c r="N348" s="4">
        <f t="shared" si="72"/>
        <v>0</v>
      </c>
      <c r="O348" s="4">
        <f t="shared" si="78"/>
        <v>0</v>
      </c>
      <c r="P348" s="10">
        <f t="shared" si="79"/>
        <v>0</v>
      </c>
      <c r="Q348" s="10">
        <f t="shared" si="80"/>
        <v>0</v>
      </c>
      <c r="R348" s="4">
        <f t="shared" si="81"/>
        <v>0</v>
      </c>
      <c r="S348" s="4">
        <f t="shared" si="73"/>
        <v>0</v>
      </c>
      <c r="T348" s="4">
        <f t="shared" si="83"/>
        <v>183.5176946704441</v>
      </c>
      <c r="U348" s="4">
        <f t="shared" si="82"/>
        <v>183.5176946704441</v>
      </c>
      <c r="V348" s="4">
        <f t="shared" si="74"/>
        <v>0</v>
      </c>
      <c r="W348" s="4">
        <f t="shared" si="75"/>
        <v>3.4147896660022554</v>
      </c>
    </row>
    <row r="349" spans="2:23" ht="12.75">
      <c r="B349" s="19">
        <v>314</v>
      </c>
      <c r="C349" s="58">
        <v>37204</v>
      </c>
      <c r="D349" s="50">
        <v>0</v>
      </c>
      <c r="E349" s="10">
        <f ca="1" t="shared" si="86"/>
        <v>12.8</v>
      </c>
      <c r="F349" s="10">
        <f ca="1" t="shared" si="86"/>
        <v>1.015</v>
      </c>
      <c r="G349" s="10">
        <f ca="1" t="shared" si="86"/>
        <v>6.853</v>
      </c>
      <c r="H349" s="10">
        <f t="shared" si="76"/>
        <v>12.8</v>
      </c>
      <c r="I349" s="10">
        <f>IF((SUM(H$36:H349)&gt;GDD_budbreak),(IF(((E349-10)&gt;0),(E349-10),0)),0)</f>
        <v>2.8000000000000007</v>
      </c>
      <c r="J349" s="4">
        <f>IF((B349&lt;LeafDropDay),(SUM(I$36:I349)),0)</f>
        <v>0</v>
      </c>
      <c r="K349" s="4">
        <f t="shared" si="70"/>
        <v>0</v>
      </c>
      <c r="L349" s="4">
        <f t="shared" si="71"/>
        <v>0</v>
      </c>
      <c r="M349" s="4">
        <f t="shared" si="77"/>
        <v>1</v>
      </c>
      <c r="N349" s="4">
        <f t="shared" si="72"/>
        <v>0</v>
      </c>
      <c r="O349" s="4">
        <f t="shared" si="78"/>
        <v>0</v>
      </c>
      <c r="P349" s="10">
        <f t="shared" si="79"/>
        <v>0</v>
      </c>
      <c r="Q349" s="10">
        <f t="shared" si="80"/>
        <v>0</v>
      </c>
      <c r="R349" s="4">
        <f t="shared" si="81"/>
        <v>0</v>
      </c>
      <c r="S349" s="4">
        <f t="shared" si="73"/>
        <v>0</v>
      </c>
      <c r="T349" s="4">
        <f t="shared" si="83"/>
        <v>190.3706946704441</v>
      </c>
      <c r="U349" s="4">
        <f t="shared" si="82"/>
        <v>190.3706946704441</v>
      </c>
      <c r="V349" s="4">
        <f t="shared" si="74"/>
        <v>0</v>
      </c>
      <c r="W349" s="4">
        <f t="shared" si="75"/>
        <v>2.7615620721996224</v>
      </c>
    </row>
    <row r="350" spans="2:23" ht="12.75">
      <c r="B350" s="19">
        <v>315</v>
      </c>
      <c r="C350" s="58">
        <v>37205</v>
      </c>
      <c r="D350" s="50">
        <v>0</v>
      </c>
      <c r="E350" s="10">
        <f ca="1" t="shared" si="86"/>
        <v>15.55</v>
      </c>
      <c r="F350" s="10">
        <f ca="1" t="shared" si="86"/>
        <v>0.508</v>
      </c>
      <c r="G350" s="10">
        <f ca="1" t="shared" si="86"/>
        <v>7.614</v>
      </c>
      <c r="H350" s="10">
        <f t="shared" si="76"/>
        <v>15.55</v>
      </c>
      <c r="I350" s="10">
        <f>IF((SUM(H$36:H350)&gt;GDD_budbreak),(IF(((E350-10)&gt;0),(E350-10),0)),0)</f>
        <v>5.550000000000001</v>
      </c>
      <c r="J350" s="4">
        <f>IF((B350&lt;LeafDropDay),(SUM(I$36:I350)),0)</f>
        <v>0</v>
      </c>
      <c r="K350" s="4">
        <f t="shared" si="70"/>
        <v>0</v>
      </c>
      <c r="L350" s="4">
        <f t="shared" si="71"/>
        <v>0</v>
      </c>
      <c r="M350" s="4">
        <f t="shared" si="77"/>
        <v>1</v>
      </c>
      <c r="N350" s="4">
        <f t="shared" si="72"/>
        <v>0</v>
      </c>
      <c r="O350" s="4">
        <f t="shared" si="78"/>
        <v>0</v>
      </c>
      <c r="P350" s="10">
        <f t="shared" si="79"/>
        <v>0</v>
      </c>
      <c r="Q350" s="10">
        <f t="shared" si="80"/>
        <v>0</v>
      </c>
      <c r="R350" s="4">
        <f t="shared" si="81"/>
        <v>0</v>
      </c>
      <c r="S350" s="4">
        <f t="shared" si="73"/>
        <v>0</v>
      </c>
      <c r="T350" s="4">
        <f t="shared" si="83"/>
        <v>197.9846946704441</v>
      </c>
      <c r="U350" s="4">
        <f t="shared" si="82"/>
        <v>197.9846946704441</v>
      </c>
      <c r="V350" s="4">
        <f t="shared" si="74"/>
        <v>0</v>
      </c>
      <c r="W350" s="4">
        <f t="shared" si="75"/>
        <v>2.20049810545857</v>
      </c>
    </row>
    <row r="351" spans="2:23" ht="12.75">
      <c r="B351" s="19">
        <v>316</v>
      </c>
      <c r="C351" s="58">
        <v>37206</v>
      </c>
      <c r="D351" s="50">
        <v>0</v>
      </c>
      <c r="E351" s="10">
        <f ca="1" t="shared" si="86"/>
        <v>13.4</v>
      </c>
      <c r="F351" s="10">
        <f ca="1" t="shared" si="86"/>
        <v>0.15</v>
      </c>
      <c r="G351" s="10">
        <f ca="1" t="shared" si="86"/>
        <v>61.47</v>
      </c>
      <c r="H351" s="10">
        <f t="shared" si="76"/>
        <v>13.4</v>
      </c>
      <c r="I351" s="10">
        <f>IF((SUM(H$36:H351)&gt;GDD_budbreak),(IF(((E351-10)&gt;0),(E351-10),0)),0)</f>
        <v>3.4000000000000004</v>
      </c>
      <c r="J351" s="4">
        <f>IF((B351&lt;LeafDropDay),(SUM(I$36:I351)),0)</f>
        <v>0</v>
      </c>
      <c r="K351" s="4">
        <f t="shared" si="70"/>
        <v>0</v>
      </c>
      <c r="L351" s="4">
        <f t="shared" si="71"/>
        <v>0</v>
      </c>
      <c r="M351" s="4">
        <f t="shared" si="77"/>
        <v>1</v>
      </c>
      <c r="N351" s="4">
        <f t="shared" si="72"/>
        <v>0</v>
      </c>
      <c r="O351" s="4">
        <f t="shared" si="78"/>
        <v>0</v>
      </c>
      <c r="P351" s="10">
        <f t="shared" si="79"/>
        <v>0</v>
      </c>
      <c r="Q351" s="10">
        <f t="shared" si="80"/>
        <v>0</v>
      </c>
      <c r="R351" s="4">
        <f t="shared" si="81"/>
        <v>0</v>
      </c>
      <c r="S351" s="4">
        <f t="shared" si="73"/>
        <v>0</v>
      </c>
      <c r="T351" s="4">
        <f t="shared" si="83"/>
        <v>259.4546946704441</v>
      </c>
      <c r="U351" s="4">
        <f t="shared" si="82"/>
        <v>259.4546946704441</v>
      </c>
      <c r="V351" s="4">
        <f t="shared" si="74"/>
        <v>0</v>
      </c>
      <c r="W351" s="4">
        <f t="shared" si="75"/>
        <v>0.459679358304857</v>
      </c>
    </row>
    <row r="352" spans="2:23" ht="12.75">
      <c r="B352" s="19">
        <v>317</v>
      </c>
      <c r="C352" s="58">
        <v>37207</v>
      </c>
      <c r="D352" s="50">
        <v>0</v>
      </c>
      <c r="E352" s="10">
        <f ca="1" t="shared" si="86"/>
        <v>12.2</v>
      </c>
      <c r="F352" s="10">
        <f ca="1" t="shared" si="86"/>
        <v>0.31</v>
      </c>
      <c r="G352" s="10">
        <f ca="1" t="shared" si="86"/>
        <v>2.03</v>
      </c>
      <c r="H352" s="10">
        <f t="shared" si="76"/>
        <v>12.2</v>
      </c>
      <c r="I352" s="10">
        <f>IF((SUM(H$36:H352)&gt;GDD_budbreak),(IF(((E352-10)&gt;0),(E352-10),0)),0)</f>
        <v>2.1999999999999993</v>
      </c>
      <c r="J352" s="4">
        <f>IF((B352&lt;LeafDropDay),(SUM(I$36:I352)),0)</f>
        <v>0</v>
      </c>
      <c r="K352" s="4">
        <f t="shared" si="70"/>
        <v>0</v>
      </c>
      <c r="L352" s="4">
        <f t="shared" si="71"/>
        <v>0</v>
      </c>
      <c r="M352" s="4">
        <f t="shared" si="77"/>
        <v>1</v>
      </c>
      <c r="N352" s="4">
        <f t="shared" si="72"/>
        <v>0</v>
      </c>
      <c r="O352" s="4">
        <f t="shared" si="78"/>
        <v>0</v>
      </c>
      <c r="P352" s="10">
        <f t="shared" si="79"/>
        <v>0</v>
      </c>
      <c r="Q352" s="10">
        <f t="shared" si="80"/>
        <v>0</v>
      </c>
      <c r="R352" s="4">
        <f t="shared" si="81"/>
        <v>0</v>
      </c>
      <c r="S352" s="4">
        <f t="shared" si="73"/>
        <v>0</v>
      </c>
      <c r="T352" s="4">
        <f t="shared" si="83"/>
        <v>261.48469467044407</v>
      </c>
      <c r="U352" s="4">
        <f t="shared" si="82"/>
        <v>261.48469467044407</v>
      </c>
      <c r="V352" s="4">
        <f t="shared" si="74"/>
        <v>0</v>
      </c>
      <c r="W352" s="4">
        <f t="shared" si="75"/>
        <v>0.4393929914230693</v>
      </c>
    </row>
    <row r="353" spans="2:23" ht="12.75">
      <c r="B353" s="19">
        <v>318</v>
      </c>
      <c r="C353" s="58">
        <v>37208</v>
      </c>
      <c r="D353" s="50">
        <v>0</v>
      </c>
      <c r="E353" s="10">
        <f ca="1" t="shared" si="86"/>
        <v>13.8</v>
      </c>
      <c r="F353" s="10">
        <f ca="1" t="shared" si="86"/>
        <v>0.53</v>
      </c>
      <c r="G353" s="10">
        <f ca="1" t="shared" si="86"/>
        <v>1.27</v>
      </c>
      <c r="H353" s="10">
        <f t="shared" si="76"/>
        <v>13.8</v>
      </c>
      <c r="I353" s="10">
        <f>IF((SUM(H$36:H353)&gt;GDD_budbreak),(IF(((E353-10)&gt;0),(E353-10),0)),0)</f>
        <v>3.8000000000000007</v>
      </c>
      <c r="J353" s="4">
        <f>IF((B353&lt;LeafDropDay),(SUM(I$36:I353)),0)</f>
        <v>0</v>
      </c>
      <c r="K353" s="4">
        <f t="shared" si="70"/>
        <v>0</v>
      </c>
      <c r="L353" s="4">
        <f t="shared" si="71"/>
        <v>0</v>
      </c>
      <c r="M353" s="4">
        <f t="shared" si="77"/>
        <v>1</v>
      </c>
      <c r="N353" s="4">
        <f t="shared" si="72"/>
        <v>0</v>
      </c>
      <c r="O353" s="4">
        <f t="shared" si="78"/>
        <v>0</v>
      </c>
      <c r="P353" s="10">
        <f t="shared" si="79"/>
        <v>0</v>
      </c>
      <c r="Q353" s="10">
        <f t="shared" si="80"/>
        <v>0</v>
      </c>
      <c r="R353" s="4">
        <f t="shared" si="81"/>
        <v>0</v>
      </c>
      <c r="S353" s="4">
        <f t="shared" si="73"/>
        <v>0</v>
      </c>
      <c r="T353" s="4">
        <f t="shared" si="83"/>
        <v>262.75469467044405</v>
      </c>
      <c r="U353" s="4">
        <f t="shared" si="82"/>
        <v>262.75469467044405</v>
      </c>
      <c r="V353" s="4">
        <f t="shared" si="74"/>
        <v>0</v>
      </c>
      <c r="W353" s="4">
        <f t="shared" si="75"/>
        <v>0.42723528652462955</v>
      </c>
    </row>
    <row r="354" spans="2:23" ht="12.75">
      <c r="B354" s="19">
        <v>319</v>
      </c>
      <c r="C354" s="58">
        <v>37209</v>
      </c>
      <c r="D354" s="50">
        <v>0</v>
      </c>
      <c r="E354" s="10">
        <f ca="1" t="shared" si="86"/>
        <v>14.8</v>
      </c>
      <c r="F354" s="10">
        <f ca="1" t="shared" si="86"/>
        <v>1.11</v>
      </c>
      <c r="G354" s="10">
        <f ca="1" t="shared" si="86"/>
        <v>0.25</v>
      </c>
      <c r="H354" s="10">
        <f t="shared" si="76"/>
        <v>14.8</v>
      </c>
      <c r="I354" s="10">
        <f>IF((SUM(H$36:H354)&gt;GDD_budbreak),(IF(((E354-10)&gt;0),(E354-10),0)),0)</f>
        <v>4.800000000000001</v>
      </c>
      <c r="J354" s="4">
        <f>IF((B354&lt;LeafDropDay),(SUM(I$36:I354)),0)</f>
        <v>0</v>
      </c>
      <c r="K354" s="4">
        <f t="shared" si="70"/>
        <v>0</v>
      </c>
      <c r="L354" s="4">
        <f t="shared" si="71"/>
        <v>0</v>
      </c>
      <c r="M354" s="4">
        <f t="shared" si="77"/>
        <v>1</v>
      </c>
      <c r="N354" s="4">
        <f t="shared" si="72"/>
        <v>0</v>
      </c>
      <c r="O354" s="4">
        <f t="shared" si="78"/>
        <v>0</v>
      </c>
      <c r="P354" s="10">
        <f t="shared" si="79"/>
        <v>0</v>
      </c>
      <c r="Q354" s="10">
        <f t="shared" si="80"/>
        <v>0</v>
      </c>
      <c r="R354" s="4">
        <f t="shared" si="81"/>
        <v>0</v>
      </c>
      <c r="S354" s="4">
        <f t="shared" si="73"/>
        <v>0</v>
      </c>
      <c r="T354" s="4">
        <f t="shared" si="83"/>
        <v>263.00469467044405</v>
      </c>
      <c r="U354" s="4">
        <f t="shared" si="82"/>
        <v>263.00469467044405</v>
      </c>
      <c r="V354" s="4">
        <f t="shared" si="74"/>
        <v>0</v>
      </c>
      <c r="W354" s="4">
        <f t="shared" si="75"/>
        <v>0.4248887515252532</v>
      </c>
    </row>
    <row r="355" spans="2:23" ht="12.75">
      <c r="B355" s="19">
        <v>320</v>
      </c>
      <c r="C355" s="58">
        <v>37210</v>
      </c>
      <c r="D355" s="50">
        <v>0</v>
      </c>
      <c r="E355" s="10">
        <f ca="1" t="shared" si="86"/>
        <v>14</v>
      </c>
      <c r="F355" s="10">
        <f ca="1" t="shared" si="86"/>
        <v>0.11</v>
      </c>
      <c r="G355" s="10">
        <f ca="1" t="shared" si="86"/>
        <v>0</v>
      </c>
      <c r="H355" s="10">
        <f t="shared" si="76"/>
        <v>14</v>
      </c>
      <c r="I355" s="10">
        <f>IF((SUM(H$36:H355)&gt;GDD_budbreak),(IF(((E355-10)&gt;0),(E355-10),0)),0)</f>
        <v>4</v>
      </c>
      <c r="J355" s="4">
        <f>IF((B355&lt;LeafDropDay),(SUM(I$36:I355)),0)</f>
        <v>0</v>
      </c>
      <c r="K355" s="4">
        <f t="shared" si="70"/>
        <v>0</v>
      </c>
      <c r="L355" s="4">
        <f t="shared" si="71"/>
        <v>0</v>
      </c>
      <c r="M355" s="4">
        <f t="shared" si="77"/>
        <v>1</v>
      </c>
      <c r="N355" s="4">
        <f t="shared" si="72"/>
        <v>0</v>
      </c>
      <c r="O355" s="4">
        <f t="shared" si="78"/>
        <v>0</v>
      </c>
      <c r="P355" s="10">
        <f t="shared" si="79"/>
        <v>0</v>
      </c>
      <c r="Q355" s="10">
        <f t="shared" si="80"/>
        <v>0</v>
      </c>
      <c r="R355" s="4">
        <f t="shared" si="81"/>
        <v>0</v>
      </c>
      <c r="S355" s="4">
        <f t="shared" si="73"/>
        <v>0</v>
      </c>
      <c r="T355" s="4">
        <f t="shared" si="83"/>
        <v>263.00469467044405</v>
      </c>
      <c r="U355" s="4">
        <f t="shared" si="82"/>
        <v>263.00469467044405</v>
      </c>
      <c r="V355" s="4">
        <f t="shared" si="74"/>
        <v>0</v>
      </c>
      <c r="W355" s="4">
        <f t="shared" si="75"/>
        <v>0.4248887515252532</v>
      </c>
    </row>
    <row r="356" spans="2:23" ht="12.75">
      <c r="B356" s="19">
        <v>321</v>
      </c>
      <c r="C356" s="58">
        <v>37211</v>
      </c>
      <c r="D356" s="50">
        <v>0</v>
      </c>
      <c r="E356" s="10">
        <f ca="1" t="shared" si="87" ref="E356:G375">INDIRECT(WeatherSheet&amp;"!"&amp;E725)</f>
        <v>12.6</v>
      </c>
      <c r="F356" s="10">
        <f ca="1" t="shared" si="87"/>
        <v>1.63</v>
      </c>
      <c r="G356" s="10">
        <f ca="1" t="shared" si="87"/>
        <v>0</v>
      </c>
      <c r="H356" s="10">
        <f t="shared" si="76"/>
        <v>12.6</v>
      </c>
      <c r="I356" s="10">
        <f>IF((SUM(H$36:H356)&gt;GDD_budbreak),(IF(((E356-10)&gt;0),(E356-10),0)),0)</f>
        <v>2.5999999999999996</v>
      </c>
      <c r="J356" s="4">
        <f>IF((B356&lt;LeafDropDay),(SUM(I$36:I356)),0)</f>
        <v>0</v>
      </c>
      <c r="K356" s="4">
        <f aca="true" t="shared" si="88" ref="K356:K400">IF(J356&gt;0,((1.0066-1.0118*EXP(-5.0278*(J357/GDD_MaxLAI)^1.9331))*MaxLAI),0)</f>
        <v>0</v>
      </c>
      <c r="L356" s="4">
        <f aca="true" t="shared" si="89" ref="L356:L400">1-EXP(-ExtCoeff*K356)</f>
        <v>0</v>
      </c>
      <c r="M356" s="4">
        <f t="shared" si="77"/>
        <v>1</v>
      </c>
      <c r="N356" s="4">
        <f aca="true" t="shared" si="90" ref="N356:N400">IF(AlterKc?&gt;0,L356*M356,L356)</f>
        <v>0</v>
      </c>
      <c r="O356" s="4">
        <f t="shared" si="78"/>
        <v>0</v>
      </c>
      <c r="P356" s="10">
        <f t="shared" si="79"/>
        <v>0</v>
      </c>
      <c r="Q356" s="10">
        <f t="shared" si="80"/>
        <v>0</v>
      </c>
      <c r="R356" s="4">
        <f t="shared" si="81"/>
        <v>0</v>
      </c>
      <c r="S356" s="4">
        <f aca="true" t="shared" si="91" ref="S356:S400">R356*IrrConv</f>
        <v>0</v>
      </c>
      <c r="T356" s="4">
        <f t="shared" si="83"/>
        <v>263.00469467044405</v>
      </c>
      <c r="U356" s="4">
        <f t="shared" si="82"/>
        <v>263.00469467044405</v>
      </c>
      <c r="V356" s="4">
        <f aca="true" t="shared" si="92" ref="V356:V400">IF((T356&gt;SMatFC),((T356-SMatFC)*-V$29),0)</f>
        <v>0</v>
      </c>
      <c r="W356" s="4">
        <f aca="true" t="shared" si="93" ref="W356:W400">((SoilA*(U356/((RootDepth*1000)*(1-(Gravel/100))))^SoilB)/100)</f>
        <v>0.4248887515252532</v>
      </c>
    </row>
    <row r="357" spans="2:23" ht="12.75">
      <c r="B357" s="19">
        <v>322</v>
      </c>
      <c r="C357" s="58">
        <v>37212</v>
      </c>
      <c r="D357" s="50">
        <v>0</v>
      </c>
      <c r="E357" s="10">
        <f ca="1" t="shared" si="87"/>
        <v>13.4</v>
      </c>
      <c r="F357" s="10">
        <f ca="1" t="shared" si="87"/>
        <v>1.42</v>
      </c>
      <c r="G357" s="10">
        <f ca="1" t="shared" si="87"/>
        <v>0.25</v>
      </c>
      <c r="H357" s="10">
        <f aca="true" t="shared" si="94" ref="H357:H400">IF(((E357-0)&gt;0),(E357-0),0)</f>
        <v>13.4</v>
      </c>
      <c r="I357" s="10">
        <f>IF((SUM(H$36:H357)&gt;GDD_budbreak),(IF(((E357-10)&gt;0),(E357-10),0)),0)</f>
        <v>3.4000000000000004</v>
      </c>
      <c r="J357" s="4">
        <f>IF((B357&lt;LeafDropDay),(SUM(I$36:I357)),0)</f>
        <v>0</v>
      </c>
      <c r="K357" s="4">
        <f t="shared" si="88"/>
        <v>0</v>
      </c>
      <c r="L357" s="4">
        <f t="shared" si="89"/>
        <v>0</v>
      </c>
      <c r="M357" s="4">
        <f aca="true" t="shared" si="95" ref="M357:M400">IF((W356&gt;LWP_KcMax),IF(W356&lt;LWP_Kc0,(1-((W356-LWP_KcMax)/(LWP_Kc0-LWP_KcMax))),0),1)</f>
        <v>1</v>
      </c>
      <c r="N357" s="4">
        <f t="shared" si="90"/>
        <v>0</v>
      </c>
      <c r="O357" s="4">
        <f aca="true" t="shared" si="96" ref="O357:O400">IF(CC_cover&gt;0,(IF(B357&lt;CCLastDay,(IF((U356&gt;(SMatFC*CC_SMdeath)),(((U356-(SMatFC*CC_SMdeath))/(SMatFC-(SMatFC*CC_SMdeath)))*CC_cover),0)),0)),0)</f>
        <v>0</v>
      </c>
      <c r="P357" s="10">
        <f aca="true" t="shared" si="97" ref="P357:P400">F357*O357*-1</f>
        <v>0</v>
      </c>
      <c r="Q357" s="10">
        <f aca="true" t="shared" si="98" ref="Q357:Q400">F357*N357*-1</f>
        <v>0</v>
      </c>
      <c r="R357" s="4">
        <f aca="true" t="shared" si="99" ref="R357:R400">IF((SimIrr?=1),(IF((U356&lt;SMatIrrig),((SMatOptLWP-SMatIrrig)*2),0)),D357)</f>
        <v>0</v>
      </c>
      <c r="S357" s="4">
        <f t="shared" si="91"/>
        <v>0</v>
      </c>
      <c r="T357" s="4">
        <f t="shared" si="83"/>
        <v>263.25469467044405</v>
      </c>
      <c r="U357" s="4">
        <f aca="true" t="shared" si="100" ref="U357:U400">T357+V357</f>
        <v>263.25469467044405</v>
      </c>
      <c r="V357" s="4">
        <f t="shared" si="92"/>
        <v>0</v>
      </c>
      <c r="W357" s="4">
        <f t="shared" si="93"/>
        <v>0.42255731567660854</v>
      </c>
    </row>
    <row r="358" spans="2:23" ht="12.75">
      <c r="B358" s="19">
        <v>323</v>
      </c>
      <c r="C358" s="58">
        <v>37213</v>
      </c>
      <c r="D358" s="50">
        <v>0</v>
      </c>
      <c r="E358" s="10">
        <f ca="1" t="shared" si="87"/>
        <v>13.6</v>
      </c>
      <c r="F358" s="10">
        <f ca="1" t="shared" si="87"/>
        <v>0.79</v>
      </c>
      <c r="G358" s="10">
        <f ca="1" t="shared" si="87"/>
        <v>0.76</v>
      </c>
      <c r="H358" s="10">
        <f t="shared" si="94"/>
        <v>13.6</v>
      </c>
      <c r="I358" s="10">
        <f>IF((SUM(H$36:H358)&gt;GDD_budbreak),(IF(((E358-10)&gt;0),(E358-10),0)),0)</f>
        <v>3.5999999999999996</v>
      </c>
      <c r="J358" s="4">
        <f>IF((B358&lt;LeafDropDay),(SUM(I$36:I358)),0)</f>
        <v>0</v>
      </c>
      <c r="K358" s="4">
        <f t="shared" si="88"/>
        <v>0</v>
      </c>
      <c r="L358" s="4">
        <f t="shared" si="89"/>
        <v>0</v>
      </c>
      <c r="M358" s="4">
        <f t="shared" si="95"/>
        <v>1</v>
      </c>
      <c r="N358" s="4">
        <f t="shared" si="90"/>
        <v>0</v>
      </c>
      <c r="O358" s="4">
        <f t="shared" si="96"/>
        <v>0</v>
      </c>
      <c r="P358" s="10">
        <f t="shared" si="97"/>
        <v>0</v>
      </c>
      <c r="Q358" s="10">
        <f t="shared" si="98"/>
        <v>0</v>
      </c>
      <c r="R358" s="4">
        <f t="shared" si="99"/>
        <v>0</v>
      </c>
      <c r="S358" s="4">
        <f t="shared" si="91"/>
        <v>0</v>
      </c>
      <c r="T358" s="4">
        <f aca="true" t="shared" si="101" ref="T358:T400">G358+P358+Q358+R358+U357</f>
        <v>264.01469467044404</v>
      </c>
      <c r="U358" s="4">
        <f t="shared" si="100"/>
        <v>264.01469467044404</v>
      </c>
      <c r="V358" s="4">
        <f t="shared" si="92"/>
        <v>0</v>
      </c>
      <c r="W358" s="4">
        <f t="shared" si="93"/>
        <v>0.41556132758687275</v>
      </c>
    </row>
    <row r="359" spans="2:23" ht="12.75">
      <c r="B359" s="19">
        <v>324</v>
      </c>
      <c r="C359" s="58">
        <v>37214</v>
      </c>
      <c r="D359" s="50">
        <v>0</v>
      </c>
      <c r="E359" s="10">
        <f ca="1" t="shared" si="87"/>
        <v>16.2</v>
      </c>
      <c r="F359" s="10">
        <f ca="1" t="shared" si="87"/>
        <v>0.68</v>
      </c>
      <c r="G359" s="10">
        <f ca="1" t="shared" si="87"/>
        <v>0.25</v>
      </c>
      <c r="H359" s="10">
        <f t="shared" si="94"/>
        <v>16.2</v>
      </c>
      <c r="I359" s="10">
        <f>IF((SUM(H$36:H359)&gt;GDD_budbreak),(IF(((E359-10)&gt;0),(E359-10),0)),0)</f>
        <v>6.199999999999999</v>
      </c>
      <c r="J359" s="4">
        <f>IF((B359&lt;LeafDropDay),(SUM(I$36:I359)),0)</f>
        <v>0</v>
      </c>
      <c r="K359" s="4">
        <f t="shared" si="88"/>
        <v>0</v>
      </c>
      <c r="L359" s="4">
        <f t="shared" si="89"/>
        <v>0</v>
      </c>
      <c r="M359" s="4">
        <f t="shared" si="95"/>
        <v>1</v>
      </c>
      <c r="N359" s="4">
        <f t="shared" si="90"/>
        <v>0</v>
      </c>
      <c r="O359" s="4">
        <f t="shared" si="96"/>
        <v>0</v>
      </c>
      <c r="P359" s="10">
        <f t="shared" si="97"/>
        <v>0</v>
      </c>
      <c r="Q359" s="10">
        <f t="shared" si="98"/>
        <v>0</v>
      </c>
      <c r="R359" s="4">
        <f t="shared" si="99"/>
        <v>0</v>
      </c>
      <c r="S359" s="4">
        <f t="shared" si="91"/>
        <v>0</v>
      </c>
      <c r="T359" s="4">
        <f t="shared" si="101"/>
        <v>264.26469467044404</v>
      </c>
      <c r="U359" s="4">
        <f t="shared" si="100"/>
        <v>264.26469467044404</v>
      </c>
      <c r="V359" s="4">
        <f t="shared" si="92"/>
        <v>0</v>
      </c>
      <c r="W359" s="4">
        <f t="shared" si="93"/>
        <v>0.4132897680933204</v>
      </c>
    </row>
    <row r="360" spans="2:23" ht="12.75">
      <c r="B360" s="19">
        <v>325</v>
      </c>
      <c r="C360" s="58">
        <v>37215</v>
      </c>
      <c r="D360" s="50">
        <v>0</v>
      </c>
      <c r="E360" s="10">
        <f ca="1" t="shared" si="87"/>
        <v>15.3</v>
      </c>
      <c r="F360" s="10">
        <f ca="1" t="shared" si="87"/>
        <v>0.02</v>
      </c>
      <c r="G360" s="10">
        <f ca="1" t="shared" si="87"/>
        <v>31.24</v>
      </c>
      <c r="H360" s="10">
        <f t="shared" si="94"/>
        <v>15.3</v>
      </c>
      <c r="I360" s="10">
        <f>IF((SUM(H$36:H360)&gt;GDD_budbreak),(IF(((E360-10)&gt;0),(E360-10),0)),0)</f>
        <v>5.300000000000001</v>
      </c>
      <c r="J360" s="4">
        <f>IF((B360&lt;LeafDropDay),(SUM(I$36:I360)),0)</f>
        <v>0</v>
      </c>
      <c r="K360" s="4">
        <f t="shared" si="88"/>
        <v>0</v>
      </c>
      <c r="L360" s="4">
        <f t="shared" si="89"/>
        <v>0</v>
      </c>
      <c r="M360" s="4">
        <f t="shared" si="95"/>
        <v>1</v>
      </c>
      <c r="N360" s="4">
        <f t="shared" si="90"/>
        <v>0</v>
      </c>
      <c r="O360" s="4">
        <f t="shared" si="96"/>
        <v>0</v>
      </c>
      <c r="P360" s="10">
        <f t="shared" si="97"/>
        <v>0</v>
      </c>
      <c r="Q360" s="10">
        <f t="shared" si="98"/>
        <v>0</v>
      </c>
      <c r="R360" s="4">
        <f t="shared" si="99"/>
        <v>0</v>
      </c>
      <c r="S360" s="4">
        <f t="shared" si="91"/>
        <v>0</v>
      </c>
      <c r="T360" s="4">
        <f t="shared" si="101"/>
        <v>295.50469467044405</v>
      </c>
      <c r="U360" s="4">
        <f t="shared" si="100"/>
        <v>295.50469467044405</v>
      </c>
      <c r="V360" s="4">
        <f t="shared" si="92"/>
        <v>0</v>
      </c>
      <c r="W360" s="4">
        <f t="shared" si="93"/>
        <v>0.21638784591158622</v>
      </c>
    </row>
    <row r="361" spans="2:23" ht="12.75">
      <c r="B361" s="19">
        <v>326</v>
      </c>
      <c r="C361" s="58">
        <v>37216</v>
      </c>
      <c r="D361" s="50">
        <v>0</v>
      </c>
      <c r="E361" s="10">
        <f ca="1" t="shared" si="87"/>
        <v>14.6</v>
      </c>
      <c r="F361" s="10">
        <f ca="1" t="shared" si="87"/>
        <v>1.45</v>
      </c>
      <c r="G361" s="10">
        <f ca="1" t="shared" si="87"/>
        <v>0</v>
      </c>
      <c r="H361" s="10">
        <f t="shared" si="94"/>
        <v>14.6</v>
      </c>
      <c r="I361" s="10">
        <f>IF((SUM(H$36:H361)&gt;GDD_budbreak),(IF(((E361-10)&gt;0),(E361-10),0)),0)</f>
        <v>4.6</v>
      </c>
      <c r="J361" s="4">
        <f>IF((B361&lt;LeafDropDay),(SUM(I$36:I361)),0)</f>
        <v>0</v>
      </c>
      <c r="K361" s="4">
        <f t="shared" si="88"/>
        <v>0</v>
      </c>
      <c r="L361" s="4">
        <f t="shared" si="89"/>
        <v>0</v>
      </c>
      <c r="M361" s="4">
        <f t="shared" si="95"/>
        <v>1</v>
      </c>
      <c r="N361" s="4">
        <f t="shared" si="90"/>
        <v>0</v>
      </c>
      <c r="O361" s="4">
        <f t="shared" si="96"/>
        <v>0</v>
      </c>
      <c r="P361" s="10">
        <f t="shared" si="97"/>
        <v>0</v>
      </c>
      <c r="Q361" s="10">
        <f t="shared" si="98"/>
        <v>0</v>
      </c>
      <c r="R361" s="4">
        <f t="shared" si="99"/>
        <v>0</v>
      </c>
      <c r="S361" s="4">
        <f t="shared" si="91"/>
        <v>0</v>
      </c>
      <c r="T361" s="4">
        <f t="shared" si="101"/>
        <v>295.50469467044405</v>
      </c>
      <c r="U361" s="4">
        <f t="shared" si="100"/>
        <v>295.50469467044405</v>
      </c>
      <c r="V361" s="4">
        <f t="shared" si="92"/>
        <v>0</v>
      </c>
      <c r="W361" s="4">
        <f t="shared" si="93"/>
        <v>0.21638784591158622</v>
      </c>
    </row>
    <row r="362" spans="2:23" ht="12.75">
      <c r="B362" s="19">
        <v>327</v>
      </c>
      <c r="C362" s="58">
        <v>37217</v>
      </c>
      <c r="D362" s="50">
        <v>0</v>
      </c>
      <c r="E362" s="10">
        <f ca="1" t="shared" si="87"/>
        <v>11.2</v>
      </c>
      <c r="F362" s="10">
        <f ca="1" t="shared" si="87"/>
        <v>0.72</v>
      </c>
      <c r="G362" s="10">
        <f ca="1" t="shared" si="87"/>
        <v>0</v>
      </c>
      <c r="H362" s="10">
        <f t="shared" si="94"/>
        <v>11.2</v>
      </c>
      <c r="I362" s="10">
        <f>IF((SUM(H$36:H362)&gt;GDD_budbreak),(IF(((E362-10)&gt;0),(E362-10),0)),0)</f>
        <v>1.1999999999999993</v>
      </c>
      <c r="J362" s="4">
        <f>IF((B362&lt;LeafDropDay),(SUM(I$36:I362)),0)</f>
        <v>0</v>
      </c>
      <c r="K362" s="4">
        <f t="shared" si="88"/>
        <v>0</v>
      </c>
      <c r="L362" s="4">
        <f t="shared" si="89"/>
        <v>0</v>
      </c>
      <c r="M362" s="4">
        <f t="shared" si="95"/>
        <v>1</v>
      </c>
      <c r="N362" s="4">
        <f t="shared" si="90"/>
        <v>0</v>
      </c>
      <c r="O362" s="4">
        <f t="shared" si="96"/>
        <v>0</v>
      </c>
      <c r="P362" s="10">
        <f t="shared" si="97"/>
        <v>0</v>
      </c>
      <c r="Q362" s="10">
        <f t="shared" si="98"/>
        <v>0</v>
      </c>
      <c r="R362" s="4">
        <f t="shared" si="99"/>
        <v>0</v>
      </c>
      <c r="S362" s="4">
        <f t="shared" si="91"/>
        <v>0</v>
      </c>
      <c r="T362" s="4">
        <f t="shared" si="101"/>
        <v>295.50469467044405</v>
      </c>
      <c r="U362" s="4">
        <f t="shared" si="100"/>
        <v>295.50469467044405</v>
      </c>
      <c r="V362" s="4">
        <f t="shared" si="92"/>
        <v>0</v>
      </c>
      <c r="W362" s="4">
        <f t="shared" si="93"/>
        <v>0.21638784591158622</v>
      </c>
    </row>
    <row r="363" spans="2:23" ht="12.75">
      <c r="B363" s="19">
        <v>328</v>
      </c>
      <c r="C363" s="58">
        <v>37218</v>
      </c>
      <c r="D363" s="50">
        <v>0</v>
      </c>
      <c r="E363" s="10">
        <f ca="1" t="shared" si="87"/>
        <v>10.4</v>
      </c>
      <c r="F363" s="10">
        <f ca="1" t="shared" si="87"/>
        <v>0.91</v>
      </c>
      <c r="G363" s="10">
        <f ca="1" t="shared" si="87"/>
        <v>36.58</v>
      </c>
      <c r="H363" s="10">
        <f t="shared" si="94"/>
        <v>10.4</v>
      </c>
      <c r="I363" s="10">
        <f>IF((SUM(H$36:H363)&gt;GDD_budbreak),(IF(((E363-10)&gt;0),(E363-10),0)),0)</f>
        <v>0.40000000000000036</v>
      </c>
      <c r="J363" s="4">
        <f>IF((B363&lt;LeafDropDay),(SUM(I$36:I363)),0)</f>
        <v>0</v>
      </c>
      <c r="K363" s="4">
        <f t="shared" si="88"/>
        <v>0</v>
      </c>
      <c r="L363" s="4">
        <f t="shared" si="89"/>
        <v>0</v>
      </c>
      <c r="M363" s="4">
        <f t="shared" si="95"/>
        <v>1</v>
      </c>
      <c r="N363" s="4">
        <f t="shared" si="90"/>
        <v>0</v>
      </c>
      <c r="O363" s="4">
        <f t="shared" si="96"/>
        <v>0</v>
      </c>
      <c r="P363" s="10">
        <f t="shared" si="97"/>
        <v>0</v>
      </c>
      <c r="Q363" s="10">
        <f t="shared" si="98"/>
        <v>0</v>
      </c>
      <c r="R363" s="4">
        <f t="shared" si="99"/>
        <v>0</v>
      </c>
      <c r="S363" s="4">
        <f t="shared" si="91"/>
        <v>0</v>
      </c>
      <c r="T363" s="4">
        <f t="shared" si="101"/>
        <v>332.08469467044404</v>
      </c>
      <c r="U363" s="4">
        <f t="shared" si="100"/>
        <v>323.4457271033393</v>
      </c>
      <c r="V363" s="4">
        <f t="shared" si="92"/>
        <v>-8.638967567104686</v>
      </c>
      <c r="W363" s="4">
        <f t="shared" si="93"/>
        <v>0.12823346993437493</v>
      </c>
    </row>
    <row r="364" spans="2:23" ht="12.75">
      <c r="B364" s="19">
        <v>329</v>
      </c>
      <c r="C364" s="58">
        <v>37219</v>
      </c>
      <c r="D364" s="50">
        <v>0</v>
      </c>
      <c r="E364" s="10">
        <f ca="1" t="shared" si="87"/>
        <v>6</v>
      </c>
      <c r="F364" s="10">
        <f ca="1" t="shared" si="87"/>
        <v>0.55</v>
      </c>
      <c r="G364" s="10">
        <f ca="1" t="shared" si="87"/>
        <v>0.25</v>
      </c>
      <c r="H364" s="10">
        <f t="shared" si="94"/>
        <v>6</v>
      </c>
      <c r="I364" s="10">
        <f>IF((SUM(H$36:H364)&gt;GDD_budbreak),(IF(((E364-10)&gt;0),(E364-10),0)),0)</f>
        <v>0</v>
      </c>
      <c r="J364" s="4">
        <f>IF((B364&lt;LeafDropDay),(SUM(I$36:I364)),0)</f>
        <v>0</v>
      </c>
      <c r="K364" s="4">
        <f t="shared" si="88"/>
        <v>0</v>
      </c>
      <c r="L364" s="4">
        <f t="shared" si="89"/>
        <v>0</v>
      </c>
      <c r="M364" s="4">
        <f t="shared" si="95"/>
        <v>1</v>
      </c>
      <c r="N364" s="4">
        <f t="shared" si="90"/>
        <v>0</v>
      </c>
      <c r="O364" s="4">
        <f t="shared" si="96"/>
        <v>0</v>
      </c>
      <c r="P364" s="10">
        <f t="shared" si="97"/>
        <v>0</v>
      </c>
      <c r="Q364" s="10">
        <f t="shared" si="98"/>
        <v>0</v>
      </c>
      <c r="R364" s="4">
        <f t="shared" si="99"/>
        <v>0</v>
      </c>
      <c r="S364" s="4">
        <f t="shared" si="91"/>
        <v>0</v>
      </c>
      <c r="T364" s="4">
        <f t="shared" si="101"/>
        <v>323.6957271033393</v>
      </c>
      <c r="U364" s="4">
        <f t="shared" si="100"/>
        <v>319.251243319787</v>
      </c>
      <c r="V364" s="4">
        <f t="shared" si="92"/>
        <v>-4.444483783552329</v>
      </c>
      <c r="W364" s="4">
        <f t="shared" si="93"/>
        <v>0.138302793910696</v>
      </c>
    </row>
    <row r="365" spans="2:23" ht="12.75">
      <c r="B365" s="19">
        <v>330</v>
      </c>
      <c r="C365" s="58">
        <v>37220</v>
      </c>
      <c r="D365" s="50">
        <v>0</v>
      </c>
      <c r="E365" s="10">
        <f ca="1" t="shared" si="87"/>
        <v>6.8</v>
      </c>
      <c r="F365" s="10">
        <f ca="1" t="shared" si="87"/>
        <v>1.44</v>
      </c>
      <c r="G365" s="10">
        <f ca="1" t="shared" si="87"/>
        <v>0.25</v>
      </c>
      <c r="H365" s="10">
        <f t="shared" si="94"/>
        <v>6.8</v>
      </c>
      <c r="I365" s="10">
        <f>IF((SUM(H$36:H365)&gt;GDD_budbreak),(IF(((E365-10)&gt;0),(E365-10),0)),0)</f>
        <v>0</v>
      </c>
      <c r="J365" s="4">
        <f>IF((B365&lt;LeafDropDay),(SUM(I$36:I365)),0)</f>
        <v>0</v>
      </c>
      <c r="K365" s="4">
        <f t="shared" si="88"/>
        <v>0</v>
      </c>
      <c r="L365" s="4">
        <f t="shared" si="89"/>
        <v>0</v>
      </c>
      <c r="M365" s="4">
        <f t="shared" si="95"/>
        <v>1</v>
      </c>
      <c r="N365" s="4">
        <f t="shared" si="90"/>
        <v>0</v>
      </c>
      <c r="O365" s="4">
        <f t="shared" si="96"/>
        <v>0</v>
      </c>
      <c r="P365" s="10">
        <f t="shared" si="97"/>
        <v>0</v>
      </c>
      <c r="Q365" s="10">
        <f t="shared" si="98"/>
        <v>0</v>
      </c>
      <c r="R365" s="4">
        <f t="shared" si="99"/>
        <v>0</v>
      </c>
      <c r="S365" s="4">
        <f t="shared" si="91"/>
        <v>0</v>
      </c>
      <c r="T365" s="4">
        <f t="shared" si="101"/>
        <v>319.501243319787</v>
      </c>
      <c r="U365" s="4">
        <f t="shared" si="100"/>
        <v>317.1540014280108</v>
      </c>
      <c r="V365" s="4">
        <f t="shared" si="92"/>
        <v>-2.3472418917761786</v>
      </c>
      <c r="W365" s="4">
        <f t="shared" si="93"/>
        <v>0.14368381154677423</v>
      </c>
    </row>
    <row r="366" spans="2:23" ht="12.75">
      <c r="B366" s="19">
        <v>331</v>
      </c>
      <c r="C366" s="58">
        <v>37221</v>
      </c>
      <c r="D366" s="50">
        <v>0</v>
      </c>
      <c r="E366" s="10">
        <f ca="1" t="shared" si="87"/>
        <v>8.2</v>
      </c>
      <c r="F366" s="10">
        <f ca="1" t="shared" si="87"/>
        <v>1.78</v>
      </c>
      <c r="G366" s="10">
        <f ca="1" t="shared" si="87"/>
        <v>0</v>
      </c>
      <c r="H366" s="10">
        <f t="shared" si="94"/>
        <v>8.2</v>
      </c>
      <c r="I366" s="10">
        <f>IF((SUM(H$36:H366)&gt;GDD_budbreak),(IF(((E366-10)&gt;0),(E366-10),0)),0)</f>
        <v>0</v>
      </c>
      <c r="J366" s="4">
        <f>IF((B366&lt;LeafDropDay),(SUM(I$36:I366)),0)</f>
        <v>0</v>
      </c>
      <c r="K366" s="4">
        <f t="shared" si="88"/>
        <v>0</v>
      </c>
      <c r="L366" s="4">
        <f t="shared" si="89"/>
        <v>0</v>
      </c>
      <c r="M366" s="4">
        <f t="shared" si="95"/>
        <v>1</v>
      </c>
      <c r="N366" s="4">
        <f t="shared" si="90"/>
        <v>0</v>
      </c>
      <c r="O366" s="4">
        <f t="shared" si="96"/>
        <v>0</v>
      </c>
      <c r="P366" s="10">
        <f t="shared" si="97"/>
        <v>0</v>
      </c>
      <c r="Q366" s="10">
        <f t="shared" si="98"/>
        <v>0</v>
      </c>
      <c r="R366" s="4">
        <f t="shared" si="99"/>
        <v>0</v>
      </c>
      <c r="S366" s="4">
        <f t="shared" si="91"/>
        <v>0</v>
      </c>
      <c r="T366" s="4">
        <f t="shared" si="101"/>
        <v>317.1540014280108</v>
      </c>
      <c r="U366" s="4">
        <f t="shared" si="100"/>
        <v>315.98038048212277</v>
      </c>
      <c r="V366" s="4">
        <f t="shared" si="92"/>
        <v>-1.173620945888075</v>
      </c>
      <c r="W366" s="4">
        <f t="shared" si="93"/>
        <v>0.14680207727776198</v>
      </c>
    </row>
    <row r="367" spans="2:23" ht="12.75">
      <c r="B367" s="19">
        <v>332</v>
      </c>
      <c r="C367" s="58">
        <v>37222</v>
      </c>
      <c r="D367" s="50">
        <v>0</v>
      </c>
      <c r="E367" s="10">
        <f ca="1" t="shared" si="87"/>
        <v>8.1</v>
      </c>
      <c r="F367" s="10">
        <f ca="1" t="shared" si="87"/>
        <v>0.32</v>
      </c>
      <c r="G367" s="10">
        <f ca="1" t="shared" si="87"/>
        <v>47.24</v>
      </c>
      <c r="H367" s="10">
        <f t="shared" si="94"/>
        <v>8.1</v>
      </c>
      <c r="I367" s="10">
        <f>IF((SUM(H$36:H367)&gt;GDD_budbreak),(IF(((E367-10)&gt;0),(E367-10),0)),0)</f>
        <v>0</v>
      </c>
      <c r="J367" s="4">
        <f>IF((B367&lt;LeafDropDay),(SUM(I$36:I367)),0)</f>
        <v>0</v>
      </c>
      <c r="K367" s="4">
        <f t="shared" si="88"/>
        <v>0</v>
      </c>
      <c r="L367" s="4">
        <f t="shared" si="89"/>
        <v>0</v>
      </c>
      <c r="M367" s="4">
        <f t="shared" si="95"/>
        <v>1</v>
      </c>
      <c r="N367" s="4">
        <f t="shared" si="90"/>
        <v>0</v>
      </c>
      <c r="O367" s="4">
        <f t="shared" si="96"/>
        <v>0</v>
      </c>
      <c r="P367" s="10">
        <f t="shared" si="97"/>
        <v>0</v>
      </c>
      <c r="Q367" s="10">
        <f t="shared" si="98"/>
        <v>0</v>
      </c>
      <c r="R367" s="4">
        <f t="shared" si="99"/>
        <v>0</v>
      </c>
      <c r="S367" s="4">
        <f t="shared" si="91"/>
        <v>0</v>
      </c>
      <c r="T367" s="4">
        <f t="shared" si="101"/>
        <v>363.2203804821228</v>
      </c>
      <c r="U367" s="4">
        <f t="shared" si="100"/>
        <v>339.0135700091787</v>
      </c>
      <c r="V367" s="4">
        <f t="shared" si="92"/>
        <v>-24.206810472944056</v>
      </c>
      <c r="W367" s="4">
        <f t="shared" si="93"/>
        <v>0.09767179716959745</v>
      </c>
    </row>
    <row r="368" spans="2:23" ht="12.75">
      <c r="B368" s="19">
        <v>333</v>
      </c>
      <c r="C368" s="58">
        <v>37223</v>
      </c>
      <c r="D368" s="50">
        <v>0</v>
      </c>
      <c r="E368" s="10">
        <f ca="1" t="shared" si="87"/>
        <v>9.7</v>
      </c>
      <c r="F368" s="10">
        <f ca="1" t="shared" si="87"/>
        <v>0.95</v>
      </c>
      <c r="G368" s="10">
        <f ca="1" t="shared" si="87"/>
        <v>7.87</v>
      </c>
      <c r="H368" s="10">
        <f t="shared" si="94"/>
        <v>9.7</v>
      </c>
      <c r="I368" s="10">
        <f>IF((SUM(H$36:H368)&gt;GDD_budbreak),(IF(((E368-10)&gt;0),(E368-10),0)),0)</f>
        <v>0</v>
      </c>
      <c r="J368" s="4">
        <f>IF((B368&lt;LeafDropDay),(SUM(I$36:I368)),0)</f>
        <v>0</v>
      </c>
      <c r="K368" s="4">
        <f t="shared" si="88"/>
        <v>0</v>
      </c>
      <c r="L368" s="4">
        <f t="shared" si="89"/>
        <v>0</v>
      </c>
      <c r="M368" s="4">
        <f t="shared" si="95"/>
        <v>1</v>
      </c>
      <c r="N368" s="4">
        <f t="shared" si="90"/>
        <v>0</v>
      </c>
      <c r="O368" s="4">
        <f t="shared" si="96"/>
        <v>0</v>
      </c>
      <c r="P368" s="10">
        <f t="shared" si="97"/>
        <v>0</v>
      </c>
      <c r="Q368" s="10">
        <f t="shared" si="98"/>
        <v>0</v>
      </c>
      <c r="R368" s="4">
        <f t="shared" si="99"/>
        <v>0</v>
      </c>
      <c r="S368" s="4">
        <f t="shared" si="91"/>
        <v>0</v>
      </c>
      <c r="T368" s="4">
        <f t="shared" si="101"/>
        <v>346.8835700091787</v>
      </c>
      <c r="U368" s="4">
        <f t="shared" si="100"/>
        <v>330.84516477270665</v>
      </c>
      <c r="V368" s="4">
        <f t="shared" si="92"/>
        <v>-16.038405236472016</v>
      </c>
      <c r="W368" s="4">
        <f t="shared" si="93"/>
        <v>0.11248944692088213</v>
      </c>
    </row>
    <row r="369" spans="2:23" ht="12.75">
      <c r="B369" s="19">
        <v>334</v>
      </c>
      <c r="C369" s="58">
        <v>37224</v>
      </c>
      <c r="D369" s="50">
        <v>0</v>
      </c>
      <c r="E369" s="10">
        <f ca="1" t="shared" si="87"/>
        <v>8.5</v>
      </c>
      <c r="F369" s="10">
        <f ca="1" t="shared" si="87"/>
        <v>1.08</v>
      </c>
      <c r="G369" s="10">
        <f ca="1" t="shared" si="87"/>
        <v>2.54</v>
      </c>
      <c r="H369" s="10">
        <f t="shared" si="94"/>
        <v>8.5</v>
      </c>
      <c r="I369" s="10">
        <f>IF((SUM(H$36:H369)&gt;GDD_budbreak),(IF(((E369-10)&gt;0),(E369-10),0)),0)</f>
        <v>0</v>
      </c>
      <c r="J369" s="4">
        <f>IF((B369&lt;LeafDropDay),(SUM(I$36:I369)),0)</f>
        <v>0</v>
      </c>
      <c r="K369" s="4">
        <f t="shared" si="88"/>
        <v>0</v>
      </c>
      <c r="L369" s="4">
        <f t="shared" si="89"/>
        <v>0</v>
      </c>
      <c r="M369" s="4">
        <f t="shared" si="95"/>
        <v>1</v>
      </c>
      <c r="N369" s="4">
        <f t="shared" si="90"/>
        <v>0</v>
      </c>
      <c r="O369" s="4">
        <f t="shared" si="96"/>
        <v>0</v>
      </c>
      <c r="P369" s="10">
        <f t="shared" si="97"/>
        <v>0</v>
      </c>
      <c r="Q369" s="10">
        <f t="shared" si="98"/>
        <v>0</v>
      </c>
      <c r="R369" s="4">
        <f t="shared" si="99"/>
        <v>0</v>
      </c>
      <c r="S369" s="4">
        <f t="shared" si="91"/>
        <v>0</v>
      </c>
      <c r="T369" s="4">
        <f t="shared" si="101"/>
        <v>333.3851647727067</v>
      </c>
      <c r="U369" s="4">
        <f t="shared" si="100"/>
        <v>324.09596215447067</v>
      </c>
      <c r="V369" s="4">
        <f t="shared" si="92"/>
        <v>-9.289202618236004</v>
      </c>
      <c r="W369" s="4">
        <f t="shared" si="93"/>
        <v>0.12675066722950473</v>
      </c>
    </row>
    <row r="370" spans="2:23" ht="12.75">
      <c r="B370" s="19">
        <v>335</v>
      </c>
      <c r="C370" s="58">
        <v>37225</v>
      </c>
      <c r="D370" s="50">
        <v>0</v>
      </c>
      <c r="E370" s="10">
        <f ca="1" t="shared" si="87"/>
        <v>10.3</v>
      </c>
      <c r="F370" s="10">
        <f ca="1" t="shared" si="87"/>
        <v>0.03</v>
      </c>
      <c r="G370" s="10">
        <f ca="1" t="shared" si="87"/>
        <v>82.3</v>
      </c>
      <c r="H370" s="10">
        <f t="shared" si="94"/>
        <v>10.3</v>
      </c>
      <c r="I370" s="10">
        <f>IF((SUM(H$36:H370)&gt;GDD_budbreak),(IF(((E370-10)&gt;0),(E370-10),0)),0)</f>
        <v>0.3000000000000007</v>
      </c>
      <c r="J370" s="4">
        <f>IF((B370&lt;LeafDropDay),(SUM(I$36:I370)),0)</f>
        <v>0</v>
      </c>
      <c r="K370" s="4">
        <f t="shared" si="88"/>
        <v>0</v>
      </c>
      <c r="L370" s="4">
        <f t="shared" si="89"/>
        <v>0</v>
      </c>
      <c r="M370" s="4">
        <f t="shared" si="95"/>
        <v>1</v>
      </c>
      <c r="N370" s="4">
        <f t="shared" si="90"/>
        <v>0</v>
      </c>
      <c r="O370" s="4">
        <f t="shared" si="96"/>
        <v>0</v>
      </c>
      <c r="P370" s="10">
        <f t="shared" si="97"/>
        <v>0</v>
      </c>
      <c r="Q370" s="10">
        <f t="shared" si="98"/>
        <v>0</v>
      </c>
      <c r="R370" s="4">
        <f t="shared" si="99"/>
        <v>0</v>
      </c>
      <c r="S370" s="4">
        <f t="shared" si="91"/>
        <v>0</v>
      </c>
      <c r="T370" s="4">
        <f t="shared" si="101"/>
        <v>406.3959621544707</v>
      </c>
      <c r="U370" s="4">
        <f t="shared" si="100"/>
        <v>360.6013608453527</v>
      </c>
      <c r="V370" s="4">
        <f t="shared" si="92"/>
        <v>-45.79460130911801</v>
      </c>
      <c r="W370" s="4">
        <f t="shared" si="93"/>
        <v>0.068313124776447</v>
      </c>
    </row>
    <row r="371" spans="2:23" ht="12.75">
      <c r="B371" s="19">
        <v>336</v>
      </c>
      <c r="C371" s="58">
        <v>37226</v>
      </c>
      <c r="D371" s="50">
        <v>0</v>
      </c>
      <c r="E371" s="10">
        <f ca="1" t="shared" si="87"/>
        <v>11.5</v>
      </c>
      <c r="F371" s="10">
        <f ca="1" t="shared" si="87"/>
        <v>0.8</v>
      </c>
      <c r="G371" s="10">
        <f ca="1" t="shared" si="87"/>
        <v>49.78</v>
      </c>
      <c r="H371" s="10">
        <f t="shared" si="94"/>
        <v>11.5</v>
      </c>
      <c r="I371" s="10">
        <f>IF((SUM(H$36:H371)&gt;GDD_budbreak),(IF(((E371-10)&gt;0),(E371-10),0)),0)</f>
        <v>1.5</v>
      </c>
      <c r="J371" s="4">
        <f>IF((B371&lt;LeafDropDay),(SUM(I$36:I371)),0)</f>
        <v>0</v>
      </c>
      <c r="K371" s="4">
        <f t="shared" si="88"/>
        <v>0</v>
      </c>
      <c r="L371" s="4">
        <f t="shared" si="89"/>
        <v>0</v>
      </c>
      <c r="M371" s="4">
        <f t="shared" si="95"/>
        <v>1</v>
      </c>
      <c r="N371" s="4">
        <f t="shared" si="90"/>
        <v>0</v>
      </c>
      <c r="O371" s="4">
        <f t="shared" si="96"/>
        <v>0</v>
      </c>
      <c r="P371" s="10">
        <f t="shared" si="97"/>
        <v>0</v>
      </c>
      <c r="Q371" s="10">
        <f t="shared" si="98"/>
        <v>0</v>
      </c>
      <c r="R371" s="4">
        <f t="shared" si="99"/>
        <v>0</v>
      </c>
      <c r="S371" s="4">
        <f t="shared" si="91"/>
        <v>0</v>
      </c>
      <c r="T371" s="4">
        <f t="shared" si="101"/>
        <v>410.3813608453527</v>
      </c>
      <c r="U371" s="4">
        <f t="shared" si="100"/>
        <v>362.5940601907937</v>
      </c>
      <c r="V371" s="4">
        <f t="shared" si="92"/>
        <v>-47.787300654559004</v>
      </c>
      <c r="W371" s="4">
        <f t="shared" si="93"/>
        <v>0.06616736089121157</v>
      </c>
    </row>
    <row r="372" spans="2:23" ht="12.75">
      <c r="B372" s="19">
        <v>337</v>
      </c>
      <c r="C372" s="58">
        <v>37227</v>
      </c>
      <c r="D372" s="50">
        <v>0</v>
      </c>
      <c r="E372" s="10">
        <f ca="1" t="shared" si="87"/>
        <v>7.8</v>
      </c>
      <c r="F372" s="10">
        <f ca="1" t="shared" si="87"/>
        <v>1.11</v>
      </c>
      <c r="G372" s="10">
        <f ca="1" t="shared" si="87"/>
        <v>5.08</v>
      </c>
      <c r="H372" s="10">
        <f t="shared" si="94"/>
        <v>7.8</v>
      </c>
      <c r="I372" s="10">
        <f>IF((SUM(H$36:H372)&gt;GDD_budbreak),(IF(((E372-10)&gt;0),(E372-10),0)),0)</f>
        <v>0</v>
      </c>
      <c r="J372" s="4">
        <f>IF((B372&lt;LeafDropDay),(SUM(I$36:I372)),0)</f>
        <v>0</v>
      </c>
      <c r="K372" s="4">
        <f t="shared" si="88"/>
        <v>0</v>
      </c>
      <c r="L372" s="4">
        <f t="shared" si="89"/>
        <v>0</v>
      </c>
      <c r="M372" s="4">
        <f t="shared" si="95"/>
        <v>1</v>
      </c>
      <c r="N372" s="4">
        <f t="shared" si="90"/>
        <v>0</v>
      </c>
      <c r="O372" s="4">
        <f t="shared" si="96"/>
        <v>0</v>
      </c>
      <c r="P372" s="10">
        <f t="shared" si="97"/>
        <v>0</v>
      </c>
      <c r="Q372" s="10">
        <f t="shared" si="98"/>
        <v>0</v>
      </c>
      <c r="R372" s="4">
        <f t="shared" si="99"/>
        <v>0</v>
      </c>
      <c r="S372" s="4">
        <f t="shared" si="91"/>
        <v>0</v>
      </c>
      <c r="T372" s="4">
        <f t="shared" si="101"/>
        <v>367.6740601907937</v>
      </c>
      <c r="U372" s="4">
        <f t="shared" si="100"/>
        <v>341.2404098635142</v>
      </c>
      <c r="V372" s="4">
        <f t="shared" si="92"/>
        <v>-26.43365032727951</v>
      </c>
      <c r="W372" s="4">
        <f t="shared" si="93"/>
        <v>0.09403780818126739</v>
      </c>
    </row>
    <row r="373" spans="2:23" ht="12.75">
      <c r="B373" s="19">
        <v>338</v>
      </c>
      <c r="C373" s="58">
        <v>37228</v>
      </c>
      <c r="D373" s="50">
        <v>0</v>
      </c>
      <c r="E373" s="10">
        <f ca="1" t="shared" si="87"/>
        <v>6.8</v>
      </c>
      <c r="F373" s="10">
        <f ca="1" t="shared" si="87"/>
        <v>0.92</v>
      </c>
      <c r="G373" s="10">
        <f ca="1" t="shared" si="87"/>
        <v>0.25</v>
      </c>
      <c r="H373" s="10">
        <f t="shared" si="94"/>
        <v>6.8</v>
      </c>
      <c r="I373" s="10">
        <f>IF((SUM(H$36:H373)&gt;GDD_budbreak),(IF(((E373-10)&gt;0),(E373-10),0)),0)</f>
        <v>0</v>
      </c>
      <c r="J373" s="4">
        <f>IF((B373&lt;LeafDropDay),(SUM(I$36:I373)),0)</f>
        <v>0</v>
      </c>
      <c r="K373" s="4">
        <f t="shared" si="88"/>
        <v>0</v>
      </c>
      <c r="L373" s="4">
        <f t="shared" si="89"/>
        <v>0</v>
      </c>
      <c r="M373" s="4">
        <f t="shared" si="95"/>
        <v>1</v>
      </c>
      <c r="N373" s="4">
        <f t="shared" si="90"/>
        <v>0</v>
      </c>
      <c r="O373" s="4">
        <f t="shared" si="96"/>
        <v>0</v>
      </c>
      <c r="P373" s="10">
        <f t="shared" si="97"/>
        <v>0</v>
      </c>
      <c r="Q373" s="10">
        <f t="shared" si="98"/>
        <v>0</v>
      </c>
      <c r="R373" s="4">
        <f t="shared" si="99"/>
        <v>0</v>
      </c>
      <c r="S373" s="4">
        <f t="shared" si="91"/>
        <v>0</v>
      </c>
      <c r="T373" s="4">
        <f t="shared" si="101"/>
        <v>341.4904098635142</v>
      </c>
      <c r="U373" s="4">
        <f t="shared" si="100"/>
        <v>328.1485846998744</v>
      </c>
      <c r="V373" s="4">
        <f t="shared" si="92"/>
        <v>-13.341825163639754</v>
      </c>
      <c r="W373" s="4">
        <f t="shared" si="93"/>
        <v>0.11794930031706684</v>
      </c>
    </row>
    <row r="374" spans="2:23" ht="12.75">
      <c r="B374" s="19">
        <v>339</v>
      </c>
      <c r="C374" s="58">
        <v>37229</v>
      </c>
      <c r="D374" s="50">
        <v>0</v>
      </c>
      <c r="E374" s="10">
        <f ca="1" t="shared" si="87"/>
        <v>10.6</v>
      </c>
      <c r="F374" s="10">
        <f ca="1" t="shared" si="87"/>
        <v>0.22</v>
      </c>
      <c r="G374" s="10">
        <f ca="1" t="shared" si="87"/>
        <v>22.1</v>
      </c>
      <c r="H374" s="10">
        <f t="shared" si="94"/>
        <v>10.6</v>
      </c>
      <c r="I374" s="10">
        <f>IF((SUM(H$36:H374)&gt;GDD_budbreak),(IF(((E374-10)&gt;0),(E374-10),0)),0)</f>
        <v>0.5999999999999996</v>
      </c>
      <c r="J374" s="4">
        <f>IF((B374&lt;LeafDropDay),(SUM(I$36:I374)),0)</f>
        <v>0</v>
      </c>
      <c r="K374" s="4">
        <f t="shared" si="88"/>
        <v>0</v>
      </c>
      <c r="L374" s="4">
        <f t="shared" si="89"/>
        <v>0</v>
      </c>
      <c r="M374" s="4">
        <f t="shared" si="95"/>
        <v>1</v>
      </c>
      <c r="N374" s="4">
        <f t="shared" si="90"/>
        <v>0</v>
      </c>
      <c r="O374" s="4">
        <f t="shared" si="96"/>
        <v>0</v>
      </c>
      <c r="P374" s="10">
        <f t="shared" si="97"/>
        <v>0</v>
      </c>
      <c r="Q374" s="10">
        <f t="shared" si="98"/>
        <v>0</v>
      </c>
      <c r="R374" s="4">
        <f t="shared" si="99"/>
        <v>0</v>
      </c>
      <c r="S374" s="4">
        <f t="shared" si="91"/>
        <v>0</v>
      </c>
      <c r="T374" s="4">
        <f t="shared" si="101"/>
        <v>350.2485846998744</v>
      </c>
      <c r="U374" s="4">
        <f t="shared" si="100"/>
        <v>332.5276721180545</v>
      </c>
      <c r="V374" s="4">
        <f t="shared" si="92"/>
        <v>-17.720912581819874</v>
      </c>
      <c r="W374" s="4">
        <f t="shared" si="93"/>
        <v>0.10923294858981754</v>
      </c>
    </row>
    <row r="375" spans="2:23" ht="12.75">
      <c r="B375" s="19">
        <v>340</v>
      </c>
      <c r="C375" s="58">
        <v>37230</v>
      </c>
      <c r="D375" s="50">
        <v>0</v>
      </c>
      <c r="E375" s="10">
        <f ca="1" t="shared" si="87"/>
        <v>12.8</v>
      </c>
      <c r="F375" s="10">
        <f ca="1" t="shared" si="87"/>
        <v>0.36</v>
      </c>
      <c r="G375" s="10">
        <f ca="1" t="shared" si="87"/>
        <v>0.25</v>
      </c>
      <c r="H375" s="10">
        <f t="shared" si="94"/>
        <v>12.8</v>
      </c>
      <c r="I375" s="10">
        <f>IF((SUM(H$36:H375)&gt;GDD_budbreak),(IF(((E375-10)&gt;0),(E375-10),0)),0)</f>
        <v>2.8000000000000007</v>
      </c>
      <c r="J375" s="4">
        <f>IF((B375&lt;LeafDropDay),(SUM(I$36:I375)),0)</f>
        <v>0</v>
      </c>
      <c r="K375" s="4">
        <f t="shared" si="88"/>
        <v>0</v>
      </c>
      <c r="L375" s="4">
        <f t="shared" si="89"/>
        <v>0</v>
      </c>
      <c r="M375" s="4">
        <f t="shared" si="95"/>
        <v>1</v>
      </c>
      <c r="N375" s="4">
        <f t="shared" si="90"/>
        <v>0</v>
      </c>
      <c r="O375" s="4">
        <f t="shared" si="96"/>
        <v>0</v>
      </c>
      <c r="P375" s="10">
        <f t="shared" si="97"/>
        <v>0</v>
      </c>
      <c r="Q375" s="10">
        <f t="shared" si="98"/>
        <v>0</v>
      </c>
      <c r="R375" s="4">
        <f t="shared" si="99"/>
        <v>0</v>
      </c>
      <c r="S375" s="4">
        <f t="shared" si="91"/>
        <v>0</v>
      </c>
      <c r="T375" s="4">
        <f t="shared" si="101"/>
        <v>332.7776721180545</v>
      </c>
      <c r="U375" s="4">
        <f t="shared" si="100"/>
        <v>323.79221582714456</v>
      </c>
      <c r="V375" s="4">
        <f t="shared" si="92"/>
        <v>-8.985456290909923</v>
      </c>
      <c r="W375" s="4">
        <f t="shared" si="93"/>
        <v>0.12744081685179365</v>
      </c>
    </row>
    <row r="376" spans="2:23" ht="12.75">
      <c r="B376" s="19">
        <v>341</v>
      </c>
      <c r="C376" s="58">
        <v>37231</v>
      </c>
      <c r="D376" s="50">
        <v>0</v>
      </c>
      <c r="E376" s="10">
        <f ca="1" t="shared" si="102" ref="E376:G395">INDIRECT(WeatherSheet&amp;"!"&amp;E745)</f>
        <v>12.5</v>
      </c>
      <c r="F376" s="10">
        <f ca="1" t="shared" si="102"/>
        <v>2.18</v>
      </c>
      <c r="G376" s="10">
        <f ca="1" t="shared" si="102"/>
        <v>0.25</v>
      </c>
      <c r="H376" s="10">
        <f t="shared" si="94"/>
        <v>12.5</v>
      </c>
      <c r="I376" s="10">
        <f>IF((SUM(H$36:H376)&gt;GDD_budbreak),(IF(((E376-10)&gt;0),(E376-10),0)),0)</f>
        <v>2.5</v>
      </c>
      <c r="J376" s="4">
        <f>IF((B376&lt;LeafDropDay),(SUM(I$36:I376)),0)</f>
        <v>0</v>
      </c>
      <c r="K376" s="4">
        <f t="shared" si="88"/>
        <v>0</v>
      </c>
      <c r="L376" s="4">
        <f t="shared" si="89"/>
        <v>0</v>
      </c>
      <c r="M376" s="4">
        <f t="shared" si="95"/>
        <v>1</v>
      </c>
      <c r="N376" s="4">
        <f t="shared" si="90"/>
        <v>0</v>
      </c>
      <c r="O376" s="4">
        <f t="shared" si="96"/>
        <v>0</v>
      </c>
      <c r="P376" s="10">
        <f t="shared" si="97"/>
        <v>0</v>
      </c>
      <c r="Q376" s="10">
        <f t="shared" si="98"/>
        <v>0</v>
      </c>
      <c r="R376" s="4">
        <f t="shared" si="99"/>
        <v>0</v>
      </c>
      <c r="S376" s="4">
        <f t="shared" si="91"/>
        <v>0</v>
      </c>
      <c r="T376" s="4">
        <f t="shared" si="101"/>
        <v>324.04221582714456</v>
      </c>
      <c r="U376" s="4">
        <f t="shared" si="100"/>
        <v>319.4244876816896</v>
      </c>
      <c r="V376" s="4">
        <f t="shared" si="92"/>
        <v>-4.617728145454947</v>
      </c>
      <c r="W376" s="4">
        <f t="shared" si="93"/>
        <v>0.13786895359184112</v>
      </c>
    </row>
    <row r="377" spans="2:23" ht="12.75">
      <c r="B377" s="19">
        <v>342</v>
      </c>
      <c r="C377" s="58">
        <v>37232</v>
      </c>
      <c r="D377" s="50">
        <v>0</v>
      </c>
      <c r="E377" s="10">
        <f ca="1" t="shared" si="102"/>
        <v>9.1</v>
      </c>
      <c r="F377" s="10">
        <f ca="1" t="shared" si="102"/>
        <v>0.95</v>
      </c>
      <c r="G377" s="10">
        <f ca="1" t="shared" si="102"/>
        <v>0.25</v>
      </c>
      <c r="H377" s="10">
        <f t="shared" si="94"/>
        <v>9.1</v>
      </c>
      <c r="I377" s="10">
        <f>IF((SUM(H$36:H377)&gt;GDD_budbreak),(IF(((E377-10)&gt;0),(E377-10),0)),0)</f>
        <v>0</v>
      </c>
      <c r="J377" s="4">
        <f>IF((B377&lt;LeafDropDay),(SUM(I$36:I377)),0)</f>
        <v>0</v>
      </c>
      <c r="K377" s="4">
        <f t="shared" si="88"/>
        <v>0</v>
      </c>
      <c r="L377" s="4">
        <f t="shared" si="89"/>
        <v>0</v>
      </c>
      <c r="M377" s="4">
        <f t="shared" si="95"/>
        <v>1</v>
      </c>
      <c r="N377" s="4">
        <f t="shared" si="90"/>
        <v>0</v>
      </c>
      <c r="O377" s="4">
        <f t="shared" si="96"/>
        <v>0</v>
      </c>
      <c r="P377" s="10">
        <f t="shared" si="97"/>
        <v>0</v>
      </c>
      <c r="Q377" s="10">
        <f t="shared" si="98"/>
        <v>0</v>
      </c>
      <c r="R377" s="4">
        <f t="shared" si="99"/>
        <v>0</v>
      </c>
      <c r="S377" s="4">
        <f t="shared" si="91"/>
        <v>0</v>
      </c>
      <c r="T377" s="4">
        <f t="shared" si="101"/>
        <v>319.6744876816896</v>
      </c>
      <c r="U377" s="4">
        <f t="shared" si="100"/>
        <v>317.2406236089621</v>
      </c>
      <c r="V377" s="4">
        <f t="shared" si="92"/>
        <v>-2.4338640727274594</v>
      </c>
      <c r="W377" s="4">
        <f t="shared" si="93"/>
        <v>0.14345675376233985</v>
      </c>
    </row>
    <row r="378" spans="2:23" ht="12.75">
      <c r="B378" s="19">
        <v>343</v>
      </c>
      <c r="C378" s="58">
        <v>37233</v>
      </c>
      <c r="D378" s="50">
        <v>0</v>
      </c>
      <c r="E378" s="10">
        <f ca="1" t="shared" si="102"/>
        <v>10.1</v>
      </c>
      <c r="F378" s="10">
        <f ca="1" t="shared" si="102"/>
        <v>1.53</v>
      </c>
      <c r="G378" s="10">
        <f ca="1" t="shared" si="102"/>
        <v>1.27</v>
      </c>
      <c r="H378" s="10">
        <f t="shared" si="94"/>
        <v>10.1</v>
      </c>
      <c r="I378" s="10">
        <f>IF((SUM(H$36:H378)&gt;GDD_budbreak),(IF(((E378-10)&gt;0),(E378-10),0)),0)</f>
        <v>0.09999999999999964</v>
      </c>
      <c r="J378" s="4">
        <f>IF((B378&lt;LeafDropDay),(SUM(I$36:I378)),0)</f>
        <v>0</v>
      </c>
      <c r="K378" s="4">
        <f t="shared" si="88"/>
        <v>0</v>
      </c>
      <c r="L378" s="4">
        <f t="shared" si="89"/>
        <v>0</v>
      </c>
      <c r="M378" s="4">
        <f t="shared" si="95"/>
        <v>1</v>
      </c>
      <c r="N378" s="4">
        <f t="shared" si="90"/>
        <v>0</v>
      </c>
      <c r="O378" s="4">
        <f t="shared" si="96"/>
        <v>0</v>
      </c>
      <c r="P378" s="10">
        <f t="shared" si="97"/>
        <v>0</v>
      </c>
      <c r="Q378" s="10">
        <f t="shared" si="98"/>
        <v>0</v>
      </c>
      <c r="R378" s="4">
        <f t="shared" si="99"/>
        <v>0</v>
      </c>
      <c r="S378" s="4">
        <f t="shared" si="91"/>
        <v>0</v>
      </c>
      <c r="T378" s="4">
        <f t="shared" si="101"/>
        <v>318.5106236089621</v>
      </c>
      <c r="U378" s="4">
        <f t="shared" si="100"/>
        <v>316.6586915725984</v>
      </c>
      <c r="V378" s="4">
        <f t="shared" si="92"/>
        <v>-1.8519320363637064</v>
      </c>
      <c r="W378" s="4">
        <f t="shared" si="93"/>
        <v>0.14499026293819578</v>
      </c>
    </row>
    <row r="379" spans="2:23" ht="12.75">
      <c r="B379" s="19">
        <v>344</v>
      </c>
      <c r="C379" s="58">
        <v>37234</v>
      </c>
      <c r="D379" s="50">
        <v>0</v>
      </c>
      <c r="E379" s="10">
        <f ca="1" t="shared" si="102"/>
        <v>8.7</v>
      </c>
      <c r="F379" s="10">
        <f ca="1" t="shared" si="102"/>
        <v>1.61</v>
      </c>
      <c r="G379" s="10">
        <f ca="1" t="shared" si="102"/>
        <v>0</v>
      </c>
      <c r="H379" s="10">
        <f t="shared" si="94"/>
        <v>8.7</v>
      </c>
      <c r="I379" s="10">
        <f>IF((SUM(H$36:H379)&gt;GDD_budbreak),(IF(((E379-10)&gt;0),(E379-10),0)),0)</f>
        <v>0</v>
      </c>
      <c r="J379" s="4">
        <f>IF((B379&lt;LeafDropDay),(SUM(I$36:I379)),0)</f>
        <v>0</v>
      </c>
      <c r="K379" s="4">
        <f t="shared" si="88"/>
        <v>0</v>
      </c>
      <c r="L379" s="4">
        <f t="shared" si="89"/>
        <v>0</v>
      </c>
      <c r="M379" s="4">
        <f t="shared" si="95"/>
        <v>1</v>
      </c>
      <c r="N379" s="4">
        <f t="shared" si="90"/>
        <v>0</v>
      </c>
      <c r="O379" s="4">
        <f t="shared" si="96"/>
        <v>0</v>
      </c>
      <c r="P379" s="10">
        <f t="shared" si="97"/>
        <v>0</v>
      </c>
      <c r="Q379" s="10">
        <f t="shared" si="98"/>
        <v>0</v>
      </c>
      <c r="R379" s="4">
        <f t="shared" si="99"/>
        <v>0</v>
      </c>
      <c r="S379" s="4">
        <f t="shared" si="91"/>
        <v>0</v>
      </c>
      <c r="T379" s="4">
        <f t="shared" si="101"/>
        <v>316.6586915725984</v>
      </c>
      <c r="U379" s="4">
        <f t="shared" si="100"/>
        <v>315.73272555441656</v>
      </c>
      <c r="V379" s="4">
        <f t="shared" si="92"/>
        <v>-0.9259660181818674</v>
      </c>
      <c r="W379" s="4">
        <f t="shared" si="93"/>
        <v>0.14747018733173994</v>
      </c>
    </row>
    <row r="380" spans="2:23" ht="12.75">
      <c r="B380" s="19">
        <v>345</v>
      </c>
      <c r="C380" s="58">
        <v>37235</v>
      </c>
      <c r="D380" s="50">
        <v>0</v>
      </c>
      <c r="E380" s="10">
        <f ca="1" t="shared" si="102"/>
        <v>8.5</v>
      </c>
      <c r="F380" s="10">
        <f ca="1" t="shared" si="102"/>
        <v>1.37</v>
      </c>
      <c r="G380" s="10">
        <f ca="1" t="shared" si="102"/>
        <v>0</v>
      </c>
      <c r="H380" s="10">
        <f t="shared" si="94"/>
        <v>8.5</v>
      </c>
      <c r="I380" s="10">
        <f>IF((SUM(H$36:H380)&gt;GDD_budbreak),(IF(((E380-10)&gt;0),(E380-10),0)),0)</f>
        <v>0</v>
      </c>
      <c r="J380" s="4">
        <f>IF((B380&lt;LeafDropDay),(SUM(I$36:I380)),0)</f>
        <v>0</v>
      </c>
      <c r="K380" s="4">
        <f t="shared" si="88"/>
        <v>0</v>
      </c>
      <c r="L380" s="4">
        <f t="shared" si="89"/>
        <v>0</v>
      </c>
      <c r="M380" s="4">
        <f t="shared" si="95"/>
        <v>1</v>
      </c>
      <c r="N380" s="4">
        <f t="shared" si="90"/>
        <v>0</v>
      </c>
      <c r="O380" s="4">
        <f t="shared" si="96"/>
        <v>0</v>
      </c>
      <c r="P380" s="10">
        <f t="shared" si="97"/>
        <v>0</v>
      </c>
      <c r="Q380" s="10">
        <f t="shared" si="98"/>
        <v>0</v>
      </c>
      <c r="R380" s="4">
        <f t="shared" si="99"/>
        <v>0</v>
      </c>
      <c r="S380" s="4">
        <f t="shared" si="91"/>
        <v>0</v>
      </c>
      <c r="T380" s="4">
        <f t="shared" si="101"/>
        <v>315.73272555441656</v>
      </c>
      <c r="U380" s="4">
        <f t="shared" si="100"/>
        <v>315.2697425453256</v>
      </c>
      <c r="V380" s="4">
        <f t="shared" si="92"/>
        <v>-0.4629830090909479</v>
      </c>
      <c r="W380" s="4">
        <f t="shared" si="93"/>
        <v>0.1487287861560216</v>
      </c>
    </row>
    <row r="381" spans="2:23" ht="12.75">
      <c r="B381" s="19">
        <v>346</v>
      </c>
      <c r="C381" s="58">
        <v>37236</v>
      </c>
      <c r="D381" s="50">
        <v>0</v>
      </c>
      <c r="E381" s="10">
        <f ca="1" t="shared" si="102"/>
        <v>8.4</v>
      </c>
      <c r="F381" s="10">
        <f ca="1" t="shared" si="102"/>
        <v>1.23</v>
      </c>
      <c r="G381" s="10">
        <f ca="1" t="shared" si="102"/>
        <v>0.25</v>
      </c>
      <c r="H381" s="10">
        <f t="shared" si="94"/>
        <v>8.4</v>
      </c>
      <c r="I381" s="10">
        <f>IF((SUM(H$36:H381)&gt;GDD_budbreak),(IF(((E381-10)&gt;0),(E381-10),0)),0)</f>
        <v>0</v>
      </c>
      <c r="J381" s="4">
        <f>IF((B381&lt;LeafDropDay),(SUM(I$36:I381)),0)</f>
        <v>0</v>
      </c>
      <c r="K381" s="4">
        <f t="shared" si="88"/>
        <v>0</v>
      </c>
      <c r="L381" s="4">
        <f t="shared" si="89"/>
        <v>0</v>
      </c>
      <c r="M381" s="4">
        <f t="shared" si="95"/>
        <v>1</v>
      </c>
      <c r="N381" s="4">
        <f t="shared" si="90"/>
        <v>0</v>
      </c>
      <c r="O381" s="4">
        <f t="shared" si="96"/>
        <v>0</v>
      </c>
      <c r="P381" s="10">
        <f t="shared" si="97"/>
        <v>0</v>
      </c>
      <c r="Q381" s="10">
        <f t="shared" si="98"/>
        <v>0</v>
      </c>
      <c r="R381" s="4">
        <f t="shared" si="99"/>
        <v>0</v>
      </c>
      <c r="S381" s="4">
        <f t="shared" si="91"/>
        <v>0</v>
      </c>
      <c r="T381" s="4">
        <f t="shared" si="101"/>
        <v>315.5197425453256</v>
      </c>
      <c r="U381" s="4">
        <f t="shared" si="100"/>
        <v>315.1632510407801</v>
      </c>
      <c r="V381" s="4">
        <f t="shared" si="92"/>
        <v>-0.35649150454545975</v>
      </c>
      <c r="W381" s="4">
        <f t="shared" si="93"/>
        <v>0.1490200578569753</v>
      </c>
    </row>
    <row r="382" spans="2:23" ht="12.75">
      <c r="B382" s="19">
        <v>347</v>
      </c>
      <c r="C382" s="58">
        <v>37237</v>
      </c>
      <c r="D382" s="50">
        <v>0</v>
      </c>
      <c r="E382" s="10">
        <f ca="1" t="shared" si="102"/>
        <v>8</v>
      </c>
      <c r="F382" s="10">
        <f ca="1" t="shared" si="102"/>
        <v>0.75</v>
      </c>
      <c r="G382" s="10">
        <f ca="1" t="shared" si="102"/>
        <v>20.32</v>
      </c>
      <c r="H382" s="10">
        <f t="shared" si="94"/>
        <v>8</v>
      </c>
      <c r="I382" s="10">
        <f>IF((SUM(H$36:H382)&gt;GDD_budbreak),(IF(((E382-10)&gt;0),(E382-10),0)),0)</f>
        <v>0</v>
      </c>
      <c r="J382" s="4">
        <f>IF((B382&lt;LeafDropDay),(SUM(I$36:I382)),0)</f>
        <v>0</v>
      </c>
      <c r="K382" s="4">
        <f t="shared" si="88"/>
        <v>0</v>
      </c>
      <c r="L382" s="4">
        <f t="shared" si="89"/>
        <v>0</v>
      </c>
      <c r="M382" s="4">
        <f t="shared" si="95"/>
        <v>1</v>
      </c>
      <c r="N382" s="4">
        <f t="shared" si="90"/>
        <v>0</v>
      </c>
      <c r="O382" s="4">
        <f t="shared" si="96"/>
        <v>0</v>
      </c>
      <c r="P382" s="10">
        <f t="shared" si="97"/>
        <v>0</v>
      </c>
      <c r="Q382" s="10">
        <f t="shared" si="98"/>
        <v>0</v>
      </c>
      <c r="R382" s="4">
        <f t="shared" si="99"/>
        <v>0</v>
      </c>
      <c r="S382" s="4">
        <f t="shared" si="91"/>
        <v>0</v>
      </c>
      <c r="T382" s="4">
        <f t="shared" si="101"/>
        <v>335.4832510407801</v>
      </c>
      <c r="U382" s="4">
        <f t="shared" si="100"/>
        <v>325.1450052885074</v>
      </c>
      <c r="V382" s="4">
        <f t="shared" si="92"/>
        <v>-10.338245752272712</v>
      </c>
      <c r="W382" s="4">
        <f t="shared" si="93"/>
        <v>0.12440058642507612</v>
      </c>
    </row>
    <row r="383" spans="2:23" ht="12.75">
      <c r="B383" s="19">
        <v>348</v>
      </c>
      <c r="C383" s="58">
        <v>37238</v>
      </c>
      <c r="D383" s="50">
        <v>0</v>
      </c>
      <c r="E383" s="10">
        <f ca="1" t="shared" si="102"/>
        <v>8.9</v>
      </c>
      <c r="F383" s="10">
        <f ca="1" t="shared" si="102"/>
        <v>1.75</v>
      </c>
      <c r="G383" s="10">
        <f ca="1" t="shared" si="102"/>
        <v>7.87</v>
      </c>
      <c r="H383" s="10">
        <f t="shared" si="94"/>
        <v>8.9</v>
      </c>
      <c r="I383" s="10">
        <f>IF((SUM(H$36:H383)&gt;GDD_budbreak),(IF(((E383-10)&gt;0),(E383-10),0)),0)</f>
        <v>0</v>
      </c>
      <c r="J383" s="4">
        <f>IF((B383&lt;LeafDropDay),(SUM(I$36:I383)),0)</f>
        <v>0</v>
      </c>
      <c r="K383" s="4">
        <f t="shared" si="88"/>
        <v>0</v>
      </c>
      <c r="L383" s="4">
        <f t="shared" si="89"/>
        <v>0</v>
      </c>
      <c r="M383" s="4">
        <f t="shared" si="95"/>
        <v>1</v>
      </c>
      <c r="N383" s="4">
        <f t="shared" si="90"/>
        <v>0</v>
      </c>
      <c r="O383" s="4">
        <f t="shared" si="96"/>
        <v>0</v>
      </c>
      <c r="P383" s="10">
        <f t="shared" si="97"/>
        <v>0</v>
      </c>
      <c r="Q383" s="10">
        <f t="shared" si="98"/>
        <v>0</v>
      </c>
      <c r="R383" s="4">
        <f t="shared" si="99"/>
        <v>0</v>
      </c>
      <c r="S383" s="4">
        <f t="shared" si="91"/>
        <v>0</v>
      </c>
      <c r="T383" s="4">
        <f t="shared" si="101"/>
        <v>333.0150052885074</v>
      </c>
      <c r="U383" s="4">
        <f t="shared" si="100"/>
        <v>323.91088241237105</v>
      </c>
      <c r="V383" s="4">
        <f t="shared" si="92"/>
        <v>-9.104122876136358</v>
      </c>
      <c r="W383" s="4">
        <f t="shared" si="93"/>
        <v>0.12717066831724488</v>
      </c>
    </row>
    <row r="384" spans="2:23" ht="12.75">
      <c r="B384" s="19">
        <v>349</v>
      </c>
      <c r="C384" s="58">
        <v>37239</v>
      </c>
      <c r="D384" s="50">
        <v>0</v>
      </c>
      <c r="E384" s="10">
        <f ca="1" t="shared" si="102"/>
        <v>6.2</v>
      </c>
      <c r="F384" s="10">
        <f ca="1" t="shared" si="102"/>
        <v>1.18</v>
      </c>
      <c r="G384" s="10">
        <f ca="1" t="shared" si="102"/>
        <v>0</v>
      </c>
      <c r="H384" s="10">
        <f t="shared" si="94"/>
        <v>6.2</v>
      </c>
      <c r="I384" s="10">
        <f>IF((SUM(H$36:H384)&gt;GDD_budbreak),(IF(((E384-10)&gt;0),(E384-10),0)),0)</f>
        <v>0</v>
      </c>
      <c r="J384" s="4">
        <f>IF((B384&lt;LeafDropDay),(SUM(I$36:I384)),0)</f>
        <v>0</v>
      </c>
      <c r="K384" s="4">
        <f t="shared" si="88"/>
        <v>0</v>
      </c>
      <c r="L384" s="4">
        <f t="shared" si="89"/>
        <v>0</v>
      </c>
      <c r="M384" s="4">
        <f t="shared" si="95"/>
        <v>1</v>
      </c>
      <c r="N384" s="4">
        <f t="shared" si="90"/>
        <v>0</v>
      </c>
      <c r="O384" s="4">
        <f t="shared" si="96"/>
        <v>0</v>
      </c>
      <c r="P384" s="10">
        <f t="shared" si="97"/>
        <v>0</v>
      </c>
      <c r="Q384" s="10">
        <f t="shared" si="98"/>
        <v>0</v>
      </c>
      <c r="R384" s="4">
        <f t="shared" si="99"/>
        <v>0</v>
      </c>
      <c r="S384" s="4">
        <f t="shared" si="91"/>
        <v>0</v>
      </c>
      <c r="T384" s="4">
        <f t="shared" si="101"/>
        <v>323.91088241237105</v>
      </c>
      <c r="U384" s="4">
        <f t="shared" si="100"/>
        <v>319.35882097430283</v>
      </c>
      <c r="V384" s="4">
        <f t="shared" si="92"/>
        <v>-4.552061438068193</v>
      </c>
      <c r="W384" s="4">
        <f t="shared" si="93"/>
        <v>0.1380332087621515</v>
      </c>
    </row>
    <row r="385" spans="2:23" ht="12.75">
      <c r="B385" s="19">
        <v>350</v>
      </c>
      <c r="C385" s="58">
        <v>37240</v>
      </c>
      <c r="D385" s="50">
        <v>0</v>
      </c>
      <c r="E385" s="10">
        <f ca="1" t="shared" si="102"/>
        <v>8.7</v>
      </c>
      <c r="F385" s="10">
        <f ca="1" t="shared" si="102"/>
        <v>0.43</v>
      </c>
      <c r="G385" s="10">
        <f ca="1" t="shared" si="102"/>
        <v>2.29</v>
      </c>
      <c r="H385" s="10">
        <f t="shared" si="94"/>
        <v>8.7</v>
      </c>
      <c r="I385" s="10">
        <f>IF((SUM(H$36:H385)&gt;GDD_budbreak),(IF(((E385-10)&gt;0),(E385-10),0)),0)</f>
        <v>0</v>
      </c>
      <c r="J385" s="4">
        <f>IF((B385&lt;LeafDropDay),(SUM(I$36:I385)),0)</f>
        <v>0</v>
      </c>
      <c r="K385" s="4">
        <f t="shared" si="88"/>
        <v>0</v>
      </c>
      <c r="L385" s="4">
        <f t="shared" si="89"/>
        <v>0</v>
      </c>
      <c r="M385" s="4">
        <f t="shared" si="95"/>
        <v>1</v>
      </c>
      <c r="N385" s="4">
        <f t="shared" si="90"/>
        <v>0</v>
      </c>
      <c r="O385" s="4">
        <f t="shared" si="96"/>
        <v>0</v>
      </c>
      <c r="P385" s="10">
        <f t="shared" si="97"/>
        <v>0</v>
      </c>
      <c r="Q385" s="10">
        <f t="shared" si="98"/>
        <v>0</v>
      </c>
      <c r="R385" s="4">
        <f t="shared" si="99"/>
        <v>0</v>
      </c>
      <c r="S385" s="4">
        <f t="shared" si="91"/>
        <v>0</v>
      </c>
      <c r="T385" s="4">
        <f t="shared" si="101"/>
        <v>321.64882097430285</v>
      </c>
      <c r="U385" s="4">
        <f t="shared" si="100"/>
        <v>318.22779025526876</v>
      </c>
      <c r="V385" s="4">
        <f t="shared" si="92"/>
        <v>-3.4210307190340927</v>
      </c>
      <c r="W385" s="4">
        <f t="shared" si="93"/>
        <v>0.14089864544570044</v>
      </c>
    </row>
    <row r="386" spans="2:23" ht="12.75">
      <c r="B386" s="19">
        <v>351</v>
      </c>
      <c r="C386" s="58">
        <v>37241</v>
      </c>
      <c r="D386" s="50">
        <v>0</v>
      </c>
      <c r="E386" s="10">
        <f ca="1" t="shared" si="102"/>
        <v>11.5</v>
      </c>
      <c r="F386" s="10">
        <f ca="1" t="shared" si="102"/>
        <v>0.69</v>
      </c>
      <c r="G386" s="10">
        <f ca="1" t="shared" si="102"/>
        <v>11.94</v>
      </c>
      <c r="H386" s="10">
        <f t="shared" si="94"/>
        <v>11.5</v>
      </c>
      <c r="I386" s="10">
        <f>IF((SUM(H$36:H386)&gt;GDD_budbreak),(IF(((E386-10)&gt;0),(E386-10),0)),0)</f>
        <v>1.5</v>
      </c>
      <c r="J386" s="4">
        <f>IF((B386&lt;LeafDropDay),(SUM(I$36:I386)),0)</f>
        <v>0</v>
      </c>
      <c r="K386" s="4">
        <f t="shared" si="88"/>
        <v>0</v>
      </c>
      <c r="L386" s="4">
        <f t="shared" si="89"/>
        <v>0</v>
      </c>
      <c r="M386" s="4">
        <f t="shared" si="95"/>
        <v>1</v>
      </c>
      <c r="N386" s="4">
        <f t="shared" si="90"/>
        <v>0</v>
      </c>
      <c r="O386" s="4">
        <f t="shared" si="96"/>
        <v>0</v>
      </c>
      <c r="P386" s="10">
        <f t="shared" si="97"/>
        <v>0</v>
      </c>
      <c r="Q386" s="10">
        <f t="shared" si="98"/>
        <v>0</v>
      </c>
      <c r="R386" s="4">
        <f t="shared" si="99"/>
        <v>0</v>
      </c>
      <c r="S386" s="4">
        <f t="shared" si="91"/>
        <v>0</v>
      </c>
      <c r="T386" s="4">
        <f t="shared" si="101"/>
        <v>330.16779025526876</v>
      </c>
      <c r="U386" s="4">
        <f t="shared" si="100"/>
        <v>322.48727489575174</v>
      </c>
      <c r="V386" s="4">
        <f t="shared" si="92"/>
        <v>-7.680515359517045</v>
      </c>
      <c r="W386" s="4">
        <f t="shared" si="93"/>
        <v>0.1304563925283896</v>
      </c>
    </row>
    <row r="387" spans="2:23" ht="12.75">
      <c r="B387" s="19">
        <v>352</v>
      </c>
      <c r="C387" s="58">
        <v>37242</v>
      </c>
      <c r="D387" s="50">
        <v>0</v>
      </c>
      <c r="E387" s="10">
        <f ca="1" t="shared" si="102"/>
        <v>7.4</v>
      </c>
      <c r="F387" s="10">
        <f ca="1" t="shared" si="102"/>
        <v>0.77</v>
      </c>
      <c r="G387" s="10">
        <f ca="1" t="shared" si="102"/>
        <v>3.3</v>
      </c>
      <c r="H387" s="10">
        <f t="shared" si="94"/>
        <v>7.4</v>
      </c>
      <c r="I387" s="10">
        <f>IF((SUM(H$36:H387)&gt;GDD_budbreak),(IF(((E387-10)&gt;0),(E387-10),0)),0)</f>
        <v>0</v>
      </c>
      <c r="J387" s="4">
        <f>IF((B387&lt;LeafDropDay),(SUM(I$36:I387)),0)</f>
        <v>0</v>
      </c>
      <c r="K387" s="4">
        <f t="shared" si="88"/>
        <v>0</v>
      </c>
      <c r="L387" s="4">
        <f t="shared" si="89"/>
        <v>0</v>
      </c>
      <c r="M387" s="4">
        <f t="shared" si="95"/>
        <v>1</v>
      </c>
      <c r="N387" s="4">
        <f t="shared" si="90"/>
        <v>0</v>
      </c>
      <c r="O387" s="4">
        <f t="shared" si="96"/>
        <v>0</v>
      </c>
      <c r="P387" s="10">
        <f t="shared" si="97"/>
        <v>0</v>
      </c>
      <c r="Q387" s="10">
        <f t="shared" si="98"/>
        <v>0</v>
      </c>
      <c r="R387" s="4">
        <f t="shared" si="99"/>
        <v>0</v>
      </c>
      <c r="S387" s="4">
        <f t="shared" si="91"/>
        <v>0</v>
      </c>
      <c r="T387" s="4">
        <f t="shared" si="101"/>
        <v>325.78727489575175</v>
      </c>
      <c r="U387" s="4">
        <f t="shared" si="100"/>
        <v>320.2970172159932</v>
      </c>
      <c r="V387" s="4">
        <f t="shared" si="92"/>
        <v>-5.4902576797585425</v>
      </c>
      <c r="W387" s="4">
        <f t="shared" si="93"/>
        <v>0.13570806513640396</v>
      </c>
    </row>
    <row r="388" spans="2:23" ht="12.75">
      <c r="B388" s="19">
        <v>353</v>
      </c>
      <c r="C388" s="58">
        <v>37243</v>
      </c>
      <c r="D388" s="50">
        <v>0</v>
      </c>
      <c r="E388" s="10">
        <f ca="1" t="shared" si="102"/>
        <v>9.1</v>
      </c>
      <c r="F388" s="10">
        <f ca="1" t="shared" si="102"/>
        <v>0.69</v>
      </c>
      <c r="G388" s="10">
        <f ca="1" t="shared" si="102"/>
        <v>10.16</v>
      </c>
      <c r="H388" s="10">
        <f t="shared" si="94"/>
        <v>9.1</v>
      </c>
      <c r="I388" s="10">
        <f>IF((SUM(H$36:H388)&gt;GDD_budbreak),(IF(((E388-10)&gt;0),(E388-10),0)),0)</f>
        <v>0</v>
      </c>
      <c r="J388" s="4">
        <f>IF((B388&lt;LeafDropDay),(SUM(I$36:I388)),0)</f>
        <v>0</v>
      </c>
      <c r="K388" s="4">
        <f t="shared" si="88"/>
        <v>0</v>
      </c>
      <c r="L388" s="4">
        <f t="shared" si="89"/>
        <v>0</v>
      </c>
      <c r="M388" s="4">
        <f t="shared" si="95"/>
        <v>1</v>
      </c>
      <c r="N388" s="4">
        <f t="shared" si="90"/>
        <v>0</v>
      </c>
      <c r="O388" s="4">
        <f t="shared" si="96"/>
        <v>0</v>
      </c>
      <c r="P388" s="10">
        <f t="shared" si="97"/>
        <v>0</v>
      </c>
      <c r="Q388" s="10">
        <f t="shared" si="98"/>
        <v>0</v>
      </c>
      <c r="R388" s="4">
        <f t="shared" si="99"/>
        <v>0</v>
      </c>
      <c r="S388" s="4">
        <f t="shared" si="91"/>
        <v>0</v>
      </c>
      <c r="T388" s="4">
        <f t="shared" si="101"/>
        <v>330.45701721599323</v>
      </c>
      <c r="U388" s="4">
        <f t="shared" si="100"/>
        <v>322.6318883761139</v>
      </c>
      <c r="V388" s="4">
        <f t="shared" si="92"/>
        <v>-7.825128839879284</v>
      </c>
      <c r="W388" s="4">
        <f t="shared" si="93"/>
        <v>0.13011811524206107</v>
      </c>
    </row>
    <row r="389" spans="2:23" ht="12.75">
      <c r="B389" s="19">
        <v>354</v>
      </c>
      <c r="C389" s="58">
        <v>37244</v>
      </c>
      <c r="D389" s="50">
        <v>0</v>
      </c>
      <c r="E389" s="10">
        <f ca="1" t="shared" si="102"/>
        <v>8.4</v>
      </c>
      <c r="F389" s="10">
        <f ca="1" t="shared" si="102"/>
        <v>0.16</v>
      </c>
      <c r="G389" s="10">
        <f ca="1" t="shared" si="102"/>
        <v>41.91</v>
      </c>
      <c r="H389" s="10">
        <f t="shared" si="94"/>
        <v>8.4</v>
      </c>
      <c r="I389" s="10">
        <f>IF((SUM(H$36:H389)&gt;GDD_budbreak),(IF(((E389-10)&gt;0),(E389-10),0)),0)</f>
        <v>0</v>
      </c>
      <c r="J389" s="4">
        <f>IF((B389&lt;LeafDropDay),(SUM(I$36:I389)),0)</f>
        <v>0</v>
      </c>
      <c r="K389" s="4">
        <f t="shared" si="88"/>
        <v>0</v>
      </c>
      <c r="L389" s="4">
        <f t="shared" si="89"/>
        <v>0</v>
      </c>
      <c r="M389" s="4">
        <f t="shared" si="95"/>
        <v>1</v>
      </c>
      <c r="N389" s="4">
        <f t="shared" si="90"/>
        <v>0</v>
      </c>
      <c r="O389" s="4">
        <f t="shared" si="96"/>
        <v>0</v>
      </c>
      <c r="P389" s="10">
        <f t="shared" si="97"/>
        <v>0</v>
      </c>
      <c r="Q389" s="10">
        <f t="shared" si="98"/>
        <v>0</v>
      </c>
      <c r="R389" s="4">
        <f t="shared" si="99"/>
        <v>0</v>
      </c>
      <c r="S389" s="4">
        <f t="shared" si="91"/>
        <v>0</v>
      </c>
      <c r="T389" s="4">
        <f t="shared" si="101"/>
        <v>364.5418883761139</v>
      </c>
      <c r="U389" s="4">
        <f t="shared" si="100"/>
        <v>339.67432395617425</v>
      </c>
      <c r="V389" s="4">
        <f t="shared" si="92"/>
        <v>-24.86756441993961</v>
      </c>
      <c r="W389" s="4">
        <f t="shared" si="93"/>
        <v>0.09657659337196334</v>
      </c>
    </row>
    <row r="390" spans="2:23" ht="12.75">
      <c r="B390" s="19">
        <v>355</v>
      </c>
      <c r="C390" s="58">
        <v>37245</v>
      </c>
      <c r="D390" s="50">
        <v>0</v>
      </c>
      <c r="E390" s="10">
        <f ca="1" t="shared" si="102"/>
        <v>8.6</v>
      </c>
      <c r="F390" s="10">
        <f ca="1" t="shared" si="102"/>
        <v>0.62</v>
      </c>
      <c r="G390" s="10">
        <f ca="1" t="shared" si="102"/>
        <v>0</v>
      </c>
      <c r="H390" s="10">
        <f t="shared" si="94"/>
        <v>8.6</v>
      </c>
      <c r="I390" s="10">
        <f>IF((SUM(H$36:H390)&gt;GDD_budbreak),(IF(((E390-10)&gt;0),(E390-10),0)),0)</f>
        <v>0</v>
      </c>
      <c r="J390" s="4">
        <f>IF((B390&lt;LeafDropDay),(SUM(I$36:I390)),0)</f>
        <v>0</v>
      </c>
      <c r="K390" s="4">
        <f t="shared" si="88"/>
        <v>0</v>
      </c>
      <c r="L390" s="4">
        <f t="shared" si="89"/>
        <v>0</v>
      </c>
      <c r="M390" s="4">
        <f t="shared" si="95"/>
        <v>1</v>
      </c>
      <c r="N390" s="4">
        <f t="shared" si="90"/>
        <v>0</v>
      </c>
      <c r="O390" s="4">
        <f t="shared" si="96"/>
        <v>0</v>
      </c>
      <c r="P390" s="10">
        <f t="shared" si="97"/>
        <v>0</v>
      </c>
      <c r="Q390" s="10">
        <f t="shared" si="98"/>
        <v>0</v>
      </c>
      <c r="R390" s="4">
        <f t="shared" si="99"/>
        <v>0</v>
      </c>
      <c r="S390" s="4">
        <f t="shared" si="91"/>
        <v>0</v>
      </c>
      <c r="T390" s="4">
        <f t="shared" si="101"/>
        <v>339.67432395617425</v>
      </c>
      <c r="U390" s="4">
        <f t="shared" si="100"/>
        <v>327.2405417462045</v>
      </c>
      <c r="V390" s="4">
        <f t="shared" si="92"/>
        <v>-12.433782209969792</v>
      </c>
      <c r="W390" s="4">
        <f t="shared" si="93"/>
        <v>0.11985737103210868</v>
      </c>
    </row>
    <row r="391" spans="2:23" ht="12.75">
      <c r="B391" s="19">
        <v>356</v>
      </c>
      <c r="C391" s="58">
        <v>37246</v>
      </c>
      <c r="D391" s="50">
        <v>0</v>
      </c>
      <c r="E391" s="10">
        <f ca="1" t="shared" si="102"/>
        <v>9.1</v>
      </c>
      <c r="F391" s="10">
        <f ca="1" t="shared" si="102"/>
        <v>0.4</v>
      </c>
      <c r="G391" s="10">
        <f ca="1" t="shared" si="102"/>
        <v>21.59</v>
      </c>
      <c r="H391" s="10">
        <f t="shared" si="94"/>
        <v>9.1</v>
      </c>
      <c r="I391" s="10">
        <f>IF((SUM(H$36:H391)&gt;GDD_budbreak),(IF(((E391-10)&gt;0),(E391-10),0)),0)</f>
        <v>0</v>
      </c>
      <c r="J391" s="4">
        <f>IF((B391&lt;LeafDropDay),(SUM(I$36:I391)),0)</f>
        <v>0</v>
      </c>
      <c r="K391" s="4">
        <f t="shared" si="88"/>
        <v>0</v>
      </c>
      <c r="L391" s="4">
        <f t="shared" si="89"/>
        <v>0</v>
      </c>
      <c r="M391" s="4">
        <f t="shared" si="95"/>
        <v>1</v>
      </c>
      <c r="N391" s="4">
        <f t="shared" si="90"/>
        <v>0</v>
      </c>
      <c r="O391" s="4">
        <f t="shared" si="96"/>
        <v>0</v>
      </c>
      <c r="P391" s="10">
        <f t="shared" si="97"/>
        <v>0</v>
      </c>
      <c r="Q391" s="10">
        <f t="shared" si="98"/>
        <v>0</v>
      </c>
      <c r="R391" s="4">
        <f t="shared" si="99"/>
        <v>0</v>
      </c>
      <c r="S391" s="4">
        <f t="shared" si="91"/>
        <v>0</v>
      </c>
      <c r="T391" s="4">
        <f t="shared" si="101"/>
        <v>348.83054174620446</v>
      </c>
      <c r="U391" s="4">
        <f t="shared" si="100"/>
        <v>331.81865064121956</v>
      </c>
      <c r="V391" s="4">
        <f t="shared" si="92"/>
        <v>-17.011891104984898</v>
      </c>
      <c r="W391" s="4">
        <f t="shared" si="93"/>
        <v>0.11059159983992578</v>
      </c>
    </row>
    <row r="392" spans="2:23" ht="12.75">
      <c r="B392" s="19">
        <v>357</v>
      </c>
      <c r="C392" s="58">
        <v>37247</v>
      </c>
      <c r="D392" s="50">
        <v>0</v>
      </c>
      <c r="E392" s="10">
        <f ca="1" t="shared" si="102"/>
        <v>9.1</v>
      </c>
      <c r="F392" s="10">
        <f ca="1" t="shared" si="102"/>
        <v>0.72</v>
      </c>
      <c r="G392" s="10">
        <f ca="1" t="shared" si="102"/>
        <v>0.76</v>
      </c>
      <c r="H392" s="10">
        <f t="shared" si="94"/>
        <v>9.1</v>
      </c>
      <c r="I392" s="10">
        <f>IF((SUM(H$36:H392)&gt;GDD_budbreak),(IF(((E392-10)&gt;0),(E392-10),0)),0)</f>
        <v>0</v>
      </c>
      <c r="J392" s="4">
        <f>IF((B392&lt;LeafDropDay),(SUM(I$36:I392)),0)</f>
        <v>0</v>
      </c>
      <c r="K392" s="4">
        <f t="shared" si="88"/>
        <v>0</v>
      </c>
      <c r="L392" s="4">
        <f t="shared" si="89"/>
        <v>0</v>
      </c>
      <c r="M392" s="4">
        <f t="shared" si="95"/>
        <v>1</v>
      </c>
      <c r="N392" s="4">
        <f t="shared" si="90"/>
        <v>0</v>
      </c>
      <c r="O392" s="4">
        <f t="shared" si="96"/>
        <v>0</v>
      </c>
      <c r="P392" s="10">
        <f t="shared" si="97"/>
        <v>0</v>
      </c>
      <c r="Q392" s="10">
        <f t="shared" si="98"/>
        <v>0</v>
      </c>
      <c r="R392" s="4">
        <f t="shared" si="99"/>
        <v>0</v>
      </c>
      <c r="S392" s="4">
        <f t="shared" si="91"/>
        <v>0</v>
      </c>
      <c r="T392" s="4">
        <f t="shared" si="101"/>
        <v>332.57865064121955</v>
      </c>
      <c r="U392" s="4">
        <f t="shared" si="100"/>
        <v>323.6927050887271</v>
      </c>
      <c r="V392" s="4">
        <f t="shared" si="92"/>
        <v>-8.885945552492444</v>
      </c>
      <c r="W392" s="4">
        <f t="shared" si="93"/>
        <v>0.1276678753434534</v>
      </c>
    </row>
    <row r="393" spans="2:23" ht="12.75">
      <c r="B393" s="19">
        <v>358</v>
      </c>
      <c r="C393" s="58">
        <v>37248</v>
      </c>
      <c r="D393" s="50">
        <v>0</v>
      </c>
      <c r="E393" s="10">
        <f ca="1" t="shared" si="102"/>
        <v>8</v>
      </c>
      <c r="F393" s="10">
        <f ca="1" t="shared" si="102"/>
        <v>1.16</v>
      </c>
      <c r="G393" s="10">
        <f ca="1" t="shared" si="102"/>
        <v>0</v>
      </c>
      <c r="H393" s="10">
        <f t="shared" si="94"/>
        <v>8</v>
      </c>
      <c r="I393" s="10">
        <f>IF((SUM(H$36:H393)&gt;GDD_budbreak),(IF(((E393-10)&gt;0),(E393-10),0)),0)</f>
        <v>0</v>
      </c>
      <c r="J393" s="4">
        <f>IF((B393&lt;LeafDropDay),(SUM(I$36:I393)),0)</f>
        <v>0</v>
      </c>
      <c r="K393" s="4">
        <f t="shared" si="88"/>
        <v>0</v>
      </c>
      <c r="L393" s="4">
        <f t="shared" si="89"/>
        <v>0</v>
      </c>
      <c r="M393" s="4">
        <f t="shared" si="95"/>
        <v>1</v>
      </c>
      <c r="N393" s="4">
        <f t="shared" si="90"/>
        <v>0</v>
      </c>
      <c r="O393" s="4">
        <f t="shared" si="96"/>
        <v>0</v>
      </c>
      <c r="P393" s="10">
        <f t="shared" si="97"/>
        <v>0</v>
      </c>
      <c r="Q393" s="10">
        <f t="shared" si="98"/>
        <v>0</v>
      </c>
      <c r="R393" s="4">
        <f t="shared" si="99"/>
        <v>0</v>
      </c>
      <c r="S393" s="4">
        <f t="shared" si="91"/>
        <v>0</v>
      </c>
      <c r="T393" s="4">
        <f t="shared" si="101"/>
        <v>323.6927050887271</v>
      </c>
      <c r="U393" s="4">
        <f t="shared" si="100"/>
        <v>319.2497323124809</v>
      </c>
      <c r="V393" s="4">
        <f t="shared" si="92"/>
        <v>-4.442972776246222</v>
      </c>
      <c r="W393" s="4">
        <f t="shared" si="93"/>
        <v>0.13830658482715144</v>
      </c>
    </row>
    <row r="394" spans="2:23" ht="12.75">
      <c r="B394" s="19">
        <v>359</v>
      </c>
      <c r="C394" s="58">
        <v>37249</v>
      </c>
      <c r="D394" s="50">
        <v>0</v>
      </c>
      <c r="E394" s="10">
        <f ca="1" t="shared" si="102"/>
        <v>10.4</v>
      </c>
      <c r="F394" s="10">
        <f ca="1" t="shared" si="102"/>
        <v>0.6</v>
      </c>
      <c r="G394" s="10">
        <f ca="1" t="shared" si="102"/>
        <v>0.51</v>
      </c>
      <c r="H394" s="10">
        <f t="shared" si="94"/>
        <v>10.4</v>
      </c>
      <c r="I394" s="10">
        <f>IF((SUM(H$36:H394)&gt;GDD_budbreak),(IF(((E394-10)&gt;0),(E394-10),0)),0)</f>
        <v>0.40000000000000036</v>
      </c>
      <c r="J394" s="4">
        <f>IF((B394&lt;LeafDropDay),(SUM(I$36:I394)),0)</f>
        <v>0</v>
      </c>
      <c r="K394" s="4">
        <f t="shared" si="88"/>
        <v>0</v>
      </c>
      <c r="L394" s="4">
        <f t="shared" si="89"/>
        <v>0</v>
      </c>
      <c r="M394" s="4">
        <f t="shared" si="95"/>
        <v>1</v>
      </c>
      <c r="N394" s="4">
        <f t="shared" si="90"/>
        <v>0</v>
      </c>
      <c r="O394" s="4">
        <f t="shared" si="96"/>
        <v>0</v>
      </c>
      <c r="P394" s="10">
        <f t="shared" si="97"/>
        <v>0</v>
      </c>
      <c r="Q394" s="10">
        <f t="shared" si="98"/>
        <v>0</v>
      </c>
      <c r="R394" s="4">
        <f t="shared" si="99"/>
        <v>0</v>
      </c>
      <c r="S394" s="4">
        <f t="shared" si="91"/>
        <v>0</v>
      </c>
      <c r="T394" s="4">
        <f t="shared" si="101"/>
        <v>319.7597323124809</v>
      </c>
      <c r="U394" s="4">
        <f t="shared" si="100"/>
        <v>317.28324592435774</v>
      </c>
      <c r="V394" s="4">
        <f t="shared" si="92"/>
        <v>-2.4764863881231065</v>
      </c>
      <c r="W394" s="4">
        <f t="shared" si="93"/>
        <v>0.14334518478588318</v>
      </c>
    </row>
    <row r="395" spans="2:23" ht="12.75">
      <c r="B395" s="19">
        <v>360</v>
      </c>
      <c r="C395" s="58">
        <v>37250</v>
      </c>
      <c r="D395" s="50">
        <v>0</v>
      </c>
      <c r="E395" s="10">
        <f ca="1" t="shared" si="102"/>
        <v>10.6</v>
      </c>
      <c r="F395" s="10">
        <f ca="1" t="shared" si="102"/>
        <v>0.56</v>
      </c>
      <c r="G395" s="10">
        <f ca="1" t="shared" si="102"/>
        <v>1.78</v>
      </c>
      <c r="H395" s="10">
        <f t="shared" si="94"/>
        <v>10.6</v>
      </c>
      <c r="I395" s="10">
        <f>IF((SUM(H$36:H395)&gt;GDD_budbreak),(IF(((E395-10)&gt;0),(E395-10),0)),0)</f>
        <v>0.5999999999999996</v>
      </c>
      <c r="J395" s="4">
        <f>IF((B395&lt;LeafDropDay),(SUM(I$36:I395)),0)</f>
        <v>0</v>
      </c>
      <c r="K395" s="4">
        <f t="shared" si="88"/>
        <v>0</v>
      </c>
      <c r="L395" s="4">
        <f t="shared" si="89"/>
        <v>0</v>
      </c>
      <c r="M395" s="4">
        <f t="shared" si="95"/>
        <v>1</v>
      </c>
      <c r="N395" s="4">
        <f t="shared" si="90"/>
        <v>0</v>
      </c>
      <c r="O395" s="4">
        <f t="shared" si="96"/>
        <v>0</v>
      </c>
      <c r="P395" s="10">
        <f t="shared" si="97"/>
        <v>0</v>
      </c>
      <c r="Q395" s="10">
        <f t="shared" si="98"/>
        <v>0</v>
      </c>
      <c r="R395" s="4">
        <f t="shared" si="99"/>
        <v>0</v>
      </c>
      <c r="S395" s="4">
        <f t="shared" si="91"/>
        <v>0</v>
      </c>
      <c r="T395" s="4">
        <f t="shared" si="101"/>
        <v>319.0632459243577</v>
      </c>
      <c r="U395" s="4">
        <f t="shared" si="100"/>
        <v>316.9350027302962</v>
      </c>
      <c r="V395" s="4">
        <f t="shared" si="92"/>
        <v>-2.1282431940615254</v>
      </c>
      <c r="W395" s="4">
        <f t="shared" si="93"/>
        <v>0.14425974250286513</v>
      </c>
    </row>
    <row r="396" spans="2:23" ht="12.75">
      <c r="B396" s="19">
        <v>361</v>
      </c>
      <c r="C396" s="58">
        <v>37251</v>
      </c>
      <c r="D396" s="50">
        <v>0</v>
      </c>
      <c r="E396" s="10">
        <f ca="1" t="shared" si="103" ref="E396:G400">INDIRECT(WeatherSheet&amp;"!"&amp;E765)</f>
        <v>9.8</v>
      </c>
      <c r="F396" s="10">
        <f ca="1" t="shared" si="103"/>
        <v>0.32</v>
      </c>
      <c r="G396" s="10">
        <f ca="1" t="shared" si="103"/>
        <v>3.81</v>
      </c>
      <c r="H396" s="10">
        <f t="shared" si="94"/>
        <v>9.8</v>
      </c>
      <c r="I396" s="10">
        <f>IF((SUM(H$36:H396)&gt;GDD_budbreak),(IF(((E396-10)&gt;0),(E396-10),0)),0)</f>
        <v>0</v>
      </c>
      <c r="J396" s="4">
        <f>IF((B396&lt;LeafDropDay),(SUM(I$36:I396)),0)</f>
        <v>0</v>
      </c>
      <c r="K396" s="4">
        <f t="shared" si="88"/>
        <v>0</v>
      </c>
      <c r="L396" s="4">
        <f t="shared" si="89"/>
        <v>0</v>
      </c>
      <c r="M396" s="4">
        <f t="shared" si="95"/>
        <v>1</v>
      </c>
      <c r="N396" s="4">
        <f t="shared" si="90"/>
        <v>0</v>
      </c>
      <c r="O396" s="4">
        <f t="shared" si="96"/>
        <v>0</v>
      </c>
      <c r="P396" s="10">
        <f t="shared" si="97"/>
        <v>0</v>
      </c>
      <c r="Q396" s="10">
        <f t="shared" si="98"/>
        <v>0</v>
      </c>
      <c r="R396" s="4">
        <f t="shared" si="99"/>
        <v>0</v>
      </c>
      <c r="S396" s="4">
        <f t="shared" si="91"/>
        <v>0</v>
      </c>
      <c r="T396" s="4">
        <f t="shared" si="101"/>
        <v>320.7450027302962</v>
      </c>
      <c r="U396" s="4">
        <f t="shared" si="100"/>
        <v>317.77588113326544</v>
      </c>
      <c r="V396" s="4">
        <f t="shared" si="92"/>
        <v>-2.969121597030778</v>
      </c>
      <c r="W396" s="4">
        <f t="shared" si="93"/>
        <v>0.1420630100854283</v>
      </c>
    </row>
    <row r="397" spans="2:23" ht="12.75">
      <c r="B397" s="19">
        <v>362</v>
      </c>
      <c r="C397" s="58">
        <v>37252</v>
      </c>
      <c r="D397" s="50">
        <v>0</v>
      </c>
      <c r="E397" s="10">
        <f ca="1" t="shared" si="103"/>
        <v>10.1</v>
      </c>
      <c r="F397" s="10">
        <f ca="1" t="shared" si="103"/>
        <v>0</v>
      </c>
      <c r="G397" s="10">
        <f ca="1" t="shared" si="103"/>
        <v>46.74</v>
      </c>
      <c r="H397" s="10">
        <f t="shared" si="94"/>
        <v>10.1</v>
      </c>
      <c r="I397" s="10">
        <f>IF((SUM(H$36:H397)&gt;GDD_budbreak),(IF(((E397-10)&gt;0),(E397-10),0)),0)</f>
        <v>0.09999999999999964</v>
      </c>
      <c r="J397" s="4">
        <f>IF((B397&lt;LeafDropDay),(SUM(I$36:I397)),0)</f>
        <v>0</v>
      </c>
      <c r="K397" s="4">
        <f t="shared" si="88"/>
        <v>0</v>
      </c>
      <c r="L397" s="4">
        <f t="shared" si="89"/>
        <v>0</v>
      </c>
      <c r="M397" s="4">
        <f t="shared" si="95"/>
        <v>1</v>
      </c>
      <c r="N397" s="4">
        <f t="shared" si="90"/>
        <v>0</v>
      </c>
      <c r="O397" s="4">
        <f t="shared" si="96"/>
        <v>0</v>
      </c>
      <c r="P397" s="10">
        <f t="shared" si="97"/>
        <v>0</v>
      </c>
      <c r="Q397" s="10">
        <f t="shared" si="98"/>
        <v>0</v>
      </c>
      <c r="R397" s="4">
        <f t="shared" si="99"/>
        <v>0</v>
      </c>
      <c r="S397" s="4">
        <f t="shared" si="91"/>
        <v>0</v>
      </c>
      <c r="T397" s="4">
        <f t="shared" si="101"/>
        <v>364.51588113326545</v>
      </c>
      <c r="U397" s="4">
        <f t="shared" si="100"/>
        <v>339.66132033475003</v>
      </c>
      <c r="V397" s="4">
        <f t="shared" si="92"/>
        <v>-24.854560798515394</v>
      </c>
      <c r="W397" s="4">
        <f t="shared" si="93"/>
        <v>0.09659800759148009</v>
      </c>
    </row>
    <row r="398" spans="2:23" ht="12.75">
      <c r="B398" s="19">
        <v>363</v>
      </c>
      <c r="C398" s="58">
        <v>37253</v>
      </c>
      <c r="D398" s="50">
        <v>0</v>
      </c>
      <c r="E398" s="10">
        <f ca="1" t="shared" si="103"/>
        <v>11.5</v>
      </c>
      <c r="F398" s="10">
        <f ca="1" t="shared" si="103"/>
        <v>0.13</v>
      </c>
      <c r="G398" s="10">
        <f ca="1" t="shared" si="103"/>
        <v>9.14</v>
      </c>
      <c r="H398" s="10">
        <f t="shared" si="94"/>
        <v>11.5</v>
      </c>
      <c r="I398" s="10">
        <f>IF((SUM(H$36:H398)&gt;GDD_budbreak),(IF(((E398-10)&gt;0),(E398-10),0)),0)</f>
        <v>1.5</v>
      </c>
      <c r="J398" s="4">
        <f>IF((B398&lt;LeafDropDay),(SUM(I$36:I398)),0)</f>
        <v>0</v>
      </c>
      <c r="K398" s="4">
        <f t="shared" si="88"/>
        <v>0</v>
      </c>
      <c r="L398" s="4">
        <f t="shared" si="89"/>
        <v>0</v>
      </c>
      <c r="M398" s="4">
        <f t="shared" si="95"/>
        <v>1</v>
      </c>
      <c r="N398" s="4">
        <f t="shared" si="90"/>
        <v>0</v>
      </c>
      <c r="O398" s="4">
        <f t="shared" si="96"/>
        <v>0</v>
      </c>
      <c r="P398" s="10">
        <f t="shared" si="97"/>
        <v>0</v>
      </c>
      <c r="Q398" s="10">
        <f t="shared" si="98"/>
        <v>0</v>
      </c>
      <c r="R398" s="4">
        <f t="shared" si="99"/>
        <v>0</v>
      </c>
      <c r="S398" s="4">
        <f t="shared" si="91"/>
        <v>0</v>
      </c>
      <c r="T398" s="4">
        <f t="shared" si="101"/>
        <v>348.80132033475</v>
      </c>
      <c r="U398" s="4">
        <f t="shared" si="100"/>
        <v>331.80403993549237</v>
      </c>
      <c r="V398" s="4">
        <f t="shared" si="92"/>
        <v>-16.997280399257676</v>
      </c>
      <c r="W398" s="4">
        <f t="shared" si="93"/>
        <v>0.11061980507941623</v>
      </c>
    </row>
    <row r="399" spans="2:23" ht="12.75">
      <c r="B399" s="19">
        <v>364</v>
      </c>
      <c r="C399" s="58">
        <v>37254</v>
      </c>
      <c r="D399" s="50">
        <v>0</v>
      </c>
      <c r="E399" s="10">
        <f ca="1" t="shared" si="103"/>
        <v>12.8</v>
      </c>
      <c r="F399" s="10">
        <f ca="1" t="shared" si="103"/>
        <v>0</v>
      </c>
      <c r="G399" s="10">
        <f ca="1" t="shared" si="103"/>
        <v>26.92</v>
      </c>
      <c r="H399" s="10">
        <f t="shared" si="94"/>
        <v>12.8</v>
      </c>
      <c r="I399" s="10">
        <f>IF((SUM(H$36:H399)&gt;GDD_budbreak),(IF(((E399-10)&gt;0),(E399-10),0)),0)</f>
        <v>2.8000000000000007</v>
      </c>
      <c r="J399" s="4">
        <f>IF((B399&lt;LeafDropDay),(SUM(I$36:I399)),0)</f>
        <v>0</v>
      </c>
      <c r="K399" s="4">
        <f t="shared" si="88"/>
        <v>0</v>
      </c>
      <c r="L399" s="4">
        <f t="shared" si="89"/>
        <v>0</v>
      </c>
      <c r="M399" s="4">
        <f t="shared" si="95"/>
        <v>1</v>
      </c>
      <c r="N399" s="4">
        <f t="shared" si="90"/>
        <v>0</v>
      </c>
      <c r="O399" s="4">
        <f t="shared" si="96"/>
        <v>0</v>
      </c>
      <c r="P399" s="10">
        <f t="shared" si="97"/>
        <v>0</v>
      </c>
      <c r="Q399" s="10">
        <f t="shared" si="98"/>
        <v>0</v>
      </c>
      <c r="R399" s="4">
        <f t="shared" si="99"/>
        <v>0</v>
      </c>
      <c r="S399" s="4">
        <f t="shared" si="91"/>
        <v>0</v>
      </c>
      <c r="T399" s="4">
        <f t="shared" si="101"/>
        <v>358.7240399354924</v>
      </c>
      <c r="U399" s="4">
        <f t="shared" si="100"/>
        <v>336.7653997358635</v>
      </c>
      <c r="V399" s="4">
        <f t="shared" si="92"/>
        <v>-21.95864019962886</v>
      </c>
      <c r="W399" s="4">
        <f t="shared" si="93"/>
        <v>0.1015087966117238</v>
      </c>
    </row>
    <row r="400" spans="2:23" ht="12.75">
      <c r="B400" s="19">
        <v>365</v>
      </c>
      <c r="C400" s="58">
        <v>37255</v>
      </c>
      <c r="D400" s="50">
        <v>0</v>
      </c>
      <c r="E400" s="10">
        <f ca="1" t="shared" si="103"/>
        <v>13.5</v>
      </c>
      <c r="F400" s="10">
        <f ca="1" t="shared" si="103"/>
        <v>0.18</v>
      </c>
      <c r="G400" s="10">
        <f ca="1" t="shared" si="103"/>
        <v>0.51</v>
      </c>
      <c r="H400" s="10">
        <f t="shared" si="94"/>
        <v>13.5</v>
      </c>
      <c r="I400" s="10">
        <f>IF((SUM(H$36:H400)&gt;GDD_budbreak),(IF(((E400-10)&gt;0),(E400-10),0)),0)</f>
        <v>3.5</v>
      </c>
      <c r="J400" s="4">
        <f>IF((B400&lt;LeafDropDay),(SUM(I$36:I400)),0)</f>
        <v>0</v>
      </c>
      <c r="K400" s="4">
        <f t="shared" si="88"/>
        <v>0</v>
      </c>
      <c r="L400" s="4">
        <f t="shared" si="89"/>
        <v>0</v>
      </c>
      <c r="M400" s="4">
        <f t="shared" si="95"/>
        <v>1</v>
      </c>
      <c r="N400" s="4">
        <f t="shared" si="90"/>
        <v>0</v>
      </c>
      <c r="O400" s="4">
        <f t="shared" si="96"/>
        <v>0</v>
      </c>
      <c r="P400" s="10">
        <f t="shared" si="97"/>
        <v>0</v>
      </c>
      <c r="Q400" s="10">
        <f t="shared" si="98"/>
        <v>0</v>
      </c>
      <c r="R400" s="4">
        <f t="shared" si="99"/>
        <v>0</v>
      </c>
      <c r="S400" s="4">
        <f t="shared" si="91"/>
        <v>0</v>
      </c>
      <c r="T400" s="4">
        <f t="shared" si="101"/>
        <v>337.2753997358635</v>
      </c>
      <c r="U400" s="4">
        <f t="shared" si="100"/>
        <v>326.04107963604906</v>
      </c>
      <c r="V400" s="4">
        <f t="shared" si="92"/>
        <v>-11.234320099814425</v>
      </c>
      <c r="W400" s="4">
        <f t="shared" si="93"/>
        <v>0.12243357181146011</v>
      </c>
    </row>
    <row r="403" ht="12.75">
      <c r="B403" t="s">
        <v>1265</v>
      </c>
    </row>
    <row r="404" spans="2:7" ht="12.75">
      <c r="B404" t="s">
        <v>7</v>
      </c>
      <c r="E404" t="s">
        <v>158</v>
      </c>
      <c r="F404" t="s">
        <v>159</v>
      </c>
      <c r="G404" t="s">
        <v>160</v>
      </c>
    </row>
    <row r="405" spans="2:7" ht="12.75">
      <c r="B405" s="19">
        <v>1</v>
      </c>
      <c r="E405" t="s">
        <v>161</v>
      </c>
      <c r="F405" t="s">
        <v>162</v>
      </c>
      <c r="G405" t="s">
        <v>163</v>
      </c>
    </row>
    <row r="406" spans="2:7" ht="12.75">
      <c r="B406" s="19">
        <v>2</v>
      </c>
      <c r="E406" t="s">
        <v>164</v>
      </c>
      <c r="F406" t="s">
        <v>165</v>
      </c>
      <c r="G406" t="s">
        <v>166</v>
      </c>
    </row>
    <row r="407" spans="2:7" ht="12.75">
      <c r="B407" s="19">
        <v>3</v>
      </c>
      <c r="E407" t="s">
        <v>167</v>
      </c>
      <c r="F407" t="s">
        <v>168</v>
      </c>
      <c r="G407" t="s">
        <v>169</v>
      </c>
    </row>
    <row r="408" spans="2:7" ht="12.75">
      <c r="B408" s="19">
        <v>4</v>
      </c>
      <c r="E408" t="s">
        <v>170</v>
      </c>
      <c r="F408" t="s">
        <v>171</v>
      </c>
      <c r="G408" t="s">
        <v>172</v>
      </c>
    </row>
    <row r="409" spans="2:7" ht="12.75">
      <c r="B409" s="19">
        <v>5</v>
      </c>
      <c r="E409" t="s">
        <v>173</v>
      </c>
      <c r="F409" t="s">
        <v>174</v>
      </c>
      <c r="G409" t="s">
        <v>175</v>
      </c>
    </row>
    <row r="410" spans="2:7" ht="12.75">
      <c r="B410" s="19">
        <v>6</v>
      </c>
      <c r="E410" t="s">
        <v>176</v>
      </c>
      <c r="F410" t="s">
        <v>177</v>
      </c>
      <c r="G410" t="s">
        <v>178</v>
      </c>
    </row>
    <row r="411" spans="2:7" ht="12.75">
      <c r="B411" s="19">
        <v>7</v>
      </c>
      <c r="E411" t="s">
        <v>179</v>
      </c>
      <c r="F411" t="s">
        <v>180</v>
      </c>
      <c r="G411" t="s">
        <v>181</v>
      </c>
    </row>
    <row r="412" spans="2:7" ht="12.75">
      <c r="B412" s="19">
        <v>8</v>
      </c>
      <c r="E412" t="s">
        <v>182</v>
      </c>
      <c r="F412" t="s">
        <v>183</v>
      </c>
      <c r="G412" t="s">
        <v>184</v>
      </c>
    </row>
    <row r="413" spans="2:7" ht="12.75">
      <c r="B413" s="19">
        <v>9</v>
      </c>
      <c r="E413" t="s">
        <v>185</v>
      </c>
      <c r="F413" t="s">
        <v>186</v>
      </c>
      <c r="G413" t="s">
        <v>187</v>
      </c>
    </row>
    <row r="414" spans="2:7" ht="12.75">
      <c r="B414" s="19">
        <v>10</v>
      </c>
      <c r="E414" t="s">
        <v>188</v>
      </c>
      <c r="F414" t="s">
        <v>189</v>
      </c>
      <c r="G414" t="s">
        <v>190</v>
      </c>
    </row>
    <row r="415" spans="2:7" ht="12.75">
      <c r="B415" s="19">
        <v>11</v>
      </c>
      <c r="E415" t="s">
        <v>191</v>
      </c>
      <c r="F415" t="s">
        <v>192</v>
      </c>
      <c r="G415" t="s">
        <v>193</v>
      </c>
    </row>
    <row r="416" spans="2:7" ht="12.75">
      <c r="B416" s="19">
        <v>12</v>
      </c>
      <c r="E416" t="s">
        <v>194</v>
      </c>
      <c r="F416" t="s">
        <v>195</v>
      </c>
      <c r="G416" t="s">
        <v>196</v>
      </c>
    </row>
    <row r="417" spans="2:7" ht="12.75">
      <c r="B417" s="19">
        <v>13</v>
      </c>
      <c r="E417" t="s">
        <v>197</v>
      </c>
      <c r="F417" t="s">
        <v>198</v>
      </c>
      <c r="G417" t="s">
        <v>199</v>
      </c>
    </row>
    <row r="418" spans="2:7" ht="12.75">
      <c r="B418" s="19">
        <v>14</v>
      </c>
      <c r="E418" t="s">
        <v>200</v>
      </c>
      <c r="F418" t="s">
        <v>201</v>
      </c>
      <c r="G418" t="s">
        <v>202</v>
      </c>
    </row>
    <row r="419" spans="2:7" ht="12.75">
      <c r="B419" s="19">
        <v>15</v>
      </c>
      <c r="E419" t="s">
        <v>203</v>
      </c>
      <c r="F419" t="s">
        <v>204</v>
      </c>
      <c r="G419" t="s">
        <v>205</v>
      </c>
    </row>
    <row r="420" spans="2:7" ht="12.75">
      <c r="B420" s="19">
        <v>16</v>
      </c>
      <c r="E420" t="s">
        <v>206</v>
      </c>
      <c r="F420" t="s">
        <v>207</v>
      </c>
      <c r="G420" t="s">
        <v>208</v>
      </c>
    </row>
    <row r="421" spans="2:7" ht="12.75">
      <c r="B421" s="19">
        <v>17</v>
      </c>
      <c r="E421" t="s">
        <v>209</v>
      </c>
      <c r="F421" t="s">
        <v>210</v>
      </c>
      <c r="G421" t="s">
        <v>211</v>
      </c>
    </row>
    <row r="422" spans="2:7" ht="12.75">
      <c r="B422" s="19">
        <v>18</v>
      </c>
      <c r="E422" t="s">
        <v>212</v>
      </c>
      <c r="F422" t="s">
        <v>213</v>
      </c>
      <c r="G422" t="s">
        <v>214</v>
      </c>
    </row>
    <row r="423" spans="2:7" ht="12.75">
      <c r="B423" s="19">
        <v>19</v>
      </c>
      <c r="E423" t="s">
        <v>215</v>
      </c>
      <c r="F423" t="s">
        <v>216</v>
      </c>
      <c r="G423" t="s">
        <v>217</v>
      </c>
    </row>
    <row r="424" spans="2:7" ht="12.75">
      <c r="B424" s="19">
        <v>20</v>
      </c>
      <c r="E424" t="s">
        <v>218</v>
      </c>
      <c r="F424" t="s">
        <v>219</v>
      </c>
      <c r="G424" t="s">
        <v>220</v>
      </c>
    </row>
    <row r="425" spans="2:7" ht="12.75">
      <c r="B425" s="19">
        <v>21</v>
      </c>
      <c r="E425" t="s">
        <v>221</v>
      </c>
      <c r="F425" t="s">
        <v>222</v>
      </c>
      <c r="G425" t="s">
        <v>223</v>
      </c>
    </row>
    <row r="426" spans="2:7" ht="12.75">
      <c r="B426" s="19">
        <v>22</v>
      </c>
      <c r="E426" t="s">
        <v>224</v>
      </c>
      <c r="F426" t="s">
        <v>225</v>
      </c>
      <c r="G426" t="s">
        <v>226</v>
      </c>
    </row>
    <row r="427" spans="2:7" ht="12.75">
      <c r="B427" s="19">
        <v>23</v>
      </c>
      <c r="E427" t="s">
        <v>227</v>
      </c>
      <c r="F427" t="s">
        <v>228</v>
      </c>
      <c r="G427" t="s">
        <v>229</v>
      </c>
    </row>
    <row r="428" spans="2:7" ht="12.75">
      <c r="B428" s="19">
        <v>24</v>
      </c>
      <c r="E428" t="s">
        <v>230</v>
      </c>
      <c r="F428" t="s">
        <v>231</v>
      </c>
      <c r="G428" t="s">
        <v>232</v>
      </c>
    </row>
    <row r="429" spans="2:7" ht="12.75">
      <c r="B429" s="19">
        <v>25</v>
      </c>
      <c r="E429" t="s">
        <v>233</v>
      </c>
      <c r="F429" t="s">
        <v>234</v>
      </c>
      <c r="G429" t="s">
        <v>235</v>
      </c>
    </row>
    <row r="430" spans="2:7" ht="12.75">
      <c r="B430" s="19">
        <v>26</v>
      </c>
      <c r="E430" t="s">
        <v>236</v>
      </c>
      <c r="F430" t="s">
        <v>237</v>
      </c>
      <c r="G430" t="s">
        <v>238</v>
      </c>
    </row>
    <row r="431" spans="2:7" ht="12.75">
      <c r="B431" s="19">
        <v>27</v>
      </c>
      <c r="E431" t="s">
        <v>239</v>
      </c>
      <c r="F431" t="s">
        <v>240</v>
      </c>
      <c r="G431" t="s">
        <v>241</v>
      </c>
    </row>
    <row r="432" spans="2:7" ht="12.75">
      <c r="B432" s="19">
        <v>28</v>
      </c>
      <c r="E432" t="s">
        <v>242</v>
      </c>
      <c r="F432" t="s">
        <v>243</v>
      </c>
      <c r="G432" t="s">
        <v>244</v>
      </c>
    </row>
    <row r="433" spans="2:7" ht="12.75">
      <c r="B433" s="19">
        <v>29</v>
      </c>
      <c r="E433" t="s">
        <v>245</v>
      </c>
      <c r="F433" t="s">
        <v>246</v>
      </c>
      <c r="G433" t="s">
        <v>247</v>
      </c>
    </row>
    <row r="434" spans="2:7" ht="12.75">
      <c r="B434" s="19">
        <v>30</v>
      </c>
      <c r="E434" t="s">
        <v>248</v>
      </c>
      <c r="F434" t="s">
        <v>249</v>
      </c>
      <c r="G434" t="s">
        <v>250</v>
      </c>
    </row>
    <row r="435" spans="2:7" ht="12.75">
      <c r="B435" s="19">
        <v>31</v>
      </c>
      <c r="E435" t="s">
        <v>251</v>
      </c>
      <c r="F435" t="s">
        <v>252</v>
      </c>
      <c r="G435" t="s">
        <v>253</v>
      </c>
    </row>
    <row r="436" spans="2:7" ht="12.75">
      <c r="B436" s="19">
        <v>32</v>
      </c>
      <c r="E436" t="s">
        <v>254</v>
      </c>
      <c r="F436" t="s">
        <v>255</v>
      </c>
      <c r="G436" t="s">
        <v>256</v>
      </c>
    </row>
    <row r="437" spans="2:7" ht="12.75">
      <c r="B437" s="19">
        <v>33</v>
      </c>
      <c r="E437" t="s">
        <v>257</v>
      </c>
      <c r="F437" t="s">
        <v>258</v>
      </c>
      <c r="G437" t="s">
        <v>259</v>
      </c>
    </row>
    <row r="438" spans="2:7" ht="12.75">
      <c r="B438" s="19">
        <v>34</v>
      </c>
      <c r="E438" t="s">
        <v>260</v>
      </c>
      <c r="F438" t="s">
        <v>261</v>
      </c>
      <c r="G438" t="s">
        <v>262</v>
      </c>
    </row>
    <row r="439" spans="2:7" ht="12.75">
      <c r="B439" s="19">
        <v>35</v>
      </c>
      <c r="E439" t="s">
        <v>263</v>
      </c>
      <c r="F439" t="s">
        <v>264</v>
      </c>
      <c r="G439" t="s">
        <v>265</v>
      </c>
    </row>
    <row r="440" spans="2:7" ht="12.75">
      <c r="B440" s="19">
        <v>36</v>
      </c>
      <c r="E440" t="s">
        <v>266</v>
      </c>
      <c r="F440" t="s">
        <v>267</v>
      </c>
      <c r="G440" t="s">
        <v>268</v>
      </c>
    </row>
    <row r="441" spans="2:7" ht="12.75">
      <c r="B441" s="19">
        <v>37</v>
      </c>
      <c r="E441" t="s">
        <v>269</v>
      </c>
      <c r="F441" t="s">
        <v>270</v>
      </c>
      <c r="G441" t="s">
        <v>271</v>
      </c>
    </row>
    <row r="442" spans="2:7" ht="12.75">
      <c r="B442" s="19">
        <v>38</v>
      </c>
      <c r="E442" t="s">
        <v>272</v>
      </c>
      <c r="F442" t="s">
        <v>273</v>
      </c>
      <c r="G442" t="s">
        <v>274</v>
      </c>
    </row>
    <row r="443" spans="2:7" ht="12.75">
      <c r="B443" s="19">
        <v>39</v>
      </c>
      <c r="E443" t="s">
        <v>275</v>
      </c>
      <c r="F443" t="s">
        <v>276</v>
      </c>
      <c r="G443" t="s">
        <v>277</v>
      </c>
    </row>
    <row r="444" spans="2:7" ht="12.75">
      <c r="B444" s="19">
        <v>40</v>
      </c>
      <c r="E444" t="s">
        <v>278</v>
      </c>
      <c r="F444" t="s">
        <v>279</v>
      </c>
      <c r="G444" t="s">
        <v>280</v>
      </c>
    </row>
    <row r="445" spans="2:7" ht="12.75">
      <c r="B445" s="19">
        <v>41</v>
      </c>
      <c r="E445" t="s">
        <v>281</v>
      </c>
      <c r="F445" t="s">
        <v>282</v>
      </c>
      <c r="G445" t="s">
        <v>283</v>
      </c>
    </row>
    <row r="446" spans="2:7" ht="12.75">
      <c r="B446" s="19">
        <v>42</v>
      </c>
      <c r="E446" t="s">
        <v>284</v>
      </c>
      <c r="F446" t="s">
        <v>285</v>
      </c>
      <c r="G446" t="s">
        <v>286</v>
      </c>
    </row>
    <row r="447" spans="2:7" ht="12.75">
      <c r="B447" s="19">
        <v>43</v>
      </c>
      <c r="E447" t="s">
        <v>287</v>
      </c>
      <c r="F447" t="s">
        <v>288</v>
      </c>
      <c r="G447" t="s">
        <v>289</v>
      </c>
    </row>
    <row r="448" spans="2:7" ht="12.75">
      <c r="B448" s="19">
        <v>44</v>
      </c>
      <c r="E448" t="s">
        <v>290</v>
      </c>
      <c r="F448" t="s">
        <v>291</v>
      </c>
      <c r="G448" t="s">
        <v>292</v>
      </c>
    </row>
    <row r="449" spans="2:7" ht="12.75">
      <c r="B449" s="19">
        <v>45</v>
      </c>
      <c r="E449" t="s">
        <v>293</v>
      </c>
      <c r="F449" t="s">
        <v>294</v>
      </c>
      <c r="G449" t="s">
        <v>295</v>
      </c>
    </row>
    <row r="450" spans="2:7" ht="12.75">
      <c r="B450" s="19">
        <v>46</v>
      </c>
      <c r="E450" t="s">
        <v>296</v>
      </c>
      <c r="F450" t="s">
        <v>297</v>
      </c>
      <c r="G450" t="s">
        <v>298</v>
      </c>
    </row>
    <row r="451" spans="2:7" ht="12.75">
      <c r="B451" s="19">
        <v>47</v>
      </c>
      <c r="E451" t="s">
        <v>299</v>
      </c>
      <c r="F451" t="s">
        <v>300</v>
      </c>
      <c r="G451" t="s">
        <v>301</v>
      </c>
    </row>
    <row r="452" spans="2:7" ht="12.75">
      <c r="B452" s="19">
        <v>48</v>
      </c>
      <c r="E452" t="s">
        <v>302</v>
      </c>
      <c r="F452" t="s">
        <v>303</v>
      </c>
      <c r="G452" t="s">
        <v>304</v>
      </c>
    </row>
    <row r="453" spans="2:7" ht="12.75">
      <c r="B453" s="19">
        <v>49</v>
      </c>
      <c r="E453" t="s">
        <v>305</v>
      </c>
      <c r="F453" t="s">
        <v>306</v>
      </c>
      <c r="G453" t="s">
        <v>307</v>
      </c>
    </row>
    <row r="454" spans="2:7" ht="12.75">
      <c r="B454" s="19">
        <v>50</v>
      </c>
      <c r="E454" t="s">
        <v>308</v>
      </c>
      <c r="F454" t="s">
        <v>309</v>
      </c>
      <c r="G454" t="s">
        <v>310</v>
      </c>
    </row>
    <row r="455" spans="2:7" ht="12.75">
      <c r="B455" s="19">
        <v>51</v>
      </c>
      <c r="E455" t="s">
        <v>311</v>
      </c>
      <c r="F455" t="s">
        <v>312</v>
      </c>
      <c r="G455" t="s">
        <v>313</v>
      </c>
    </row>
    <row r="456" spans="2:7" ht="12.75">
      <c r="B456" s="19">
        <v>52</v>
      </c>
      <c r="E456" t="s">
        <v>314</v>
      </c>
      <c r="F456" t="s">
        <v>315</v>
      </c>
      <c r="G456" t="s">
        <v>316</v>
      </c>
    </row>
    <row r="457" spans="2:7" ht="12.75">
      <c r="B457" s="19">
        <v>53</v>
      </c>
      <c r="E457" t="s">
        <v>317</v>
      </c>
      <c r="F457" t="s">
        <v>318</v>
      </c>
      <c r="G457" t="s">
        <v>319</v>
      </c>
    </row>
    <row r="458" spans="2:7" ht="12.75">
      <c r="B458" s="19">
        <v>54</v>
      </c>
      <c r="E458" t="s">
        <v>320</v>
      </c>
      <c r="F458" t="s">
        <v>321</v>
      </c>
      <c r="G458" t="s">
        <v>322</v>
      </c>
    </row>
    <row r="459" spans="2:7" ht="12.75">
      <c r="B459" s="19">
        <v>55</v>
      </c>
      <c r="E459" t="s">
        <v>323</v>
      </c>
      <c r="F459" t="s">
        <v>324</v>
      </c>
      <c r="G459" t="s">
        <v>325</v>
      </c>
    </row>
    <row r="460" spans="2:7" ht="12.75">
      <c r="B460" s="19">
        <v>56</v>
      </c>
      <c r="E460" t="s">
        <v>326</v>
      </c>
      <c r="F460" t="s">
        <v>327</v>
      </c>
      <c r="G460" t="s">
        <v>328</v>
      </c>
    </row>
    <row r="461" spans="2:7" ht="12.75">
      <c r="B461" s="19">
        <v>57</v>
      </c>
      <c r="E461" t="s">
        <v>329</v>
      </c>
      <c r="F461" t="s">
        <v>330</v>
      </c>
      <c r="G461" t="s">
        <v>331</v>
      </c>
    </row>
    <row r="462" spans="2:7" ht="12.75">
      <c r="B462" s="19">
        <v>58</v>
      </c>
      <c r="E462" t="s">
        <v>332</v>
      </c>
      <c r="F462" t="s">
        <v>333</v>
      </c>
      <c r="G462" t="s">
        <v>334</v>
      </c>
    </row>
    <row r="463" spans="2:7" ht="12.75">
      <c r="B463" s="19">
        <v>59</v>
      </c>
      <c r="E463" t="s">
        <v>335</v>
      </c>
      <c r="F463" t="s">
        <v>336</v>
      </c>
      <c r="G463" t="s">
        <v>337</v>
      </c>
    </row>
    <row r="464" spans="2:7" ht="12.75">
      <c r="B464" s="19">
        <v>60</v>
      </c>
      <c r="E464" t="s">
        <v>338</v>
      </c>
      <c r="F464" t="s">
        <v>339</v>
      </c>
      <c r="G464" t="s">
        <v>340</v>
      </c>
    </row>
    <row r="465" spans="2:7" ht="12.75">
      <c r="B465" s="19">
        <v>61</v>
      </c>
      <c r="E465" t="s">
        <v>341</v>
      </c>
      <c r="F465" t="s">
        <v>342</v>
      </c>
      <c r="G465" t="s">
        <v>343</v>
      </c>
    </row>
    <row r="466" spans="2:7" ht="12.75">
      <c r="B466" s="19">
        <v>62</v>
      </c>
      <c r="E466" t="s">
        <v>344</v>
      </c>
      <c r="F466" t="s">
        <v>345</v>
      </c>
      <c r="G466" t="s">
        <v>346</v>
      </c>
    </row>
    <row r="467" spans="2:7" ht="12.75">
      <c r="B467" s="19">
        <v>63</v>
      </c>
      <c r="E467" t="s">
        <v>347</v>
      </c>
      <c r="F467" t="s">
        <v>348</v>
      </c>
      <c r="G467" t="s">
        <v>349</v>
      </c>
    </row>
    <row r="468" spans="2:7" ht="12.75">
      <c r="B468" s="19">
        <v>64</v>
      </c>
      <c r="E468" t="s">
        <v>350</v>
      </c>
      <c r="F468" t="s">
        <v>351</v>
      </c>
      <c r="G468" t="s">
        <v>352</v>
      </c>
    </row>
    <row r="469" spans="2:7" ht="12.75">
      <c r="B469" s="19">
        <v>65</v>
      </c>
      <c r="E469" t="s">
        <v>353</v>
      </c>
      <c r="F469" t="s">
        <v>354</v>
      </c>
      <c r="G469" t="s">
        <v>355</v>
      </c>
    </row>
    <row r="470" spans="2:7" ht="12.75">
      <c r="B470" s="19">
        <v>66</v>
      </c>
      <c r="E470" t="s">
        <v>356</v>
      </c>
      <c r="F470" t="s">
        <v>357</v>
      </c>
      <c r="G470" t="s">
        <v>358</v>
      </c>
    </row>
    <row r="471" spans="2:7" ht="12.75">
      <c r="B471" s="19">
        <v>67</v>
      </c>
      <c r="E471" t="s">
        <v>359</v>
      </c>
      <c r="F471" t="s">
        <v>360</v>
      </c>
      <c r="G471" t="s">
        <v>361</v>
      </c>
    </row>
    <row r="472" spans="2:7" ht="12.75">
      <c r="B472" s="19">
        <v>68</v>
      </c>
      <c r="E472" t="s">
        <v>362</v>
      </c>
      <c r="F472" t="s">
        <v>363</v>
      </c>
      <c r="G472" t="s">
        <v>364</v>
      </c>
    </row>
    <row r="473" spans="2:7" ht="12.75">
      <c r="B473" s="19">
        <v>69</v>
      </c>
      <c r="E473" t="s">
        <v>365</v>
      </c>
      <c r="F473" t="s">
        <v>366</v>
      </c>
      <c r="G473" t="s">
        <v>367</v>
      </c>
    </row>
    <row r="474" spans="2:7" ht="12.75">
      <c r="B474" s="19">
        <v>70</v>
      </c>
      <c r="E474" t="s">
        <v>368</v>
      </c>
      <c r="F474" t="s">
        <v>369</v>
      </c>
      <c r="G474" t="s">
        <v>370</v>
      </c>
    </row>
    <row r="475" spans="2:7" ht="12.75">
      <c r="B475" s="19">
        <v>71</v>
      </c>
      <c r="E475" t="s">
        <v>371</v>
      </c>
      <c r="F475" t="s">
        <v>372</v>
      </c>
      <c r="G475" t="s">
        <v>373</v>
      </c>
    </row>
    <row r="476" spans="2:7" ht="12.75">
      <c r="B476" s="19">
        <v>72</v>
      </c>
      <c r="E476" t="s">
        <v>374</v>
      </c>
      <c r="F476" t="s">
        <v>375</v>
      </c>
      <c r="G476" t="s">
        <v>376</v>
      </c>
    </row>
    <row r="477" spans="2:7" ht="12.75">
      <c r="B477" s="19">
        <v>73</v>
      </c>
      <c r="E477" t="s">
        <v>377</v>
      </c>
      <c r="F477" t="s">
        <v>378</v>
      </c>
      <c r="G477" t="s">
        <v>379</v>
      </c>
    </row>
    <row r="478" spans="2:7" ht="12.75">
      <c r="B478" s="19">
        <v>74</v>
      </c>
      <c r="E478" t="s">
        <v>380</v>
      </c>
      <c r="F478" t="s">
        <v>381</v>
      </c>
      <c r="G478" t="s">
        <v>382</v>
      </c>
    </row>
    <row r="479" spans="2:7" ht="12.75">
      <c r="B479" s="19">
        <v>75</v>
      </c>
      <c r="E479" t="s">
        <v>383</v>
      </c>
      <c r="F479" t="s">
        <v>384</v>
      </c>
      <c r="G479" t="s">
        <v>385</v>
      </c>
    </row>
    <row r="480" spans="2:7" ht="12.75">
      <c r="B480" s="19">
        <v>76</v>
      </c>
      <c r="E480" t="s">
        <v>386</v>
      </c>
      <c r="F480" t="s">
        <v>387</v>
      </c>
      <c r="G480" t="s">
        <v>388</v>
      </c>
    </row>
    <row r="481" spans="2:7" ht="12.75">
      <c r="B481" s="19">
        <v>77</v>
      </c>
      <c r="E481" t="s">
        <v>389</v>
      </c>
      <c r="F481" t="s">
        <v>390</v>
      </c>
      <c r="G481" t="s">
        <v>391</v>
      </c>
    </row>
    <row r="482" spans="2:7" ht="12.75">
      <c r="B482" s="19">
        <v>78</v>
      </c>
      <c r="E482" t="s">
        <v>392</v>
      </c>
      <c r="F482" t="s">
        <v>393</v>
      </c>
      <c r="G482" t="s">
        <v>394</v>
      </c>
    </row>
    <row r="483" spans="2:7" ht="12.75">
      <c r="B483" s="19">
        <v>79</v>
      </c>
      <c r="E483" t="s">
        <v>395</v>
      </c>
      <c r="F483" t="s">
        <v>396</v>
      </c>
      <c r="G483" t="s">
        <v>397</v>
      </c>
    </row>
    <row r="484" spans="2:7" ht="12.75">
      <c r="B484" s="19">
        <v>80</v>
      </c>
      <c r="E484" t="s">
        <v>398</v>
      </c>
      <c r="F484" t="s">
        <v>399</v>
      </c>
      <c r="G484" t="s">
        <v>400</v>
      </c>
    </row>
    <row r="485" spans="2:7" ht="12.75">
      <c r="B485" s="19">
        <v>81</v>
      </c>
      <c r="E485" t="s">
        <v>401</v>
      </c>
      <c r="F485" t="s">
        <v>402</v>
      </c>
      <c r="G485" t="s">
        <v>403</v>
      </c>
    </row>
    <row r="486" spans="2:7" ht="12.75">
      <c r="B486" s="19">
        <v>82</v>
      </c>
      <c r="E486" t="s">
        <v>404</v>
      </c>
      <c r="F486" t="s">
        <v>405</v>
      </c>
      <c r="G486" t="s">
        <v>406</v>
      </c>
    </row>
    <row r="487" spans="2:7" ht="12.75">
      <c r="B487" s="19">
        <v>83</v>
      </c>
      <c r="E487" t="s">
        <v>407</v>
      </c>
      <c r="F487" t="s">
        <v>408</v>
      </c>
      <c r="G487" t="s">
        <v>409</v>
      </c>
    </row>
    <row r="488" spans="2:7" ht="12.75">
      <c r="B488" s="19">
        <v>84</v>
      </c>
      <c r="E488" t="s">
        <v>410</v>
      </c>
      <c r="F488" t="s">
        <v>411</v>
      </c>
      <c r="G488" t="s">
        <v>412</v>
      </c>
    </row>
    <row r="489" spans="2:7" ht="12.75">
      <c r="B489" s="19">
        <v>85</v>
      </c>
      <c r="E489" t="s">
        <v>413</v>
      </c>
      <c r="F489" t="s">
        <v>414</v>
      </c>
      <c r="G489" t="s">
        <v>415</v>
      </c>
    </row>
    <row r="490" spans="2:7" ht="12.75">
      <c r="B490" s="19">
        <v>86</v>
      </c>
      <c r="E490" t="s">
        <v>416</v>
      </c>
      <c r="F490" t="s">
        <v>417</v>
      </c>
      <c r="G490" t="s">
        <v>418</v>
      </c>
    </row>
    <row r="491" spans="2:7" ht="12.75">
      <c r="B491" s="19">
        <v>87</v>
      </c>
      <c r="E491" t="s">
        <v>419</v>
      </c>
      <c r="F491" t="s">
        <v>420</v>
      </c>
      <c r="G491" t="s">
        <v>421</v>
      </c>
    </row>
    <row r="492" spans="2:7" ht="12.75">
      <c r="B492" s="19">
        <v>88</v>
      </c>
      <c r="E492" t="s">
        <v>422</v>
      </c>
      <c r="F492" t="s">
        <v>423</v>
      </c>
      <c r="G492" t="s">
        <v>424</v>
      </c>
    </row>
    <row r="493" spans="2:7" ht="12.75">
      <c r="B493" s="19">
        <v>89</v>
      </c>
      <c r="E493" t="s">
        <v>425</v>
      </c>
      <c r="F493" t="s">
        <v>426</v>
      </c>
      <c r="G493" t="s">
        <v>427</v>
      </c>
    </row>
    <row r="494" spans="2:7" ht="12.75">
      <c r="B494" s="19">
        <v>90</v>
      </c>
      <c r="E494" t="s">
        <v>428</v>
      </c>
      <c r="F494" t="s">
        <v>429</v>
      </c>
      <c r="G494" t="s">
        <v>430</v>
      </c>
    </row>
    <row r="495" spans="2:7" ht="12.75">
      <c r="B495" s="19">
        <v>91</v>
      </c>
      <c r="E495" t="s">
        <v>431</v>
      </c>
      <c r="F495" t="s">
        <v>432</v>
      </c>
      <c r="G495" t="s">
        <v>433</v>
      </c>
    </row>
    <row r="496" spans="2:7" ht="12.75">
      <c r="B496" s="19">
        <v>92</v>
      </c>
      <c r="E496" t="s">
        <v>434</v>
      </c>
      <c r="F496" t="s">
        <v>435</v>
      </c>
      <c r="G496" t="s">
        <v>436</v>
      </c>
    </row>
    <row r="497" spans="2:7" ht="12.75">
      <c r="B497" s="19">
        <v>93</v>
      </c>
      <c r="E497" t="s">
        <v>437</v>
      </c>
      <c r="F497" t="s">
        <v>438</v>
      </c>
      <c r="G497" t="s">
        <v>439</v>
      </c>
    </row>
    <row r="498" spans="2:7" ht="12.75">
      <c r="B498" s="19">
        <v>94</v>
      </c>
      <c r="E498" t="s">
        <v>440</v>
      </c>
      <c r="F498" t="s">
        <v>441</v>
      </c>
      <c r="G498" t="s">
        <v>442</v>
      </c>
    </row>
    <row r="499" spans="2:7" ht="12.75">
      <c r="B499" s="19">
        <v>95</v>
      </c>
      <c r="E499" t="s">
        <v>443</v>
      </c>
      <c r="F499" t="s">
        <v>444</v>
      </c>
      <c r="G499" t="s">
        <v>445</v>
      </c>
    </row>
    <row r="500" spans="2:7" ht="12.75">
      <c r="B500" s="19">
        <v>96</v>
      </c>
      <c r="E500" t="s">
        <v>446</v>
      </c>
      <c r="F500" t="s">
        <v>447</v>
      </c>
      <c r="G500" t="s">
        <v>448</v>
      </c>
    </row>
    <row r="501" spans="2:7" ht="12.75">
      <c r="B501" s="19">
        <v>97</v>
      </c>
      <c r="E501" t="s">
        <v>449</v>
      </c>
      <c r="F501" t="s">
        <v>450</v>
      </c>
      <c r="G501" t="s">
        <v>451</v>
      </c>
    </row>
    <row r="502" spans="2:7" ht="12.75">
      <c r="B502" s="19">
        <v>98</v>
      </c>
      <c r="E502" t="s">
        <v>452</v>
      </c>
      <c r="F502" t="s">
        <v>453</v>
      </c>
      <c r="G502" t="s">
        <v>454</v>
      </c>
    </row>
    <row r="503" spans="2:7" ht="12.75">
      <c r="B503" s="19">
        <v>99</v>
      </c>
      <c r="E503" t="s">
        <v>455</v>
      </c>
      <c r="F503" t="s">
        <v>456</v>
      </c>
      <c r="G503" t="s">
        <v>457</v>
      </c>
    </row>
    <row r="504" spans="2:7" ht="12.75">
      <c r="B504" s="19">
        <v>100</v>
      </c>
      <c r="E504" t="s">
        <v>458</v>
      </c>
      <c r="F504" t="s">
        <v>459</v>
      </c>
      <c r="G504" t="s">
        <v>460</v>
      </c>
    </row>
    <row r="505" spans="2:7" ht="12.75">
      <c r="B505" s="19">
        <v>101</v>
      </c>
      <c r="E505" t="s">
        <v>461</v>
      </c>
      <c r="F505" t="s">
        <v>462</v>
      </c>
      <c r="G505" t="s">
        <v>463</v>
      </c>
    </row>
    <row r="506" spans="2:7" ht="12.75">
      <c r="B506" s="19">
        <v>102</v>
      </c>
      <c r="E506" t="s">
        <v>464</v>
      </c>
      <c r="F506" t="s">
        <v>465</v>
      </c>
      <c r="G506" t="s">
        <v>466</v>
      </c>
    </row>
    <row r="507" spans="2:7" ht="12.75">
      <c r="B507" s="19">
        <v>103</v>
      </c>
      <c r="E507" t="s">
        <v>467</v>
      </c>
      <c r="F507" t="s">
        <v>468</v>
      </c>
      <c r="G507" t="s">
        <v>469</v>
      </c>
    </row>
    <row r="508" spans="2:7" ht="12.75">
      <c r="B508" s="19">
        <v>104</v>
      </c>
      <c r="E508" t="s">
        <v>470</v>
      </c>
      <c r="F508" t="s">
        <v>471</v>
      </c>
      <c r="G508" t="s">
        <v>472</v>
      </c>
    </row>
    <row r="509" spans="2:7" ht="12.75">
      <c r="B509" s="19">
        <v>105</v>
      </c>
      <c r="E509" t="s">
        <v>473</v>
      </c>
      <c r="F509" t="s">
        <v>474</v>
      </c>
      <c r="G509" t="s">
        <v>475</v>
      </c>
    </row>
    <row r="510" spans="2:7" ht="12.75">
      <c r="B510" s="19">
        <v>106</v>
      </c>
      <c r="E510" t="s">
        <v>476</v>
      </c>
      <c r="F510" t="s">
        <v>477</v>
      </c>
      <c r="G510" t="s">
        <v>478</v>
      </c>
    </row>
    <row r="511" spans="2:7" ht="12.75">
      <c r="B511" s="19">
        <v>107</v>
      </c>
      <c r="E511" t="s">
        <v>479</v>
      </c>
      <c r="F511" t="s">
        <v>480</v>
      </c>
      <c r="G511" t="s">
        <v>481</v>
      </c>
    </row>
    <row r="512" spans="2:7" ht="12.75">
      <c r="B512" s="19">
        <v>108</v>
      </c>
      <c r="E512" t="s">
        <v>482</v>
      </c>
      <c r="F512" t="s">
        <v>483</v>
      </c>
      <c r="G512" t="s">
        <v>484</v>
      </c>
    </row>
    <row r="513" spans="2:7" ht="12.75">
      <c r="B513" s="19">
        <v>109</v>
      </c>
      <c r="E513" t="s">
        <v>485</v>
      </c>
      <c r="F513" t="s">
        <v>486</v>
      </c>
      <c r="G513" t="s">
        <v>487</v>
      </c>
    </row>
    <row r="514" spans="2:7" ht="12.75">
      <c r="B514" s="19">
        <v>110</v>
      </c>
      <c r="E514" t="s">
        <v>488</v>
      </c>
      <c r="F514" t="s">
        <v>489</v>
      </c>
      <c r="G514" t="s">
        <v>490</v>
      </c>
    </row>
    <row r="515" spans="2:7" ht="12.75">
      <c r="B515" s="19">
        <v>111</v>
      </c>
      <c r="E515" t="s">
        <v>491</v>
      </c>
      <c r="F515" t="s">
        <v>492</v>
      </c>
      <c r="G515" t="s">
        <v>493</v>
      </c>
    </row>
    <row r="516" spans="2:7" ht="12.75">
      <c r="B516" s="19">
        <v>112</v>
      </c>
      <c r="E516" t="s">
        <v>494</v>
      </c>
      <c r="F516" t="s">
        <v>495</v>
      </c>
      <c r="G516" t="s">
        <v>496</v>
      </c>
    </row>
    <row r="517" spans="2:7" ht="12.75">
      <c r="B517" s="19">
        <v>113</v>
      </c>
      <c r="E517" t="s">
        <v>497</v>
      </c>
      <c r="F517" t="s">
        <v>498</v>
      </c>
      <c r="G517" t="s">
        <v>499</v>
      </c>
    </row>
    <row r="518" spans="2:7" ht="12.75">
      <c r="B518" s="19">
        <v>114</v>
      </c>
      <c r="E518" t="s">
        <v>500</v>
      </c>
      <c r="F518" t="s">
        <v>501</v>
      </c>
      <c r="G518" t="s">
        <v>502</v>
      </c>
    </row>
    <row r="519" spans="2:7" ht="12.75">
      <c r="B519" s="19">
        <v>115</v>
      </c>
      <c r="E519" t="s">
        <v>503</v>
      </c>
      <c r="F519" t="s">
        <v>504</v>
      </c>
      <c r="G519" t="s">
        <v>505</v>
      </c>
    </row>
    <row r="520" spans="2:7" ht="12.75">
      <c r="B520" s="19">
        <v>116</v>
      </c>
      <c r="E520" t="s">
        <v>506</v>
      </c>
      <c r="F520" t="s">
        <v>507</v>
      </c>
      <c r="G520" t="s">
        <v>508</v>
      </c>
    </row>
    <row r="521" spans="2:7" ht="12.75">
      <c r="B521" s="19">
        <v>117</v>
      </c>
      <c r="E521" t="s">
        <v>509</v>
      </c>
      <c r="F521" t="s">
        <v>510</v>
      </c>
      <c r="G521" t="s">
        <v>511</v>
      </c>
    </row>
    <row r="522" spans="2:7" ht="12.75">
      <c r="B522" s="19">
        <v>118</v>
      </c>
      <c r="E522" t="s">
        <v>512</v>
      </c>
      <c r="F522" t="s">
        <v>513</v>
      </c>
      <c r="G522" t="s">
        <v>514</v>
      </c>
    </row>
    <row r="523" spans="2:7" ht="12.75">
      <c r="B523" s="19">
        <v>119</v>
      </c>
      <c r="E523" t="s">
        <v>515</v>
      </c>
      <c r="F523" t="s">
        <v>516</v>
      </c>
      <c r="G523" t="s">
        <v>517</v>
      </c>
    </row>
    <row r="524" spans="2:7" ht="12.75">
      <c r="B524" s="19">
        <v>120</v>
      </c>
      <c r="E524" t="s">
        <v>518</v>
      </c>
      <c r="F524" t="s">
        <v>519</v>
      </c>
      <c r="G524" t="s">
        <v>520</v>
      </c>
    </row>
    <row r="525" spans="2:7" ht="12.75">
      <c r="B525" s="19">
        <v>121</v>
      </c>
      <c r="E525" t="s">
        <v>521</v>
      </c>
      <c r="F525" t="s">
        <v>522</v>
      </c>
      <c r="G525" t="s">
        <v>523</v>
      </c>
    </row>
    <row r="526" spans="2:7" ht="12.75">
      <c r="B526" s="19">
        <v>122</v>
      </c>
      <c r="E526" t="s">
        <v>524</v>
      </c>
      <c r="F526" t="s">
        <v>525</v>
      </c>
      <c r="G526" t="s">
        <v>526</v>
      </c>
    </row>
    <row r="527" spans="2:7" ht="12.75">
      <c r="B527" s="19">
        <v>123</v>
      </c>
      <c r="E527" t="s">
        <v>527</v>
      </c>
      <c r="F527" t="s">
        <v>528</v>
      </c>
      <c r="G527" t="s">
        <v>529</v>
      </c>
    </row>
    <row r="528" spans="2:7" ht="12.75">
      <c r="B528" s="19">
        <v>124</v>
      </c>
      <c r="E528" t="s">
        <v>530</v>
      </c>
      <c r="F528" t="s">
        <v>531</v>
      </c>
      <c r="G528" t="s">
        <v>532</v>
      </c>
    </row>
    <row r="529" spans="2:7" ht="12.75">
      <c r="B529" s="19">
        <v>125</v>
      </c>
      <c r="E529" t="s">
        <v>533</v>
      </c>
      <c r="F529" t="s">
        <v>534</v>
      </c>
      <c r="G529" t="s">
        <v>535</v>
      </c>
    </row>
    <row r="530" spans="2:7" ht="12.75">
      <c r="B530" s="19">
        <v>126</v>
      </c>
      <c r="E530" t="s">
        <v>536</v>
      </c>
      <c r="F530" t="s">
        <v>537</v>
      </c>
      <c r="G530" t="s">
        <v>538</v>
      </c>
    </row>
    <row r="531" spans="2:7" ht="12.75">
      <c r="B531" s="19">
        <v>127</v>
      </c>
      <c r="E531" t="s">
        <v>539</v>
      </c>
      <c r="F531" t="s">
        <v>540</v>
      </c>
      <c r="G531" t="s">
        <v>541</v>
      </c>
    </row>
    <row r="532" spans="2:7" ht="12.75">
      <c r="B532" s="19">
        <v>128</v>
      </c>
      <c r="E532" t="s">
        <v>542</v>
      </c>
      <c r="F532" t="s">
        <v>543</v>
      </c>
      <c r="G532" t="s">
        <v>544</v>
      </c>
    </row>
    <row r="533" spans="2:7" ht="12.75">
      <c r="B533" s="19">
        <v>129</v>
      </c>
      <c r="E533" t="s">
        <v>545</v>
      </c>
      <c r="F533" t="s">
        <v>546</v>
      </c>
      <c r="G533" t="s">
        <v>547</v>
      </c>
    </row>
    <row r="534" spans="2:7" ht="12.75">
      <c r="B534" s="19">
        <v>130</v>
      </c>
      <c r="E534" t="s">
        <v>548</v>
      </c>
      <c r="F534" t="s">
        <v>549</v>
      </c>
      <c r="G534" t="s">
        <v>550</v>
      </c>
    </row>
    <row r="535" spans="2:7" ht="12.75">
      <c r="B535" s="19">
        <v>131</v>
      </c>
      <c r="E535" t="s">
        <v>551</v>
      </c>
      <c r="F535" t="s">
        <v>552</v>
      </c>
      <c r="G535" t="s">
        <v>553</v>
      </c>
    </row>
    <row r="536" spans="2:7" ht="12.75">
      <c r="B536" s="19">
        <v>132</v>
      </c>
      <c r="E536" t="s">
        <v>554</v>
      </c>
      <c r="F536" t="s">
        <v>555</v>
      </c>
      <c r="G536" t="s">
        <v>556</v>
      </c>
    </row>
    <row r="537" spans="2:7" ht="12.75">
      <c r="B537" s="19">
        <v>133</v>
      </c>
      <c r="E537" t="s">
        <v>557</v>
      </c>
      <c r="F537" t="s">
        <v>558</v>
      </c>
      <c r="G537" t="s">
        <v>559</v>
      </c>
    </row>
    <row r="538" spans="2:7" ht="12.75">
      <c r="B538" s="19">
        <v>134</v>
      </c>
      <c r="E538" t="s">
        <v>560</v>
      </c>
      <c r="F538" t="s">
        <v>561</v>
      </c>
      <c r="G538" t="s">
        <v>562</v>
      </c>
    </row>
    <row r="539" spans="2:7" ht="12.75">
      <c r="B539" s="19">
        <v>135</v>
      </c>
      <c r="E539" t="s">
        <v>563</v>
      </c>
      <c r="F539" t="s">
        <v>564</v>
      </c>
      <c r="G539" t="s">
        <v>565</v>
      </c>
    </row>
    <row r="540" spans="2:7" ht="12.75">
      <c r="B540" s="19">
        <v>136</v>
      </c>
      <c r="E540" t="s">
        <v>566</v>
      </c>
      <c r="F540" t="s">
        <v>567</v>
      </c>
      <c r="G540" t="s">
        <v>568</v>
      </c>
    </row>
    <row r="541" spans="2:7" ht="12.75">
      <c r="B541" s="19">
        <v>137</v>
      </c>
      <c r="E541" t="s">
        <v>569</v>
      </c>
      <c r="F541" t="s">
        <v>570</v>
      </c>
      <c r="G541" t="s">
        <v>571</v>
      </c>
    </row>
    <row r="542" spans="2:7" ht="12.75">
      <c r="B542" s="19">
        <v>138</v>
      </c>
      <c r="E542" t="s">
        <v>572</v>
      </c>
      <c r="F542" t="s">
        <v>573</v>
      </c>
      <c r="G542" t="s">
        <v>574</v>
      </c>
    </row>
    <row r="543" spans="2:7" ht="12.75">
      <c r="B543" s="19">
        <v>139</v>
      </c>
      <c r="E543" t="s">
        <v>575</v>
      </c>
      <c r="F543" t="s">
        <v>576</v>
      </c>
      <c r="G543" t="s">
        <v>577</v>
      </c>
    </row>
    <row r="544" spans="2:7" ht="12.75">
      <c r="B544" s="19">
        <v>140</v>
      </c>
      <c r="E544" t="s">
        <v>578</v>
      </c>
      <c r="F544" t="s">
        <v>579</v>
      </c>
      <c r="G544" t="s">
        <v>580</v>
      </c>
    </row>
    <row r="545" spans="2:7" ht="12.75">
      <c r="B545" s="19">
        <v>141</v>
      </c>
      <c r="E545" t="s">
        <v>581</v>
      </c>
      <c r="F545" t="s">
        <v>582</v>
      </c>
      <c r="G545" t="s">
        <v>583</v>
      </c>
    </row>
    <row r="546" spans="2:7" ht="12.75">
      <c r="B546" s="19">
        <v>142</v>
      </c>
      <c r="E546" t="s">
        <v>584</v>
      </c>
      <c r="F546" t="s">
        <v>585</v>
      </c>
      <c r="G546" t="s">
        <v>586</v>
      </c>
    </row>
    <row r="547" spans="2:7" ht="12.75">
      <c r="B547" s="19">
        <v>143</v>
      </c>
      <c r="E547" t="s">
        <v>587</v>
      </c>
      <c r="F547" t="s">
        <v>588</v>
      </c>
      <c r="G547" t="s">
        <v>589</v>
      </c>
    </row>
    <row r="548" spans="2:7" ht="12.75">
      <c r="B548" s="19">
        <v>144</v>
      </c>
      <c r="E548" t="s">
        <v>590</v>
      </c>
      <c r="F548" t="s">
        <v>591</v>
      </c>
      <c r="G548" t="s">
        <v>592</v>
      </c>
    </row>
    <row r="549" spans="2:7" ht="12.75">
      <c r="B549" s="19">
        <v>145</v>
      </c>
      <c r="E549" t="s">
        <v>593</v>
      </c>
      <c r="F549" t="s">
        <v>594</v>
      </c>
      <c r="G549" t="s">
        <v>595</v>
      </c>
    </row>
    <row r="550" spans="2:7" ht="12.75">
      <c r="B550" s="19">
        <v>146</v>
      </c>
      <c r="E550" t="s">
        <v>596</v>
      </c>
      <c r="F550" t="s">
        <v>597</v>
      </c>
      <c r="G550" t="s">
        <v>598</v>
      </c>
    </row>
    <row r="551" spans="2:7" ht="12.75">
      <c r="B551" s="19">
        <v>147</v>
      </c>
      <c r="E551" t="s">
        <v>599</v>
      </c>
      <c r="F551" t="s">
        <v>600</v>
      </c>
      <c r="G551" t="s">
        <v>601</v>
      </c>
    </row>
    <row r="552" spans="2:7" ht="12.75">
      <c r="B552" s="19">
        <v>148</v>
      </c>
      <c r="E552" t="s">
        <v>602</v>
      </c>
      <c r="F552" t="s">
        <v>603</v>
      </c>
      <c r="G552" t="s">
        <v>604</v>
      </c>
    </row>
    <row r="553" spans="2:7" ht="12.75">
      <c r="B553" s="19">
        <v>149</v>
      </c>
      <c r="E553" t="s">
        <v>605</v>
      </c>
      <c r="F553" t="s">
        <v>606</v>
      </c>
      <c r="G553" t="s">
        <v>607</v>
      </c>
    </row>
    <row r="554" spans="2:7" ht="12.75">
      <c r="B554" s="19">
        <v>150</v>
      </c>
      <c r="E554" t="s">
        <v>608</v>
      </c>
      <c r="F554" t="s">
        <v>609</v>
      </c>
      <c r="G554" t="s">
        <v>610</v>
      </c>
    </row>
    <row r="555" spans="2:7" ht="12.75">
      <c r="B555" s="19">
        <v>151</v>
      </c>
      <c r="E555" t="s">
        <v>611</v>
      </c>
      <c r="F555" t="s">
        <v>612</v>
      </c>
      <c r="G555" t="s">
        <v>613</v>
      </c>
    </row>
    <row r="556" spans="2:7" ht="12.75">
      <c r="B556" s="19">
        <v>152</v>
      </c>
      <c r="E556" t="s">
        <v>614</v>
      </c>
      <c r="F556" t="s">
        <v>615</v>
      </c>
      <c r="G556" t="s">
        <v>616</v>
      </c>
    </row>
    <row r="557" spans="2:7" ht="12.75">
      <c r="B557" s="19">
        <v>153</v>
      </c>
      <c r="E557" t="s">
        <v>617</v>
      </c>
      <c r="F557" t="s">
        <v>618</v>
      </c>
      <c r="G557" t="s">
        <v>619</v>
      </c>
    </row>
    <row r="558" spans="2:7" ht="12.75">
      <c r="B558" s="19">
        <v>154</v>
      </c>
      <c r="E558" t="s">
        <v>620</v>
      </c>
      <c r="F558" t="s">
        <v>621</v>
      </c>
      <c r="G558" t="s">
        <v>622</v>
      </c>
    </row>
    <row r="559" spans="2:7" ht="12.75">
      <c r="B559" s="19">
        <v>155</v>
      </c>
      <c r="E559" t="s">
        <v>623</v>
      </c>
      <c r="F559" t="s">
        <v>624</v>
      </c>
      <c r="G559" t="s">
        <v>625</v>
      </c>
    </row>
    <row r="560" spans="2:7" ht="12.75">
      <c r="B560" s="19">
        <v>156</v>
      </c>
      <c r="E560" t="s">
        <v>626</v>
      </c>
      <c r="F560" t="s">
        <v>627</v>
      </c>
      <c r="G560" t="s">
        <v>628</v>
      </c>
    </row>
    <row r="561" spans="2:7" ht="12.75">
      <c r="B561" s="19">
        <v>157</v>
      </c>
      <c r="E561" t="s">
        <v>629</v>
      </c>
      <c r="F561" t="s">
        <v>630</v>
      </c>
      <c r="G561" t="s">
        <v>631</v>
      </c>
    </row>
    <row r="562" spans="2:7" ht="12.75">
      <c r="B562" s="19">
        <v>158</v>
      </c>
      <c r="E562" t="s">
        <v>632</v>
      </c>
      <c r="F562" t="s">
        <v>633</v>
      </c>
      <c r="G562" t="s">
        <v>634</v>
      </c>
    </row>
    <row r="563" spans="2:7" ht="12.75">
      <c r="B563" s="19">
        <v>159</v>
      </c>
      <c r="E563" t="s">
        <v>635</v>
      </c>
      <c r="F563" t="s">
        <v>636</v>
      </c>
      <c r="G563" t="s">
        <v>637</v>
      </c>
    </row>
    <row r="564" spans="2:7" ht="12.75">
      <c r="B564" s="19">
        <v>160</v>
      </c>
      <c r="E564" t="s">
        <v>638</v>
      </c>
      <c r="F564" t="s">
        <v>639</v>
      </c>
      <c r="G564" t="s">
        <v>640</v>
      </c>
    </row>
    <row r="565" spans="2:7" ht="12.75">
      <c r="B565" s="19">
        <v>161</v>
      </c>
      <c r="E565" t="s">
        <v>641</v>
      </c>
      <c r="F565" t="s">
        <v>642</v>
      </c>
      <c r="G565" t="s">
        <v>643</v>
      </c>
    </row>
    <row r="566" spans="2:7" ht="12.75">
      <c r="B566" s="19">
        <v>162</v>
      </c>
      <c r="E566" t="s">
        <v>644</v>
      </c>
      <c r="F566" t="s">
        <v>645</v>
      </c>
      <c r="G566" t="s">
        <v>646</v>
      </c>
    </row>
    <row r="567" spans="2:7" ht="12.75">
      <c r="B567" s="19">
        <v>163</v>
      </c>
      <c r="E567" t="s">
        <v>647</v>
      </c>
      <c r="F567" t="s">
        <v>648</v>
      </c>
      <c r="G567" t="s">
        <v>649</v>
      </c>
    </row>
    <row r="568" spans="2:7" ht="12.75">
      <c r="B568" s="19">
        <v>164</v>
      </c>
      <c r="E568" t="s">
        <v>650</v>
      </c>
      <c r="F568" t="s">
        <v>651</v>
      </c>
      <c r="G568" t="s">
        <v>652</v>
      </c>
    </row>
    <row r="569" spans="2:7" ht="12.75">
      <c r="B569" s="19">
        <v>165</v>
      </c>
      <c r="E569" t="s">
        <v>653</v>
      </c>
      <c r="F569" t="s">
        <v>654</v>
      </c>
      <c r="G569" t="s">
        <v>655</v>
      </c>
    </row>
    <row r="570" spans="2:7" ht="12.75">
      <c r="B570" s="19">
        <v>166</v>
      </c>
      <c r="E570" t="s">
        <v>656</v>
      </c>
      <c r="F570" t="s">
        <v>657</v>
      </c>
      <c r="G570" t="s">
        <v>658</v>
      </c>
    </row>
    <row r="571" spans="2:7" ht="12.75">
      <c r="B571" s="19">
        <v>167</v>
      </c>
      <c r="E571" t="s">
        <v>659</v>
      </c>
      <c r="F571" t="s">
        <v>660</v>
      </c>
      <c r="G571" t="s">
        <v>661</v>
      </c>
    </row>
    <row r="572" spans="2:7" ht="12.75">
      <c r="B572" s="19">
        <v>168</v>
      </c>
      <c r="E572" t="s">
        <v>662</v>
      </c>
      <c r="F572" t="s">
        <v>663</v>
      </c>
      <c r="G572" t="s">
        <v>664</v>
      </c>
    </row>
    <row r="573" spans="2:7" ht="12.75">
      <c r="B573" s="19">
        <v>169</v>
      </c>
      <c r="E573" t="s">
        <v>665</v>
      </c>
      <c r="F573" t="s">
        <v>666</v>
      </c>
      <c r="G573" t="s">
        <v>667</v>
      </c>
    </row>
    <row r="574" spans="2:7" ht="12.75">
      <c r="B574" s="19">
        <v>170</v>
      </c>
      <c r="E574" t="s">
        <v>668</v>
      </c>
      <c r="F574" t="s">
        <v>669</v>
      </c>
      <c r="G574" t="s">
        <v>670</v>
      </c>
    </row>
    <row r="575" spans="2:7" ht="12.75">
      <c r="B575" s="19">
        <v>171</v>
      </c>
      <c r="E575" t="s">
        <v>671</v>
      </c>
      <c r="F575" t="s">
        <v>672</v>
      </c>
      <c r="G575" t="s">
        <v>673</v>
      </c>
    </row>
    <row r="576" spans="2:7" ht="12.75">
      <c r="B576" s="19">
        <v>172</v>
      </c>
      <c r="E576" t="s">
        <v>674</v>
      </c>
      <c r="F576" t="s">
        <v>675</v>
      </c>
      <c r="G576" t="s">
        <v>676</v>
      </c>
    </row>
    <row r="577" spans="2:7" ht="12.75">
      <c r="B577" s="19">
        <v>173</v>
      </c>
      <c r="E577" t="s">
        <v>677</v>
      </c>
      <c r="F577" t="s">
        <v>678</v>
      </c>
      <c r="G577" t="s">
        <v>679</v>
      </c>
    </row>
    <row r="578" spans="2:7" ht="12.75">
      <c r="B578" s="19">
        <v>174</v>
      </c>
      <c r="E578" t="s">
        <v>680</v>
      </c>
      <c r="F578" t="s">
        <v>681</v>
      </c>
      <c r="G578" t="s">
        <v>682</v>
      </c>
    </row>
    <row r="579" spans="2:7" ht="12.75">
      <c r="B579" s="19">
        <v>175</v>
      </c>
      <c r="E579" t="s">
        <v>683</v>
      </c>
      <c r="F579" t="s">
        <v>684</v>
      </c>
      <c r="G579" t="s">
        <v>685</v>
      </c>
    </row>
    <row r="580" spans="2:7" ht="12.75">
      <c r="B580" s="19">
        <v>176</v>
      </c>
      <c r="E580" t="s">
        <v>686</v>
      </c>
      <c r="F580" t="s">
        <v>687</v>
      </c>
      <c r="G580" t="s">
        <v>688</v>
      </c>
    </row>
    <row r="581" spans="2:7" ht="12.75">
      <c r="B581" s="19">
        <v>177</v>
      </c>
      <c r="E581" t="s">
        <v>689</v>
      </c>
      <c r="F581" t="s">
        <v>690</v>
      </c>
      <c r="G581" t="s">
        <v>691</v>
      </c>
    </row>
    <row r="582" spans="2:7" ht="12.75">
      <c r="B582" s="19">
        <v>178</v>
      </c>
      <c r="E582" t="s">
        <v>692</v>
      </c>
      <c r="F582" t="s">
        <v>693</v>
      </c>
      <c r="G582" t="s">
        <v>694</v>
      </c>
    </row>
    <row r="583" spans="2:7" ht="12.75">
      <c r="B583" s="19">
        <v>179</v>
      </c>
      <c r="E583" t="s">
        <v>695</v>
      </c>
      <c r="F583" t="s">
        <v>696</v>
      </c>
      <c r="G583" t="s">
        <v>697</v>
      </c>
    </row>
    <row r="584" spans="2:7" ht="12.75">
      <c r="B584" s="19">
        <v>180</v>
      </c>
      <c r="E584" t="s">
        <v>698</v>
      </c>
      <c r="F584" t="s">
        <v>699</v>
      </c>
      <c r="G584" t="s">
        <v>700</v>
      </c>
    </row>
    <row r="585" spans="2:7" ht="12.75">
      <c r="B585" s="19">
        <v>181</v>
      </c>
      <c r="E585" t="s">
        <v>701</v>
      </c>
      <c r="F585" t="s">
        <v>702</v>
      </c>
      <c r="G585" t="s">
        <v>703</v>
      </c>
    </row>
    <row r="586" spans="2:7" ht="12.75">
      <c r="B586" s="19">
        <v>182</v>
      </c>
      <c r="E586" t="s">
        <v>704</v>
      </c>
      <c r="F586" t="s">
        <v>705</v>
      </c>
      <c r="G586" t="s">
        <v>706</v>
      </c>
    </row>
    <row r="587" spans="2:7" ht="12.75">
      <c r="B587" s="19">
        <v>183</v>
      </c>
      <c r="E587" t="s">
        <v>707</v>
      </c>
      <c r="F587" t="s">
        <v>708</v>
      </c>
      <c r="G587" t="s">
        <v>709</v>
      </c>
    </row>
    <row r="588" spans="2:7" ht="12.75">
      <c r="B588" s="19">
        <v>184</v>
      </c>
      <c r="E588" t="s">
        <v>710</v>
      </c>
      <c r="F588" t="s">
        <v>711</v>
      </c>
      <c r="G588" t="s">
        <v>712</v>
      </c>
    </row>
    <row r="589" spans="2:7" ht="12.75">
      <c r="B589" s="19">
        <v>185</v>
      </c>
      <c r="E589" t="s">
        <v>713</v>
      </c>
      <c r="F589" t="s">
        <v>714</v>
      </c>
      <c r="G589" t="s">
        <v>715</v>
      </c>
    </row>
    <row r="590" spans="2:7" ht="12.75">
      <c r="B590" s="19">
        <v>186</v>
      </c>
      <c r="E590" t="s">
        <v>716</v>
      </c>
      <c r="F590" t="s">
        <v>717</v>
      </c>
      <c r="G590" t="s">
        <v>718</v>
      </c>
    </row>
    <row r="591" spans="2:7" ht="12.75">
      <c r="B591" s="19">
        <v>187</v>
      </c>
      <c r="E591" t="s">
        <v>719</v>
      </c>
      <c r="F591" t="s">
        <v>720</v>
      </c>
      <c r="G591" t="s">
        <v>721</v>
      </c>
    </row>
    <row r="592" spans="2:7" ht="12.75">
      <c r="B592" s="19">
        <v>188</v>
      </c>
      <c r="E592" t="s">
        <v>722</v>
      </c>
      <c r="F592" t="s">
        <v>723</v>
      </c>
      <c r="G592" t="s">
        <v>724</v>
      </c>
    </row>
    <row r="593" spans="2:7" ht="12.75">
      <c r="B593" s="19">
        <v>189</v>
      </c>
      <c r="E593" t="s">
        <v>725</v>
      </c>
      <c r="F593" t="s">
        <v>726</v>
      </c>
      <c r="G593" t="s">
        <v>727</v>
      </c>
    </row>
    <row r="594" spans="2:7" ht="12.75">
      <c r="B594" s="19">
        <v>190</v>
      </c>
      <c r="E594" t="s">
        <v>728</v>
      </c>
      <c r="F594" t="s">
        <v>729</v>
      </c>
      <c r="G594" t="s">
        <v>730</v>
      </c>
    </row>
    <row r="595" spans="2:7" ht="12.75">
      <c r="B595" s="19">
        <v>191</v>
      </c>
      <c r="E595" t="s">
        <v>731</v>
      </c>
      <c r="F595" t="s">
        <v>732</v>
      </c>
      <c r="G595" t="s">
        <v>733</v>
      </c>
    </row>
    <row r="596" spans="2:7" ht="12.75">
      <c r="B596" s="19">
        <v>192</v>
      </c>
      <c r="E596" t="s">
        <v>734</v>
      </c>
      <c r="F596" t="s">
        <v>735</v>
      </c>
      <c r="G596" t="s">
        <v>736</v>
      </c>
    </row>
    <row r="597" spans="2:7" ht="12.75">
      <c r="B597" s="19">
        <v>193</v>
      </c>
      <c r="E597" t="s">
        <v>737</v>
      </c>
      <c r="F597" t="s">
        <v>738</v>
      </c>
      <c r="G597" t="s">
        <v>739</v>
      </c>
    </row>
    <row r="598" spans="2:7" ht="12.75">
      <c r="B598" s="19">
        <v>194</v>
      </c>
      <c r="E598" t="s">
        <v>740</v>
      </c>
      <c r="F598" t="s">
        <v>741</v>
      </c>
      <c r="G598" t="s">
        <v>742</v>
      </c>
    </row>
    <row r="599" spans="2:7" ht="12.75">
      <c r="B599" s="19">
        <v>195</v>
      </c>
      <c r="E599" t="s">
        <v>743</v>
      </c>
      <c r="F599" t="s">
        <v>744</v>
      </c>
      <c r="G599" t="s">
        <v>745</v>
      </c>
    </row>
    <row r="600" spans="2:7" ht="12.75">
      <c r="B600" s="19">
        <v>196</v>
      </c>
      <c r="E600" t="s">
        <v>746</v>
      </c>
      <c r="F600" t="s">
        <v>747</v>
      </c>
      <c r="G600" t="s">
        <v>748</v>
      </c>
    </row>
    <row r="601" spans="2:7" ht="12.75">
      <c r="B601" s="19">
        <v>197</v>
      </c>
      <c r="E601" t="s">
        <v>749</v>
      </c>
      <c r="F601" t="s">
        <v>750</v>
      </c>
      <c r="G601" t="s">
        <v>751</v>
      </c>
    </row>
    <row r="602" spans="2:7" ht="12.75">
      <c r="B602" s="19">
        <v>198</v>
      </c>
      <c r="E602" t="s">
        <v>752</v>
      </c>
      <c r="F602" t="s">
        <v>753</v>
      </c>
      <c r="G602" t="s">
        <v>754</v>
      </c>
    </row>
    <row r="603" spans="2:7" ht="12.75">
      <c r="B603" s="19">
        <v>199</v>
      </c>
      <c r="E603" t="s">
        <v>755</v>
      </c>
      <c r="F603" t="s">
        <v>756</v>
      </c>
      <c r="G603" t="s">
        <v>757</v>
      </c>
    </row>
    <row r="604" spans="2:7" ht="12.75">
      <c r="B604" s="19">
        <v>200</v>
      </c>
      <c r="E604" t="s">
        <v>758</v>
      </c>
      <c r="F604" t="s">
        <v>759</v>
      </c>
      <c r="G604" t="s">
        <v>760</v>
      </c>
    </row>
    <row r="605" spans="2:7" ht="12.75">
      <c r="B605" s="19">
        <v>201</v>
      </c>
      <c r="E605" t="s">
        <v>761</v>
      </c>
      <c r="F605" t="s">
        <v>762</v>
      </c>
      <c r="G605" t="s">
        <v>763</v>
      </c>
    </row>
    <row r="606" spans="2:7" ht="12.75">
      <c r="B606" s="19">
        <v>202</v>
      </c>
      <c r="E606" t="s">
        <v>764</v>
      </c>
      <c r="F606" t="s">
        <v>765</v>
      </c>
      <c r="G606" t="s">
        <v>766</v>
      </c>
    </row>
    <row r="607" spans="2:7" ht="12.75">
      <c r="B607" s="19">
        <v>203</v>
      </c>
      <c r="E607" t="s">
        <v>767</v>
      </c>
      <c r="F607" t="s">
        <v>768</v>
      </c>
      <c r="G607" t="s">
        <v>769</v>
      </c>
    </row>
    <row r="608" spans="2:7" ht="12.75">
      <c r="B608" s="19">
        <v>204</v>
      </c>
      <c r="E608" t="s">
        <v>770</v>
      </c>
      <c r="F608" t="s">
        <v>771</v>
      </c>
      <c r="G608" t="s">
        <v>772</v>
      </c>
    </row>
    <row r="609" spans="2:7" ht="12.75">
      <c r="B609" s="19">
        <v>205</v>
      </c>
      <c r="E609" t="s">
        <v>773</v>
      </c>
      <c r="F609" t="s">
        <v>774</v>
      </c>
      <c r="G609" t="s">
        <v>775</v>
      </c>
    </row>
    <row r="610" spans="2:7" ht="12.75">
      <c r="B610" s="19">
        <v>206</v>
      </c>
      <c r="E610" t="s">
        <v>776</v>
      </c>
      <c r="F610" t="s">
        <v>777</v>
      </c>
      <c r="G610" t="s">
        <v>778</v>
      </c>
    </row>
    <row r="611" spans="2:7" ht="12.75">
      <c r="B611" s="19">
        <v>207</v>
      </c>
      <c r="E611" t="s">
        <v>779</v>
      </c>
      <c r="F611" t="s">
        <v>780</v>
      </c>
      <c r="G611" t="s">
        <v>781</v>
      </c>
    </row>
    <row r="612" spans="2:7" ht="12.75">
      <c r="B612" s="19">
        <v>208</v>
      </c>
      <c r="E612" t="s">
        <v>782</v>
      </c>
      <c r="F612" t="s">
        <v>783</v>
      </c>
      <c r="G612" t="s">
        <v>784</v>
      </c>
    </row>
    <row r="613" spans="2:7" ht="12.75">
      <c r="B613" s="19">
        <v>209</v>
      </c>
      <c r="E613" t="s">
        <v>785</v>
      </c>
      <c r="F613" t="s">
        <v>786</v>
      </c>
      <c r="G613" t="s">
        <v>787</v>
      </c>
    </row>
    <row r="614" spans="2:7" ht="12.75">
      <c r="B614" s="19">
        <v>210</v>
      </c>
      <c r="E614" t="s">
        <v>788</v>
      </c>
      <c r="F614" t="s">
        <v>789</v>
      </c>
      <c r="G614" t="s">
        <v>790</v>
      </c>
    </row>
    <row r="615" spans="2:7" ht="12.75">
      <c r="B615" s="19">
        <v>211</v>
      </c>
      <c r="E615" t="s">
        <v>791</v>
      </c>
      <c r="F615" t="s">
        <v>792</v>
      </c>
      <c r="G615" t="s">
        <v>793</v>
      </c>
    </row>
    <row r="616" spans="2:7" ht="12.75">
      <c r="B616" s="19">
        <v>212</v>
      </c>
      <c r="E616" t="s">
        <v>794</v>
      </c>
      <c r="F616" t="s">
        <v>795</v>
      </c>
      <c r="G616" t="s">
        <v>796</v>
      </c>
    </row>
    <row r="617" spans="2:7" ht="12.75">
      <c r="B617" s="19">
        <v>213</v>
      </c>
      <c r="E617" t="s">
        <v>797</v>
      </c>
      <c r="F617" t="s">
        <v>798</v>
      </c>
      <c r="G617" t="s">
        <v>799</v>
      </c>
    </row>
    <row r="618" spans="2:7" ht="12.75">
      <c r="B618" s="19">
        <v>214</v>
      </c>
      <c r="E618" t="s">
        <v>800</v>
      </c>
      <c r="F618" t="s">
        <v>801</v>
      </c>
      <c r="G618" t="s">
        <v>802</v>
      </c>
    </row>
    <row r="619" spans="2:7" ht="12.75">
      <c r="B619" s="19">
        <v>215</v>
      </c>
      <c r="E619" t="s">
        <v>803</v>
      </c>
      <c r="F619" t="s">
        <v>804</v>
      </c>
      <c r="G619" t="s">
        <v>805</v>
      </c>
    </row>
    <row r="620" spans="2:7" ht="12.75">
      <c r="B620" s="19">
        <v>216</v>
      </c>
      <c r="E620" t="s">
        <v>806</v>
      </c>
      <c r="F620" t="s">
        <v>807</v>
      </c>
      <c r="G620" t="s">
        <v>808</v>
      </c>
    </row>
    <row r="621" spans="2:7" ht="12.75">
      <c r="B621" s="19">
        <v>217</v>
      </c>
      <c r="E621" t="s">
        <v>809</v>
      </c>
      <c r="F621" t="s">
        <v>810</v>
      </c>
      <c r="G621" t="s">
        <v>811</v>
      </c>
    </row>
    <row r="622" spans="2:7" ht="12.75">
      <c r="B622" s="19">
        <v>218</v>
      </c>
      <c r="E622" t="s">
        <v>812</v>
      </c>
      <c r="F622" t="s">
        <v>813</v>
      </c>
      <c r="G622" t="s">
        <v>814</v>
      </c>
    </row>
    <row r="623" spans="2:7" ht="12.75">
      <c r="B623" s="19">
        <v>219</v>
      </c>
      <c r="E623" t="s">
        <v>815</v>
      </c>
      <c r="F623" t="s">
        <v>816</v>
      </c>
      <c r="G623" t="s">
        <v>817</v>
      </c>
    </row>
    <row r="624" spans="2:7" ht="12.75">
      <c r="B624" s="19">
        <v>220</v>
      </c>
      <c r="E624" t="s">
        <v>818</v>
      </c>
      <c r="F624" t="s">
        <v>819</v>
      </c>
      <c r="G624" t="s">
        <v>820</v>
      </c>
    </row>
    <row r="625" spans="2:7" ht="12.75">
      <c r="B625" s="19">
        <v>221</v>
      </c>
      <c r="E625" t="s">
        <v>821</v>
      </c>
      <c r="F625" t="s">
        <v>822</v>
      </c>
      <c r="G625" t="s">
        <v>823</v>
      </c>
    </row>
    <row r="626" spans="2:7" ht="12.75">
      <c r="B626" s="19">
        <v>222</v>
      </c>
      <c r="E626" t="s">
        <v>824</v>
      </c>
      <c r="F626" t="s">
        <v>825</v>
      </c>
      <c r="G626" t="s">
        <v>826</v>
      </c>
    </row>
    <row r="627" spans="2:7" ht="12.75">
      <c r="B627" s="19">
        <v>223</v>
      </c>
      <c r="E627" t="s">
        <v>827</v>
      </c>
      <c r="F627" t="s">
        <v>828</v>
      </c>
      <c r="G627" t="s">
        <v>829</v>
      </c>
    </row>
    <row r="628" spans="2:7" ht="12.75">
      <c r="B628" s="19">
        <v>224</v>
      </c>
      <c r="E628" t="s">
        <v>830</v>
      </c>
      <c r="F628" t="s">
        <v>831</v>
      </c>
      <c r="G628" t="s">
        <v>832</v>
      </c>
    </row>
    <row r="629" spans="2:7" ht="12.75">
      <c r="B629" s="19">
        <v>225</v>
      </c>
      <c r="E629" t="s">
        <v>833</v>
      </c>
      <c r="F629" t="s">
        <v>834</v>
      </c>
      <c r="G629" t="s">
        <v>835</v>
      </c>
    </row>
    <row r="630" spans="2:7" ht="12.75">
      <c r="B630" s="19">
        <v>226</v>
      </c>
      <c r="E630" t="s">
        <v>836</v>
      </c>
      <c r="F630" t="s">
        <v>837</v>
      </c>
      <c r="G630" t="s">
        <v>838</v>
      </c>
    </row>
    <row r="631" spans="2:7" ht="12.75">
      <c r="B631" s="19">
        <v>227</v>
      </c>
      <c r="E631" t="s">
        <v>839</v>
      </c>
      <c r="F631" t="s">
        <v>840</v>
      </c>
      <c r="G631" t="s">
        <v>841</v>
      </c>
    </row>
    <row r="632" spans="2:7" ht="12.75">
      <c r="B632" s="19">
        <v>228</v>
      </c>
      <c r="E632" t="s">
        <v>842</v>
      </c>
      <c r="F632" t="s">
        <v>843</v>
      </c>
      <c r="G632" t="s">
        <v>844</v>
      </c>
    </row>
    <row r="633" spans="2:7" ht="12.75">
      <c r="B633" s="19">
        <v>229</v>
      </c>
      <c r="E633" t="s">
        <v>845</v>
      </c>
      <c r="F633" t="s">
        <v>846</v>
      </c>
      <c r="G633" t="s">
        <v>847</v>
      </c>
    </row>
    <row r="634" spans="2:7" ht="12.75">
      <c r="B634" s="19">
        <v>230</v>
      </c>
      <c r="E634" t="s">
        <v>848</v>
      </c>
      <c r="F634" t="s">
        <v>849</v>
      </c>
      <c r="G634" t="s">
        <v>850</v>
      </c>
    </row>
    <row r="635" spans="2:7" ht="12.75">
      <c r="B635" s="19">
        <v>231</v>
      </c>
      <c r="E635" t="s">
        <v>851</v>
      </c>
      <c r="F635" t="s">
        <v>852</v>
      </c>
      <c r="G635" t="s">
        <v>853</v>
      </c>
    </row>
    <row r="636" spans="2:7" ht="12.75">
      <c r="B636" s="19">
        <v>232</v>
      </c>
      <c r="E636" t="s">
        <v>854</v>
      </c>
      <c r="F636" t="s">
        <v>855</v>
      </c>
      <c r="G636" t="s">
        <v>856</v>
      </c>
    </row>
    <row r="637" spans="2:7" ht="12.75">
      <c r="B637" s="19">
        <v>233</v>
      </c>
      <c r="E637" t="s">
        <v>857</v>
      </c>
      <c r="F637" t="s">
        <v>858</v>
      </c>
      <c r="G637" t="s">
        <v>859</v>
      </c>
    </row>
    <row r="638" spans="2:7" ht="12.75">
      <c r="B638" s="19">
        <v>234</v>
      </c>
      <c r="E638" t="s">
        <v>860</v>
      </c>
      <c r="F638" t="s">
        <v>861</v>
      </c>
      <c r="G638" t="s">
        <v>862</v>
      </c>
    </row>
    <row r="639" spans="2:7" ht="12.75">
      <c r="B639" s="19">
        <v>235</v>
      </c>
      <c r="E639" t="s">
        <v>863</v>
      </c>
      <c r="F639" t="s">
        <v>864</v>
      </c>
      <c r="G639" t="s">
        <v>865</v>
      </c>
    </row>
    <row r="640" spans="2:7" ht="12.75">
      <c r="B640" s="19">
        <v>236</v>
      </c>
      <c r="E640" t="s">
        <v>866</v>
      </c>
      <c r="F640" t="s">
        <v>867</v>
      </c>
      <c r="G640" t="s">
        <v>868</v>
      </c>
    </row>
    <row r="641" spans="2:7" ht="12.75">
      <c r="B641" s="19">
        <v>237</v>
      </c>
      <c r="E641" t="s">
        <v>869</v>
      </c>
      <c r="F641" t="s">
        <v>870</v>
      </c>
      <c r="G641" t="s">
        <v>871</v>
      </c>
    </row>
    <row r="642" spans="2:7" ht="12.75">
      <c r="B642" s="19">
        <v>238</v>
      </c>
      <c r="E642" t="s">
        <v>872</v>
      </c>
      <c r="F642" t="s">
        <v>873</v>
      </c>
      <c r="G642" t="s">
        <v>874</v>
      </c>
    </row>
    <row r="643" spans="2:7" ht="12.75">
      <c r="B643" s="19">
        <v>239</v>
      </c>
      <c r="E643" t="s">
        <v>875</v>
      </c>
      <c r="F643" t="s">
        <v>876</v>
      </c>
      <c r="G643" t="s">
        <v>877</v>
      </c>
    </row>
    <row r="644" spans="2:7" ht="12.75">
      <c r="B644" s="19">
        <v>240</v>
      </c>
      <c r="E644" t="s">
        <v>878</v>
      </c>
      <c r="F644" t="s">
        <v>879</v>
      </c>
      <c r="G644" t="s">
        <v>880</v>
      </c>
    </row>
    <row r="645" spans="2:7" ht="12.75">
      <c r="B645" s="19">
        <v>241</v>
      </c>
      <c r="E645" t="s">
        <v>881</v>
      </c>
      <c r="F645" t="s">
        <v>882</v>
      </c>
      <c r="G645" t="s">
        <v>883</v>
      </c>
    </row>
    <row r="646" spans="2:7" ht="12.75">
      <c r="B646" s="19">
        <v>242</v>
      </c>
      <c r="E646" t="s">
        <v>884</v>
      </c>
      <c r="F646" t="s">
        <v>885</v>
      </c>
      <c r="G646" t="s">
        <v>886</v>
      </c>
    </row>
    <row r="647" spans="2:7" ht="12.75">
      <c r="B647" s="19">
        <v>243</v>
      </c>
      <c r="E647" t="s">
        <v>887</v>
      </c>
      <c r="F647" t="s">
        <v>888</v>
      </c>
      <c r="G647" t="s">
        <v>889</v>
      </c>
    </row>
    <row r="648" spans="2:7" ht="12.75">
      <c r="B648" s="19">
        <v>244</v>
      </c>
      <c r="E648" t="s">
        <v>890</v>
      </c>
      <c r="F648" t="s">
        <v>891</v>
      </c>
      <c r="G648" t="s">
        <v>892</v>
      </c>
    </row>
    <row r="649" spans="2:7" ht="12.75">
      <c r="B649" s="19">
        <v>245</v>
      </c>
      <c r="E649" t="s">
        <v>893</v>
      </c>
      <c r="F649" t="s">
        <v>894</v>
      </c>
      <c r="G649" t="s">
        <v>895</v>
      </c>
    </row>
    <row r="650" spans="2:7" ht="12.75">
      <c r="B650" s="19">
        <v>246</v>
      </c>
      <c r="E650" t="s">
        <v>896</v>
      </c>
      <c r="F650" t="s">
        <v>897</v>
      </c>
      <c r="G650" t="s">
        <v>898</v>
      </c>
    </row>
    <row r="651" spans="2:7" ht="12.75">
      <c r="B651" s="19">
        <v>247</v>
      </c>
      <c r="E651" t="s">
        <v>899</v>
      </c>
      <c r="F651" t="s">
        <v>900</v>
      </c>
      <c r="G651" t="s">
        <v>901</v>
      </c>
    </row>
    <row r="652" spans="2:7" ht="12.75">
      <c r="B652" s="19">
        <v>248</v>
      </c>
      <c r="E652" t="s">
        <v>902</v>
      </c>
      <c r="F652" t="s">
        <v>903</v>
      </c>
      <c r="G652" t="s">
        <v>904</v>
      </c>
    </row>
    <row r="653" spans="2:7" ht="12.75">
      <c r="B653" s="19">
        <v>249</v>
      </c>
      <c r="E653" t="s">
        <v>905</v>
      </c>
      <c r="F653" t="s">
        <v>906</v>
      </c>
      <c r="G653" t="s">
        <v>907</v>
      </c>
    </row>
    <row r="654" spans="2:7" ht="12.75">
      <c r="B654" s="19">
        <v>250</v>
      </c>
      <c r="E654" t="s">
        <v>908</v>
      </c>
      <c r="F654" t="s">
        <v>909</v>
      </c>
      <c r="G654" t="s">
        <v>910</v>
      </c>
    </row>
    <row r="655" spans="2:7" ht="12.75">
      <c r="B655" s="19">
        <v>251</v>
      </c>
      <c r="E655" t="s">
        <v>911</v>
      </c>
      <c r="F655" t="s">
        <v>912</v>
      </c>
      <c r="G655" t="s">
        <v>913</v>
      </c>
    </row>
    <row r="656" spans="2:7" ht="12.75">
      <c r="B656" s="19">
        <v>252</v>
      </c>
      <c r="E656" t="s">
        <v>914</v>
      </c>
      <c r="F656" t="s">
        <v>915</v>
      </c>
      <c r="G656" t="s">
        <v>916</v>
      </c>
    </row>
    <row r="657" spans="2:7" ht="12.75">
      <c r="B657" s="19">
        <v>253</v>
      </c>
      <c r="E657" t="s">
        <v>917</v>
      </c>
      <c r="F657" t="s">
        <v>918</v>
      </c>
      <c r="G657" t="s">
        <v>919</v>
      </c>
    </row>
    <row r="658" spans="2:7" ht="12.75">
      <c r="B658" s="19">
        <v>254</v>
      </c>
      <c r="E658" t="s">
        <v>920</v>
      </c>
      <c r="F658" t="s">
        <v>921</v>
      </c>
      <c r="G658" t="s">
        <v>922</v>
      </c>
    </row>
    <row r="659" spans="2:7" ht="12.75">
      <c r="B659" s="19">
        <v>255</v>
      </c>
      <c r="E659" t="s">
        <v>923</v>
      </c>
      <c r="F659" t="s">
        <v>924</v>
      </c>
      <c r="G659" t="s">
        <v>925</v>
      </c>
    </row>
    <row r="660" spans="2:7" ht="12.75">
      <c r="B660" s="19">
        <v>256</v>
      </c>
      <c r="E660" t="s">
        <v>926</v>
      </c>
      <c r="F660" t="s">
        <v>927</v>
      </c>
      <c r="G660" t="s">
        <v>928</v>
      </c>
    </row>
    <row r="661" spans="2:7" ht="12.75">
      <c r="B661" s="19">
        <v>257</v>
      </c>
      <c r="E661" t="s">
        <v>929</v>
      </c>
      <c r="F661" t="s">
        <v>930</v>
      </c>
      <c r="G661" t="s">
        <v>931</v>
      </c>
    </row>
    <row r="662" spans="2:7" ht="12.75">
      <c r="B662" s="19">
        <v>258</v>
      </c>
      <c r="E662" t="s">
        <v>932</v>
      </c>
      <c r="F662" t="s">
        <v>933</v>
      </c>
      <c r="G662" t="s">
        <v>934</v>
      </c>
    </row>
    <row r="663" spans="2:7" ht="12.75">
      <c r="B663" s="19">
        <v>259</v>
      </c>
      <c r="E663" t="s">
        <v>935</v>
      </c>
      <c r="F663" t="s">
        <v>936</v>
      </c>
      <c r="G663" t="s">
        <v>937</v>
      </c>
    </row>
    <row r="664" spans="2:7" ht="12.75">
      <c r="B664" s="19">
        <v>260</v>
      </c>
      <c r="E664" t="s">
        <v>938</v>
      </c>
      <c r="F664" t="s">
        <v>939</v>
      </c>
      <c r="G664" t="s">
        <v>940</v>
      </c>
    </row>
    <row r="665" spans="2:7" ht="12.75">
      <c r="B665" s="19">
        <v>261</v>
      </c>
      <c r="E665" t="s">
        <v>941</v>
      </c>
      <c r="F665" t="s">
        <v>942</v>
      </c>
      <c r="G665" t="s">
        <v>943</v>
      </c>
    </row>
    <row r="666" spans="2:7" ht="12.75">
      <c r="B666" s="19">
        <v>262</v>
      </c>
      <c r="E666" t="s">
        <v>944</v>
      </c>
      <c r="F666" t="s">
        <v>945</v>
      </c>
      <c r="G666" t="s">
        <v>946</v>
      </c>
    </row>
    <row r="667" spans="2:7" ht="12.75">
      <c r="B667" s="19">
        <v>263</v>
      </c>
      <c r="E667" t="s">
        <v>947</v>
      </c>
      <c r="F667" t="s">
        <v>948</v>
      </c>
      <c r="G667" t="s">
        <v>949</v>
      </c>
    </row>
    <row r="668" spans="2:7" ht="12.75">
      <c r="B668" s="19">
        <v>264</v>
      </c>
      <c r="E668" t="s">
        <v>950</v>
      </c>
      <c r="F668" t="s">
        <v>951</v>
      </c>
      <c r="G668" t="s">
        <v>952</v>
      </c>
    </row>
    <row r="669" spans="2:7" ht="12.75">
      <c r="B669" s="19">
        <v>265</v>
      </c>
      <c r="E669" t="s">
        <v>953</v>
      </c>
      <c r="F669" t="s">
        <v>954</v>
      </c>
      <c r="G669" t="s">
        <v>955</v>
      </c>
    </row>
    <row r="670" spans="2:7" ht="12.75">
      <c r="B670" s="19">
        <v>266</v>
      </c>
      <c r="E670" t="s">
        <v>956</v>
      </c>
      <c r="F670" t="s">
        <v>957</v>
      </c>
      <c r="G670" t="s">
        <v>958</v>
      </c>
    </row>
    <row r="671" spans="2:7" ht="12.75">
      <c r="B671" s="19">
        <v>267</v>
      </c>
      <c r="E671" t="s">
        <v>959</v>
      </c>
      <c r="F671" t="s">
        <v>960</v>
      </c>
      <c r="G671" t="s">
        <v>961</v>
      </c>
    </row>
    <row r="672" spans="2:7" ht="12.75">
      <c r="B672" s="19">
        <v>268</v>
      </c>
      <c r="E672" t="s">
        <v>962</v>
      </c>
      <c r="F672" t="s">
        <v>963</v>
      </c>
      <c r="G672" t="s">
        <v>964</v>
      </c>
    </row>
    <row r="673" spans="2:7" ht="12.75">
      <c r="B673" s="19">
        <v>269</v>
      </c>
      <c r="E673" t="s">
        <v>965</v>
      </c>
      <c r="F673" t="s">
        <v>966</v>
      </c>
      <c r="G673" t="s">
        <v>967</v>
      </c>
    </row>
    <row r="674" spans="2:7" ht="12.75">
      <c r="B674" s="19">
        <v>270</v>
      </c>
      <c r="E674" t="s">
        <v>968</v>
      </c>
      <c r="F674" t="s">
        <v>969</v>
      </c>
      <c r="G674" t="s">
        <v>970</v>
      </c>
    </row>
    <row r="675" spans="2:7" ht="12.75">
      <c r="B675" s="19">
        <v>271</v>
      </c>
      <c r="E675" t="s">
        <v>971</v>
      </c>
      <c r="F675" t="s">
        <v>972</v>
      </c>
      <c r="G675" t="s">
        <v>973</v>
      </c>
    </row>
    <row r="676" spans="2:7" ht="12.75">
      <c r="B676" s="19">
        <v>272</v>
      </c>
      <c r="E676" t="s">
        <v>974</v>
      </c>
      <c r="F676" t="s">
        <v>975</v>
      </c>
      <c r="G676" t="s">
        <v>976</v>
      </c>
    </row>
    <row r="677" spans="2:7" ht="12.75">
      <c r="B677" s="19">
        <v>273</v>
      </c>
      <c r="E677" t="s">
        <v>977</v>
      </c>
      <c r="F677" t="s">
        <v>978</v>
      </c>
      <c r="G677" t="s">
        <v>979</v>
      </c>
    </row>
    <row r="678" spans="2:7" ht="12.75">
      <c r="B678" s="19">
        <v>274</v>
      </c>
      <c r="E678" t="s">
        <v>980</v>
      </c>
      <c r="F678" t="s">
        <v>981</v>
      </c>
      <c r="G678" t="s">
        <v>982</v>
      </c>
    </row>
    <row r="679" spans="2:7" ht="12.75">
      <c r="B679" s="19">
        <v>275</v>
      </c>
      <c r="E679" t="s">
        <v>983</v>
      </c>
      <c r="F679" t="s">
        <v>984</v>
      </c>
      <c r="G679" t="s">
        <v>985</v>
      </c>
    </row>
    <row r="680" spans="2:7" ht="12.75">
      <c r="B680" s="19">
        <v>276</v>
      </c>
      <c r="E680" t="s">
        <v>986</v>
      </c>
      <c r="F680" t="s">
        <v>987</v>
      </c>
      <c r="G680" t="s">
        <v>988</v>
      </c>
    </row>
    <row r="681" spans="2:7" ht="12.75">
      <c r="B681" s="19">
        <v>277</v>
      </c>
      <c r="E681" t="s">
        <v>989</v>
      </c>
      <c r="F681" t="s">
        <v>990</v>
      </c>
      <c r="G681" t="s">
        <v>991</v>
      </c>
    </row>
    <row r="682" spans="2:7" ht="12.75">
      <c r="B682" s="19">
        <v>278</v>
      </c>
      <c r="E682" t="s">
        <v>992</v>
      </c>
      <c r="F682" t="s">
        <v>993</v>
      </c>
      <c r="G682" t="s">
        <v>994</v>
      </c>
    </row>
    <row r="683" spans="2:7" ht="12.75">
      <c r="B683" s="19">
        <v>279</v>
      </c>
      <c r="E683" t="s">
        <v>995</v>
      </c>
      <c r="F683" t="s">
        <v>996</v>
      </c>
      <c r="G683" t="s">
        <v>997</v>
      </c>
    </row>
    <row r="684" spans="2:7" ht="12.75">
      <c r="B684" s="19">
        <v>280</v>
      </c>
      <c r="E684" t="s">
        <v>998</v>
      </c>
      <c r="F684" t="s">
        <v>999</v>
      </c>
      <c r="G684" t="s">
        <v>1000</v>
      </c>
    </row>
    <row r="685" spans="2:7" ht="12.75">
      <c r="B685" s="19">
        <v>281</v>
      </c>
      <c r="E685" t="s">
        <v>1001</v>
      </c>
      <c r="F685" t="s">
        <v>1002</v>
      </c>
      <c r="G685" t="s">
        <v>1003</v>
      </c>
    </row>
    <row r="686" spans="2:7" ht="12.75">
      <c r="B686" s="19">
        <v>282</v>
      </c>
      <c r="E686" t="s">
        <v>1004</v>
      </c>
      <c r="F686" t="s">
        <v>1005</v>
      </c>
      <c r="G686" t="s">
        <v>1006</v>
      </c>
    </row>
    <row r="687" spans="2:7" ht="12.75">
      <c r="B687" s="19">
        <v>283</v>
      </c>
      <c r="E687" t="s">
        <v>1007</v>
      </c>
      <c r="F687" t="s">
        <v>1008</v>
      </c>
      <c r="G687" t="s">
        <v>1009</v>
      </c>
    </row>
    <row r="688" spans="2:7" ht="12.75">
      <c r="B688" s="19">
        <v>284</v>
      </c>
      <c r="E688" t="s">
        <v>1010</v>
      </c>
      <c r="F688" t="s">
        <v>1011</v>
      </c>
      <c r="G688" t="s">
        <v>1012</v>
      </c>
    </row>
    <row r="689" spans="2:7" ht="12.75">
      <c r="B689" s="19">
        <v>285</v>
      </c>
      <c r="E689" t="s">
        <v>1013</v>
      </c>
      <c r="F689" t="s">
        <v>1014</v>
      </c>
      <c r="G689" t="s">
        <v>1015</v>
      </c>
    </row>
    <row r="690" spans="2:7" ht="12.75">
      <c r="B690" s="19">
        <v>286</v>
      </c>
      <c r="E690" t="s">
        <v>1016</v>
      </c>
      <c r="F690" t="s">
        <v>1017</v>
      </c>
      <c r="G690" t="s">
        <v>1018</v>
      </c>
    </row>
    <row r="691" spans="2:7" ht="12.75">
      <c r="B691" s="19">
        <v>287</v>
      </c>
      <c r="E691" t="s">
        <v>1019</v>
      </c>
      <c r="F691" t="s">
        <v>1020</v>
      </c>
      <c r="G691" t="s">
        <v>1021</v>
      </c>
    </row>
    <row r="692" spans="2:7" ht="12.75">
      <c r="B692" s="19">
        <v>288</v>
      </c>
      <c r="E692" t="s">
        <v>1022</v>
      </c>
      <c r="F692" t="s">
        <v>1023</v>
      </c>
      <c r="G692" t="s">
        <v>1024</v>
      </c>
    </row>
    <row r="693" spans="2:7" ht="12.75">
      <c r="B693" s="19">
        <v>289</v>
      </c>
      <c r="E693" t="s">
        <v>1025</v>
      </c>
      <c r="F693" t="s">
        <v>1026</v>
      </c>
      <c r="G693" t="s">
        <v>1027</v>
      </c>
    </row>
    <row r="694" spans="2:7" ht="12.75">
      <c r="B694" s="19">
        <v>290</v>
      </c>
      <c r="E694" t="s">
        <v>1028</v>
      </c>
      <c r="F694" t="s">
        <v>1029</v>
      </c>
      <c r="G694" t="s">
        <v>1030</v>
      </c>
    </row>
    <row r="695" spans="2:7" ht="12.75">
      <c r="B695" s="19">
        <v>291</v>
      </c>
      <c r="E695" t="s">
        <v>1031</v>
      </c>
      <c r="F695" t="s">
        <v>1032</v>
      </c>
      <c r="G695" t="s">
        <v>1033</v>
      </c>
    </row>
    <row r="696" spans="2:7" ht="12.75">
      <c r="B696" s="19">
        <v>292</v>
      </c>
      <c r="E696" t="s">
        <v>1034</v>
      </c>
      <c r="F696" t="s">
        <v>1035</v>
      </c>
      <c r="G696" t="s">
        <v>1036</v>
      </c>
    </row>
    <row r="697" spans="2:7" ht="12.75">
      <c r="B697" s="19">
        <v>293</v>
      </c>
      <c r="E697" t="s">
        <v>1037</v>
      </c>
      <c r="F697" t="s">
        <v>1038</v>
      </c>
      <c r="G697" t="s">
        <v>1039</v>
      </c>
    </row>
    <row r="698" spans="2:7" ht="12.75">
      <c r="B698" s="19">
        <v>294</v>
      </c>
      <c r="E698" t="s">
        <v>1040</v>
      </c>
      <c r="F698" t="s">
        <v>1041</v>
      </c>
      <c r="G698" t="s">
        <v>1042</v>
      </c>
    </row>
    <row r="699" spans="2:7" ht="12.75">
      <c r="B699" s="19">
        <v>295</v>
      </c>
      <c r="E699" t="s">
        <v>1043</v>
      </c>
      <c r="F699" t="s">
        <v>1044</v>
      </c>
      <c r="G699" t="s">
        <v>1045</v>
      </c>
    </row>
    <row r="700" spans="2:7" ht="12.75">
      <c r="B700" s="19">
        <v>296</v>
      </c>
      <c r="E700" t="s">
        <v>1046</v>
      </c>
      <c r="F700" t="s">
        <v>1047</v>
      </c>
      <c r="G700" t="s">
        <v>1048</v>
      </c>
    </row>
    <row r="701" spans="2:7" ht="12.75">
      <c r="B701" s="19">
        <v>297</v>
      </c>
      <c r="E701" t="s">
        <v>1049</v>
      </c>
      <c r="F701" t="s">
        <v>1050</v>
      </c>
      <c r="G701" t="s">
        <v>1051</v>
      </c>
    </row>
    <row r="702" spans="2:7" ht="12.75">
      <c r="B702" s="19">
        <v>298</v>
      </c>
      <c r="E702" t="s">
        <v>1052</v>
      </c>
      <c r="F702" t="s">
        <v>1053</v>
      </c>
      <c r="G702" t="s">
        <v>1054</v>
      </c>
    </row>
    <row r="703" spans="2:7" ht="12.75">
      <c r="B703" s="19">
        <v>299</v>
      </c>
      <c r="E703" t="s">
        <v>1055</v>
      </c>
      <c r="F703" t="s">
        <v>1056</v>
      </c>
      <c r="G703" t="s">
        <v>1057</v>
      </c>
    </row>
    <row r="704" spans="2:7" ht="12.75">
      <c r="B704" s="19">
        <v>300</v>
      </c>
      <c r="E704" t="s">
        <v>1058</v>
      </c>
      <c r="F704" t="s">
        <v>1059</v>
      </c>
      <c r="G704" t="s">
        <v>1060</v>
      </c>
    </row>
    <row r="705" spans="2:7" ht="12.75">
      <c r="B705" s="19">
        <v>301</v>
      </c>
      <c r="E705" t="s">
        <v>1061</v>
      </c>
      <c r="F705" t="s">
        <v>1062</v>
      </c>
      <c r="G705" t="s">
        <v>1063</v>
      </c>
    </row>
    <row r="706" spans="2:7" ht="12.75">
      <c r="B706" s="19">
        <v>302</v>
      </c>
      <c r="E706" t="s">
        <v>1064</v>
      </c>
      <c r="F706" t="s">
        <v>1065</v>
      </c>
      <c r="G706" t="s">
        <v>1066</v>
      </c>
    </row>
    <row r="707" spans="2:7" ht="12.75">
      <c r="B707" s="19">
        <v>303</v>
      </c>
      <c r="E707" t="s">
        <v>1067</v>
      </c>
      <c r="F707" t="s">
        <v>1068</v>
      </c>
      <c r="G707" t="s">
        <v>1069</v>
      </c>
    </row>
    <row r="708" spans="2:7" ht="12.75">
      <c r="B708" s="19">
        <v>304</v>
      </c>
      <c r="E708" t="s">
        <v>1070</v>
      </c>
      <c r="F708" t="s">
        <v>1071</v>
      </c>
      <c r="G708" t="s">
        <v>1072</v>
      </c>
    </row>
    <row r="709" spans="2:7" ht="12.75">
      <c r="B709" s="19">
        <v>305</v>
      </c>
      <c r="E709" t="s">
        <v>1073</v>
      </c>
      <c r="F709" t="s">
        <v>1074</v>
      </c>
      <c r="G709" t="s">
        <v>1075</v>
      </c>
    </row>
    <row r="710" spans="2:7" ht="12.75">
      <c r="B710" s="19">
        <v>306</v>
      </c>
      <c r="E710" t="s">
        <v>1076</v>
      </c>
      <c r="F710" t="s">
        <v>1077</v>
      </c>
      <c r="G710" t="s">
        <v>1078</v>
      </c>
    </row>
    <row r="711" spans="2:7" ht="12.75">
      <c r="B711" s="19">
        <v>307</v>
      </c>
      <c r="E711" t="s">
        <v>1079</v>
      </c>
      <c r="F711" t="s">
        <v>1080</v>
      </c>
      <c r="G711" t="s">
        <v>1081</v>
      </c>
    </row>
    <row r="712" spans="2:7" ht="12.75">
      <c r="B712" s="19">
        <v>308</v>
      </c>
      <c r="E712" t="s">
        <v>1082</v>
      </c>
      <c r="F712" t="s">
        <v>1083</v>
      </c>
      <c r="G712" t="s">
        <v>1084</v>
      </c>
    </row>
    <row r="713" spans="2:7" ht="12.75">
      <c r="B713" s="19">
        <v>309</v>
      </c>
      <c r="E713" t="s">
        <v>1085</v>
      </c>
      <c r="F713" t="s">
        <v>1086</v>
      </c>
      <c r="G713" t="s">
        <v>1087</v>
      </c>
    </row>
    <row r="714" spans="2:7" ht="12.75">
      <c r="B714" s="19">
        <v>310</v>
      </c>
      <c r="E714" t="s">
        <v>1088</v>
      </c>
      <c r="F714" t="s">
        <v>1089</v>
      </c>
      <c r="G714" t="s">
        <v>1090</v>
      </c>
    </row>
    <row r="715" spans="2:7" ht="12.75">
      <c r="B715" s="19">
        <v>311</v>
      </c>
      <c r="E715" t="s">
        <v>1091</v>
      </c>
      <c r="F715" t="s">
        <v>1092</v>
      </c>
      <c r="G715" t="s">
        <v>1093</v>
      </c>
    </row>
    <row r="716" spans="2:7" ht="12.75">
      <c r="B716" s="19">
        <v>312</v>
      </c>
      <c r="E716" t="s">
        <v>1094</v>
      </c>
      <c r="F716" t="s">
        <v>1095</v>
      </c>
      <c r="G716" t="s">
        <v>1096</v>
      </c>
    </row>
    <row r="717" spans="2:7" ht="12.75">
      <c r="B717" s="19">
        <v>313</v>
      </c>
      <c r="E717" t="s">
        <v>1097</v>
      </c>
      <c r="F717" t="s">
        <v>1098</v>
      </c>
      <c r="G717" t="s">
        <v>1099</v>
      </c>
    </row>
    <row r="718" spans="2:7" ht="12.75">
      <c r="B718" s="19">
        <v>314</v>
      </c>
      <c r="E718" t="s">
        <v>1100</v>
      </c>
      <c r="F718" t="s">
        <v>1101</v>
      </c>
      <c r="G718" t="s">
        <v>1102</v>
      </c>
    </row>
    <row r="719" spans="2:7" ht="12.75">
      <c r="B719" s="19">
        <v>315</v>
      </c>
      <c r="E719" t="s">
        <v>1103</v>
      </c>
      <c r="F719" t="s">
        <v>1104</v>
      </c>
      <c r="G719" t="s">
        <v>1105</v>
      </c>
    </row>
    <row r="720" spans="2:7" ht="12.75">
      <c r="B720" s="19">
        <v>316</v>
      </c>
      <c r="E720" t="s">
        <v>1106</v>
      </c>
      <c r="F720" t="s">
        <v>1107</v>
      </c>
      <c r="G720" t="s">
        <v>1108</v>
      </c>
    </row>
    <row r="721" spans="2:7" ht="12.75">
      <c r="B721" s="19">
        <v>317</v>
      </c>
      <c r="E721" t="s">
        <v>1109</v>
      </c>
      <c r="F721" t="s">
        <v>1110</v>
      </c>
      <c r="G721" t="s">
        <v>1111</v>
      </c>
    </row>
    <row r="722" spans="2:7" ht="12.75">
      <c r="B722" s="19">
        <v>318</v>
      </c>
      <c r="E722" t="s">
        <v>1112</v>
      </c>
      <c r="F722" t="s">
        <v>1113</v>
      </c>
      <c r="G722" t="s">
        <v>1114</v>
      </c>
    </row>
    <row r="723" spans="2:7" ht="12.75">
      <c r="B723" s="19">
        <v>319</v>
      </c>
      <c r="E723" t="s">
        <v>1115</v>
      </c>
      <c r="F723" t="s">
        <v>1116</v>
      </c>
      <c r="G723" t="s">
        <v>1117</v>
      </c>
    </row>
    <row r="724" spans="2:7" ht="12.75">
      <c r="B724" s="19">
        <v>320</v>
      </c>
      <c r="E724" t="s">
        <v>1118</v>
      </c>
      <c r="F724" t="s">
        <v>1119</v>
      </c>
      <c r="G724" t="s">
        <v>1120</v>
      </c>
    </row>
    <row r="725" spans="2:7" ht="12.75">
      <c r="B725" s="19">
        <v>321</v>
      </c>
      <c r="E725" t="s">
        <v>1121</v>
      </c>
      <c r="F725" t="s">
        <v>1122</v>
      </c>
      <c r="G725" t="s">
        <v>1123</v>
      </c>
    </row>
    <row r="726" spans="2:7" ht="12.75">
      <c r="B726" s="19">
        <v>322</v>
      </c>
      <c r="E726" t="s">
        <v>1124</v>
      </c>
      <c r="F726" t="s">
        <v>1125</v>
      </c>
      <c r="G726" t="s">
        <v>1126</v>
      </c>
    </row>
    <row r="727" spans="2:7" ht="12.75">
      <c r="B727" s="19">
        <v>323</v>
      </c>
      <c r="E727" t="s">
        <v>1127</v>
      </c>
      <c r="F727" t="s">
        <v>1128</v>
      </c>
      <c r="G727" t="s">
        <v>1129</v>
      </c>
    </row>
    <row r="728" spans="2:7" ht="12.75">
      <c r="B728" s="19">
        <v>324</v>
      </c>
      <c r="E728" t="s">
        <v>1130</v>
      </c>
      <c r="F728" t="s">
        <v>1131</v>
      </c>
      <c r="G728" t="s">
        <v>1132</v>
      </c>
    </row>
    <row r="729" spans="2:7" ht="12.75">
      <c r="B729" s="19">
        <v>325</v>
      </c>
      <c r="E729" t="s">
        <v>1133</v>
      </c>
      <c r="F729" t="s">
        <v>1134</v>
      </c>
      <c r="G729" t="s">
        <v>1135</v>
      </c>
    </row>
    <row r="730" spans="2:7" ht="12.75">
      <c r="B730" s="19">
        <v>326</v>
      </c>
      <c r="E730" t="s">
        <v>1136</v>
      </c>
      <c r="F730" t="s">
        <v>1137</v>
      </c>
      <c r="G730" t="s">
        <v>1138</v>
      </c>
    </row>
    <row r="731" spans="2:7" ht="12.75">
      <c r="B731" s="19">
        <v>327</v>
      </c>
      <c r="E731" t="s">
        <v>1139</v>
      </c>
      <c r="F731" t="s">
        <v>1140</v>
      </c>
      <c r="G731" t="s">
        <v>1141</v>
      </c>
    </row>
    <row r="732" spans="2:7" ht="12.75">
      <c r="B732" s="19">
        <v>328</v>
      </c>
      <c r="E732" t="s">
        <v>1142</v>
      </c>
      <c r="F732" t="s">
        <v>1143</v>
      </c>
      <c r="G732" t="s">
        <v>1144</v>
      </c>
    </row>
    <row r="733" spans="2:7" ht="12.75">
      <c r="B733" s="19">
        <v>329</v>
      </c>
      <c r="E733" t="s">
        <v>1145</v>
      </c>
      <c r="F733" t="s">
        <v>1146</v>
      </c>
      <c r="G733" t="s">
        <v>1147</v>
      </c>
    </row>
    <row r="734" spans="2:7" ht="12.75">
      <c r="B734" s="19">
        <v>330</v>
      </c>
      <c r="E734" t="s">
        <v>1148</v>
      </c>
      <c r="F734" t="s">
        <v>1149</v>
      </c>
      <c r="G734" t="s">
        <v>1150</v>
      </c>
    </row>
    <row r="735" spans="2:7" ht="12.75">
      <c r="B735" s="19">
        <v>331</v>
      </c>
      <c r="E735" t="s">
        <v>1151</v>
      </c>
      <c r="F735" t="s">
        <v>1152</v>
      </c>
      <c r="G735" t="s">
        <v>1153</v>
      </c>
    </row>
    <row r="736" spans="2:7" ht="12.75">
      <c r="B736" s="19">
        <v>332</v>
      </c>
      <c r="E736" t="s">
        <v>1154</v>
      </c>
      <c r="F736" t="s">
        <v>1155</v>
      </c>
      <c r="G736" t="s">
        <v>1156</v>
      </c>
    </row>
    <row r="737" spans="2:7" ht="12.75">
      <c r="B737" s="19">
        <v>333</v>
      </c>
      <c r="E737" t="s">
        <v>1157</v>
      </c>
      <c r="F737" t="s">
        <v>1158</v>
      </c>
      <c r="G737" t="s">
        <v>1159</v>
      </c>
    </row>
    <row r="738" spans="2:7" ht="12.75">
      <c r="B738" s="19">
        <v>334</v>
      </c>
      <c r="E738" t="s">
        <v>1160</v>
      </c>
      <c r="F738" t="s">
        <v>1161</v>
      </c>
      <c r="G738" t="s">
        <v>1162</v>
      </c>
    </row>
    <row r="739" spans="2:7" ht="12.75">
      <c r="B739" s="19">
        <v>335</v>
      </c>
      <c r="E739" t="s">
        <v>1163</v>
      </c>
      <c r="F739" t="s">
        <v>1164</v>
      </c>
      <c r="G739" t="s">
        <v>1165</v>
      </c>
    </row>
    <row r="740" spans="2:7" ht="12.75">
      <c r="B740" s="19">
        <v>336</v>
      </c>
      <c r="E740" t="s">
        <v>1166</v>
      </c>
      <c r="F740" t="s">
        <v>1167</v>
      </c>
      <c r="G740" t="s">
        <v>1168</v>
      </c>
    </row>
    <row r="741" spans="2:7" ht="12.75">
      <c r="B741" s="19">
        <v>337</v>
      </c>
      <c r="E741" t="s">
        <v>1169</v>
      </c>
      <c r="F741" t="s">
        <v>1170</v>
      </c>
      <c r="G741" t="s">
        <v>1171</v>
      </c>
    </row>
    <row r="742" spans="2:7" ht="12.75">
      <c r="B742" s="19">
        <v>338</v>
      </c>
      <c r="E742" t="s">
        <v>1172</v>
      </c>
      <c r="F742" t="s">
        <v>1173</v>
      </c>
      <c r="G742" t="s">
        <v>1174</v>
      </c>
    </row>
    <row r="743" spans="2:7" ht="12.75">
      <c r="B743" s="19">
        <v>339</v>
      </c>
      <c r="E743" t="s">
        <v>1175</v>
      </c>
      <c r="F743" t="s">
        <v>1176</v>
      </c>
      <c r="G743" t="s">
        <v>1177</v>
      </c>
    </row>
    <row r="744" spans="2:7" ht="12.75">
      <c r="B744" s="19">
        <v>340</v>
      </c>
      <c r="E744" t="s">
        <v>1178</v>
      </c>
      <c r="F744" t="s">
        <v>1179</v>
      </c>
      <c r="G744" t="s">
        <v>1180</v>
      </c>
    </row>
    <row r="745" spans="2:7" ht="12.75">
      <c r="B745" s="19">
        <v>341</v>
      </c>
      <c r="E745" t="s">
        <v>1181</v>
      </c>
      <c r="F745" t="s">
        <v>1182</v>
      </c>
      <c r="G745" t="s">
        <v>1183</v>
      </c>
    </row>
    <row r="746" spans="2:7" ht="12.75">
      <c r="B746" s="19">
        <v>342</v>
      </c>
      <c r="E746" t="s">
        <v>1184</v>
      </c>
      <c r="F746" t="s">
        <v>1185</v>
      </c>
      <c r="G746" t="s">
        <v>1186</v>
      </c>
    </row>
    <row r="747" spans="2:7" ht="12.75">
      <c r="B747" s="19">
        <v>343</v>
      </c>
      <c r="E747" t="s">
        <v>1187</v>
      </c>
      <c r="F747" t="s">
        <v>1188</v>
      </c>
      <c r="G747" t="s">
        <v>1189</v>
      </c>
    </row>
    <row r="748" spans="2:7" ht="12.75">
      <c r="B748" s="19">
        <v>344</v>
      </c>
      <c r="E748" t="s">
        <v>1190</v>
      </c>
      <c r="F748" t="s">
        <v>1191</v>
      </c>
      <c r="G748" t="s">
        <v>1192</v>
      </c>
    </row>
    <row r="749" spans="2:7" ht="12.75">
      <c r="B749" s="19">
        <v>345</v>
      </c>
      <c r="E749" t="s">
        <v>1193</v>
      </c>
      <c r="F749" t="s">
        <v>1194</v>
      </c>
      <c r="G749" t="s">
        <v>1195</v>
      </c>
    </row>
    <row r="750" spans="2:7" ht="12.75">
      <c r="B750" s="19">
        <v>346</v>
      </c>
      <c r="E750" t="s">
        <v>1196</v>
      </c>
      <c r="F750" t="s">
        <v>1197</v>
      </c>
      <c r="G750" t="s">
        <v>1198</v>
      </c>
    </row>
    <row r="751" spans="2:7" ht="12.75">
      <c r="B751" s="19">
        <v>347</v>
      </c>
      <c r="E751" t="s">
        <v>1199</v>
      </c>
      <c r="F751" t="s">
        <v>1200</v>
      </c>
      <c r="G751" t="s">
        <v>1201</v>
      </c>
    </row>
    <row r="752" spans="2:7" ht="12.75">
      <c r="B752" s="19">
        <v>348</v>
      </c>
      <c r="E752" t="s">
        <v>1202</v>
      </c>
      <c r="F752" t="s">
        <v>1203</v>
      </c>
      <c r="G752" t="s">
        <v>1204</v>
      </c>
    </row>
    <row r="753" spans="2:7" ht="12.75">
      <c r="B753" s="19">
        <v>349</v>
      </c>
      <c r="E753" t="s">
        <v>1205</v>
      </c>
      <c r="F753" t="s">
        <v>1206</v>
      </c>
      <c r="G753" t="s">
        <v>1207</v>
      </c>
    </row>
    <row r="754" spans="2:7" ht="12.75">
      <c r="B754" s="19">
        <v>350</v>
      </c>
      <c r="E754" t="s">
        <v>1208</v>
      </c>
      <c r="F754" t="s">
        <v>1209</v>
      </c>
      <c r="G754" t="s">
        <v>1210</v>
      </c>
    </row>
    <row r="755" spans="2:7" ht="12.75">
      <c r="B755" s="19">
        <v>351</v>
      </c>
      <c r="E755" t="s">
        <v>1211</v>
      </c>
      <c r="F755" t="s">
        <v>1212</v>
      </c>
      <c r="G755" t="s">
        <v>1213</v>
      </c>
    </row>
    <row r="756" spans="2:7" ht="12.75">
      <c r="B756" s="19">
        <v>352</v>
      </c>
      <c r="E756" t="s">
        <v>1214</v>
      </c>
      <c r="F756" t="s">
        <v>1215</v>
      </c>
      <c r="G756" t="s">
        <v>1216</v>
      </c>
    </row>
    <row r="757" spans="2:7" ht="12.75">
      <c r="B757" s="19">
        <v>353</v>
      </c>
      <c r="E757" t="s">
        <v>1217</v>
      </c>
      <c r="F757" t="s">
        <v>1218</v>
      </c>
      <c r="G757" t="s">
        <v>1219</v>
      </c>
    </row>
    <row r="758" spans="2:7" ht="12.75">
      <c r="B758" s="19">
        <v>354</v>
      </c>
      <c r="E758" t="s">
        <v>1220</v>
      </c>
      <c r="F758" t="s">
        <v>1221</v>
      </c>
      <c r="G758" t="s">
        <v>1222</v>
      </c>
    </row>
    <row r="759" spans="2:7" ht="12.75">
      <c r="B759" s="19">
        <v>355</v>
      </c>
      <c r="E759" t="s">
        <v>1223</v>
      </c>
      <c r="F759" t="s">
        <v>1224</v>
      </c>
      <c r="G759" t="s">
        <v>1225</v>
      </c>
    </row>
    <row r="760" spans="2:7" ht="12.75">
      <c r="B760" s="19">
        <v>356</v>
      </c>
      <c r="E760" t="s">
        <v>1226</v>
      </c>
      <c r="F760" t="s">
        <v>1227</v>
      </c>
      <c r="G760" t="s">
        <v>1228</v>
      </c>
    </row>
    <row r="761" spans="2:7" ht="12.75">
      <c r="B761" s="19">
        <v>357</v>
      </c>
      <c r="E761" t="s">
        <v>1229</v>
      </c>
      <c r="F761" t="s">
        <v>1230</v>
      </c>
      <c r="G761" t="s">
        <v>1231</v>
      </c>
    </row>
    <row r="762" spans="2:7" ht="12.75">
      <c r="B762" s="19">
        <v>358</v>
      </c>
      <c r="E762" t="s">
        <v>1232</v>
      </c>
      <c r="F762" t="s">
        <v>1233</v>
      </c>
      <c r="G762" t="s">
        <v>1234</v>
      </c>
    </row>
    <row r="763" spans="2:7" ht="12.75">
      <c r="B763" s="19">
        <v>359</v>
      </c>
      <c r="E763" t="s">
        <v>1235</v>
      </c>
      <c r="F763" t="s">
        <v>1236</v>
      </c>
      <c r="G763" t="s">
        <v>1237</v>
      </c>
    </row>
    <row r="764" spans="2:7" ht="12.75">
      <c r="B764" s="19">
        <v>360</v>
      </c>
      <c r="E764" t="s">
        <v>1238</v>
      </c>
      <c r="F764" t="s">
        <v>1239</v>
      </c>
      <c r="G764" t="s">
        <v>1240</v>
      </c>
    </row>
    <row r="765" spans="2:7" ht="12.75">
      <c r="B765" s="19">
        <v>361</v>
      </c>
      <c r="E765" t="s">
        <v>1308</v>
      </c>
      <c r="F765" t="s">
        <v>1309</v>
      </c>
      <c r="G765" t="s">
        <v>1310</v>
      </c>
    </row>
    <row r="766" spans="2:7" ht="12.75">
      <c r="B766" s="19">
        <v>362</v>
      </c>
      <c r="E766" t="s">
        <v>1311</v>
      </c>
      <c r="F766" t="s">
        <v>1312</v>
      </c>
      <c r="G766" t="s">
        <v>1313</v>
      </c>
    </row>
    <row r="767" spans="2:7" ht="12.75">
      <c r="B767" s="19">
        <v>363</v>
      </c>
      <c r="E767" t="s">
        <v>1314</v>
      </c>
      <c r="F767" t="s">
        <v>1315</v>
      </c>
      <c r="G767" t="s">
        <v>1316</v>
      </c>
    </row>
    <row r="768" spans="2:7" ht="12.75">
      <c r="B768" s="19">
        <v>364</v>
      </c>
      <c r="E768" t="s">
        <v>1317</v>
      </c>
      <c r="F768" t="s">
        <v>1318</v>
      </c>
      <c r="G768" t="s">
        <v>1319</v>
      </c>
    </row>
    <row r="769" spans="2:7" ht="12.75">
      <c r="B769" s="19">
        <v>365</v>
      </c>
      <c r="E769" t="s">
        <v>1320</v>
      </c>
      <c r="F769" t="s">
        <v>1321</v>
      </c>
      <c r="G769" t="s">
        <v>1322</v>
      </c>
    </row>
  </sheetData>
  <sheetProtection sheet="1" objects="1" scenarios="1"/>
  <protectedRanges>
    <protectedRange sqref="B2:B30" name="Range1"/>
  </protectedRange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2"/>
  <sheetViews>
    <sheetView workbookViewId="0" topLeftCell="A1">
      <pane ySplit="6720" topLeftCell="BM366" activePane="topLeft" state="split"/>
      <selection pane="topLeft" activeCell="A1" sqref="A1"/>
      <selection pane="bottomLeft" activeCell="A26" sqref="A26"/>
    </sheetView>
  </sheetViews>
  <sheetFormatPr defaultColWidth="9.140625" defaultRowHeight="12.75"/>
  <cols>
    <col min="1" max="4" width="12.7109375" style="7" customWidth="1"/>
    <col min="5" max="8" width="8.8515625" style="0" customWidth="1"/>
    <col min="9" max="9" width="9.140625" style="9" customWidth="1"/>
    <col min="10" max="15" width="8.8515625" style="0" customWidth="1"/>
    <col min="16" max="16" width="9.140625" style="9" customWidth="1"/>
    <col min="17" max="16384" width="8.8515625" style="0" customWidth="1"/>
  </cols>
  <sheetData>
    <row r="1" ht="12.75">
      <c r="A1" s="18" t="s">
        <v>1305</v>
      </c>
    </row>
    <row r="2" ht="12.75">
      <c r="A2" s="18" t="s">
        <v>1333</v>
      </c>
    </row>
    <row r="3" ht="12.75">
      <c r="A3" s="18" t="s">
        <v>1304</v>
      </c>
    </row>
    <row r="4" ht="12.75">
      <c r="A4" s="18" t="s">
        <v>1303</v>
      </c>
    </row>
    <row r="6" ht="12.75">
      <c r="A6" s="75" t="s">
        <v>1300</v>
      </c>
    </row>
    <row r="7" spans="1:16" s="93" customFormat="1" ht="25.5">
      <c r="A7" s="91" t="s">
        <v>60</v>
      </c>
      <c r="B7" s="92" t="s">
        <v>1261</v>
      </c>
      <c r="C7" s="92" t="s">
        <v>1323</v>
      </c>
      <c r="D7" s="92" t="s">
        <v>1324</v>
      </c>
      <c r="I7" s="94"/>
      <c r="P7" s="94"/>
    </row>
    <row r="8" spans="1:9" ht="12.75">
      <c r="A8" s="81">
        <v>36892</v>
      </c>
      <c r="B8" s="10">
        <v>10</v>
      </c>
      <c r="C8" s="10">
        <v>1.015</v>
      </c>
      <c r="D8" s="10">
        <v>0.508</v>
      </c>
      <c r="I8" s="51"/>
    </row>
    <row r="9" spans="1:4" ht="12.75">
      <c r="A9" s="81">
        <v>36893</v>
      </c>
      <c r="B9" s="10">
        <v>9.15</v>
      </c>
      <c r="C9" s="10">
        <v>1.015</v>
      </c>
      <c r="D9" s="10">
        <v>0.254</v>
      </c>
    </row>
    <row r="10" spans="1:4" ht="12.75">
      <c r="A10" s="81">
        <v>36894</v>
      </c>
      <c r="B10" s="10">
        <v>8.6</v>
      </c>
      <c r="C10" s="10">
        <v>1.015</v>
      </c>
      <c r="D10" s="10">
        <v>0.254</v>
      </c>
    </row>
    <row r="11" spans="1:4" ht="12.75">
      <c r="A11" s="81">
        <v>36895</v>
      </c>
      <c r="B11" s="10">
        <v>10.55</v>
      </c>
      <c r="C11" s="10">
        <v>1.269</v>
      </c>
      <c r="D11" s="10">
        <v>0</v>
      </c>
    </row>
    <row r="12" spans="1:4" ht="12.75">
      <c r="A12" s="81">
        <v>36896</v>
      </c>
      <c r="B12" s="10">
        <v>9.15</v>
      </c>
      <c r="C12" s="10">
        <v>1.015</v>
      </c>
      <c r="D12" s="10">
        <v>0.254</v>
      </c>
    </row>
    <row r="13" spans="1:4" ht="12.75">
      <c r="A13" s="81">
        <v>36897</v>
      </c>
      <c r="B13" s="10">
        <v>9.45</v>
      </c>
      <c r="C13" s="10">
        <v>1.015</v>
      </c>
      <c r="D13" s="10">
        <v>0</v>
      </c>
    </row>
    <row r="14" spans="1:4" ht="12.75">
      <c r="A14" s="81">
        <v>36898</v>
      </c>
      <c r="B14" s="10">
        <v>6.4</v>
      </c>
      <c r="C14" s="10">
        <v>0.254</v>
      </c>
      <c r="D14" s="10">
        <v>3.807</v>
      </c>
    </row>
    <row r="15" spans="1:4" ht="12.75">
      <c r="A15" s="81">
        <v>36899</v>
      </c>
      <c r="B15" s="10">
        <v>8.9</v>
      </c>
      <c r="C15" s="10">
        <v>0.508</v>
      </c>
      <c r="D15" s="10">
        <v>9.645</v>
      </c>
    </row>
    <row r="16" spans="1:4" ht="12.75">
      <c r="A16" s="81">
        <v>36900</v>
      </c>
      <c r="B16" s="10">
        <v>5</v>
      </c>
      <c r="C16" s="10">
        <v>0</v>
      </c>
      <c r="D16" s="10">
        <v>2.792</v>
      </c>
    </row>
    <row r="17" spans="1:4" ht="12.75">
      <c r="A17" s="81">
        <v>36901</v>
      </c>
      <c r="B17" s="10">
        <v>8.35</v>
      </c>
      <c r="C17" s="10">
        <v>0</v>
      </c>
      <c r="D17" s="10">
        <v>43.4</v>
      </c>
    </row>
    <row r="18" spans="1:4" ht="12.75">
      <c r="A18" s="81">
        <v>36902</v>
      </c>
      <c r="B18" s="10">
        <v>7.5</v>
      </c>
      <c r="C18" s="10">
        <v>0</v>
      </c>
      <c r="D18" s="10">
        <v>38.83</v>
      </c>
    </row>
    <row r="19" spans="1:4" ht="12.75">
      <c r="A19" s="81">
        <v>36903</v>
      </c>
      <c r="B19" s="10">
        <v>9.7</v>
      </c>
      <c r="C19" s="10">
        <v>1.015</v>
      </c>
      <c r="D19" s="10">
        <v>0</v>
      </c>
    </row>
    <row r="20" spans="1:4" ht="12.75">
      <c r="A20" s="81">
        <v>36904</v>
      </c>
      <c r="B20" s="10">
        <v>8.3</v>
      </c>
      <c r="C20" s="10">
        <v>1.015</v>
      </c>
      <c r="D20" s="10">
        <v>0</v>
      </c>
    </row>
    <row r="21" spans="1:4" ht="12.75">
      <c r="A21" s="81">
        <v>36905</v>
      </c>
      <c r="B21" s="10">
        <v>7.25</v>
      </c>
      <c r="C21" s="10">
        <v>1.015</v>
      </c>
      <c r="D21" s="10">
        <v>0.254</v>
      </c>
    </row>
    <row r="22" spans="1:4" ht="12.75">
      <c r="A22" s="81">
        <v>36906</v>
      </c>
      <c r="B22" s="10">
        <v>8.9</v>
      </c>
      <c r="C22" s="10">
        <v>2.792</v>
      </c>
      <c r="D22" s="10">
        <v>0</v>
      </c>
    </row>
    <row r="23" spans="1:4" ht="12.75">
      <c r="A23" s="81">
        <v>36907</v>
      </c>
      <c r="B23" s="10">
        <v>8.35</v>
      </c>
      <c r="C23" s="10">
        <v>2.284</v>
      </c>
      <c r="D23" s="10">
        <v>0</v>
      </c>
    </row>
    <row r="24" spans="1:4" ht="12.75">
      <c r="A24" s="81">
        <v>36908</v>
      </c>
      <c r="B24" s="10">
        <v>7.75</v>
      </c>
      <c r="C24" s="10">
        <v>1.523</v>
      </c>
      <c r="D24" s="10">
        <v>0</v>
      </c>
    </row>
    <row r="25" spans="1:4" ht="12.75">
      <c r="A25" s="81">
        <v>36909</v>
      </c>
      <c r="B25" s="10">
        <v>5.25</v>
      </c>
      <c r="C25" s="10">
        <v>1.015</v>
      </c>
      <c r="D25" s="10">
        <v>0</v>
      </c>
    </row>
    <row r="26" spans="1:4" ht="12.75">
      <c r="A26" s="81">
        <v>36910</v>
      </c>
      <c r="B26" s="10">
        <v>8.9</v>
      </c>
      <c r="C26" s="10">
        <v>1.269</v>
      </c>
      <c r="D26" s="10">
        <v>0</v>
      </c>
    </row>
    <row r="27" spans="1:4" ht="12.75">
      <c r="A27" s="81">
        <v>36911</v>
      </c>
      <c r="B27" s="10">
        <v>7.2</v>
      </c>
      <c r="C27" s="10">
        <v>0.761</v>
      </c>
      <c r="D27" s="10">
        <v>0</v>
      </c>
    </row>
    <row r="28" spans="1:4" ht="12.75">
      <c r="A28" s="81">
        <v>36912</v>
      </c>
      <c r="B28" s="10">
        <v>7.75</v>
      </c>
      <c r="C28" s="10">
        <v>0.761</v>
      </c>
      <c r="D28" s="10">
        <v>0</v>
      </c>
    </row>
    <row r="29" spans="1:4" ht="12.75">
      <c r="A29" s="81">
        <v>36913</v>
      </c>
      <c r="B29" s="10">
        <v>8.65</v>
      </c>
      <c r="C29" s="10">
        <v>1.269</v>
      </c>
      <c r="D29" s="10">
        <v>0</v>
      </c>
    </row>
    <row r="30" spans="1:4" ht="12.75">
      <c r="A30" s="81">
        <v>36914</v>
      </c>
      <c r="B30" s="10">
        <v>7.75</v>
      </c>
      <c r="C30" s="10">
        <v>0</v>
      </c>
      <c r="D30" s="10">
        <v>21.06</v>
      </c>
    </row>
    <row r="31" spans="1:4" ht="12.75">
      <c r="A31" s="81">
        <v>36915</v>
      </c>
      <c r="B31" s="10">
        <v>7.2</v>
      </c>
      <c r="C31" s="10">
        <v>1.015</v>
      </c>
      <c r="D31" s="10">
        <v>0</v>
      </c>
    </row>
    <row r="32" spans="1:4" ht="12.75">
      <c r="A32" s="81">
        <v>36916</v>
      </c>
      <c r="B32" s="10">
        <v>4.45</v>
      </c>
      <c r="C32" s="10">
        <v>0.85</v>
      </c>
      <c r="D32" s="10">
        <v>31.47</v>
      </c>
    </row>
    <row r="33" spans="1:4" ht="12.75">
      <c r="A33" s="81">
        <v>36917</v>
      </c>
      <c r="B33" s="10">
        <v>5.85</v>
      </c>
      <c r="C33" s="10">
        <v>0.761</v>
      </c>
      <c r="D33" s="10">
        <v>8.883</v>
      </c>
    </row>
    <row r="34" spans="1:4" ht="12.75">
      <c r="A34" s="81">
        <v>36918</v>
      </c>
      <c r="B34" s="10">
        <v>8.35</v>
      </c>
      <c r="C34" s="10">
        <v>2.284</v>
      </c>
      <c r="D34" s="10">
        <v>0.254</v>
      </c>
    </row>
    <row r="35" spans="1:4" ht="12.75">
      <c r="A35" s="81">
        <v>36919</v>
      </c>
      <c r="B35" s="10">
        <v>7.8</v>
      </c>
      <c r="C35" s="10">
        <v>1.523</v>
      </c>
      <c r="D35" s="10">
        <v>0</v>
      </c>
    </row>
    <row r="36" spans="1:4" ht="12.75">
      <c r="A36" s="81">
        <v>36920</v>
      </c>
      <c r="B36" s="10">
        <v>8.3</v>
      </c>
      <c r="C36" s="10">
        <v>1.269</v>
      </c>
      <c r="D36" s="10">
        <v>2.284</v>
      </c>
    </row>
    <row r="37" spans="1:4" ht="12.75">
      <c r="A37" s="81">
        <v>36921</v>
      </c>
      <c r="B37" s="10">
        <v>8.1</v>
      </c>
      <c r="C37" s="10">
        <v>1.777</v>
      </c>
      <c r="D37" s="10">
        <v>0</v>
      </c>
    </row>
    <row r="38" spans="1:4" ht="12.75">
      <c r="A38" s="81">
        <v>36922</v>
      </c>
      <c r="B38" s="10">
        <v>8.6</v>
      </c>
      <c r="C38" s="10">
        <v>2.031</v>
      </c>
      <c r="D38" s="10">
        <v>0</v>
      </c>
    </row>
    <row r="39" spans="1:4" ht="12.75">
      <c r="A39" s="81">
        <v>36923</v>
      </c>
      <c r="B39" s="10">
        <v>8.05</v>
      </c>
      <c r="C39" s="10">
        <v>1.523</v>
      </c>
      <c r="D39" s="10">
        <v>0</v>
      </c>
    </row>
    <row r="40" spans="1:4" ht="12.75">
      <c r="A40" s="81">
        <v>36924</v>
      </c>
      <c r="B40" s="10">
        <v>8.65</v>
      </c>
      <c r="C40" s="10">
        <v>1.015</v>
      </c>
      <c r="D40" s="10">
        <v>0</v>
      </c>
    </row>
    <row r="41" spans="1:4" ht="12.75">
      <c r="A41" s="81">
        <v>36925</v>
      </c>
      <c r="B41" s="10">
        <v>12.25</v>
      </c>
      <c r="C41" s="10">
        <v>1.777</v>
      </c>
      <c r="D41" s="10">
        <v>0</v>
      </c>
    </row>
    <row r="42" spans="1:4" ht="12.75">
      <c r="A42" s="81">
        <v>36926</v>
      </c>
      <c r="B42" s="10">
        <v>13.9</v>
      </c>
      <c r="C42" s="10">
        <v>1.777</v>
      </c>
      <c r="D42" s="10">
        <v>0</v>
      </c>
    </row>
    <row r="43" spans="1:4" ht="12.75">
      <c r="A43" s="81">
        <v>36927</v>
      </c>
      <c r="B43" s="10">
        <v>11.7</v>
      </c>
      <c r="C43" s="10">
        <v>1.777</v>
      </c>
      <c r="D43" s="10">
        <v>0.254</v>
      </c>
    </row>
    <row r="44" spans="1:4" ht="12.75">
      <c r="A44" s="81">
        <v>36928</v>
      </c>
      <c r="B44" s="10">
        <v>6.7</v>
      </c>
      <c r="C44" s="10">
        <v>2.284</v>
      </c>
      <c r="D44" s="10">
        <v>0.254</v>
      </c>
    </row>
    <row r="45" spans="1:4" ht="12.75">
      <c r="A45" s="81">
        <v>36929</v>
      </c>
      <c r="B45" s="10">
        <v>6.95</v>
      </c>
      <c r="C45" s="10">
        <v>3.3</v>
      </c>
      <c r="D45" s="10">
        <v>0.254</v>
      </c>
    </row>
    <row r="46" spans="1:4" ht="12.75">
      <c r="A46" s="81">
        <v>36930</v>
      </c>
      <c r="B46" s="10">
        <v>9.15</v>
      </c>
      <c r="C46" s="10">
        <v>2.792</v>
      </c>
      <c r="D46" s="10">
        <v>0</v>
      </c>
    </row>
    <row r="47" spans="1:4" ht="12.75">
      <c r="A47" s="81">
        <v>36931</v>
      </c>
      <c r="B47" s="10">
        <v>7.25</v>
      </c>
      <c r="C47" s="10">
        <v>0.508</v>
      </c>
      <c r="D47" s="10">
        <v>24.61</v>
      </c>
    </row>
    <row r="48" spans="1:4" ht="12.75">
      <c r="A48" s="81">
        <v>36932</v>
      </c>
      <c r="B48" s="10">
        <v>8.65</v>
      </c>
      <c r="C48" s="10">
        <v>1.523</v>
      </c>
      <c r="D48" s="10">
        <v>7.868</v>
      </c>
    </row>
    <row r="49" spans="1:4" ht="12.75">
      <c r="A49" s="81">
        <v>36933</v>
      </c>
      <c r="B49" s="10">
        <v>6.35</v>
      </c>
      <c r="C49" s="10">
        <v>1.015</v>
      </c>
      <c r="D49" s="10">
        <v>11.92</v>
      </c>
    </row>
    <row r="50" spans="1:4" ht="12.75">
      <c r="A50" s="81">
        <v>36934</v>
      </c>
      <c r="B50" s="10">
        <v>3.65</v>
      </c>
      <c r="C50" s="10">
        <v>0</v>
      </c>
      <c r="D50" s="10">
        <v>13.95</v>
      </c>
    </row>
    <row r="51" spans="1:4" ht="12.75">
      <c r="A51" s="81">
        <v>36935</v>
      </c>
      <c r="B51" s="10">
        <v>8.9</v>
      </c>
      <c r="C51" s="10">
        <v>2.538</v>
      </c>
      <c r="D51" s="10">
        <v>0</v>
      </c>
    </row>
    <row r="52" spans="1:4" ht="12.75">
      <c r="A52" s="81">
        <v>36936</v>
      </c>
      <c r="B52" s="10">
        <v>6.9</v>
      </c>
      <c r="C52" s="10">
        <v>1.777</v>
      </c>
      <c r="D52" s="10">
        <v>0</v>
      </c>
    </row>
    <row r="53" spans="1:4" ht="12.75">
      <c r="A53" s="81">
        <v>36937</v>
      </c>
      <c r="B53" s="10">
        <v>6.65</v>
      </c>
      <c r="C53" s="10">
        <v>1.015</v>
      </c>
      <c r="D53" s="10">
        <v>0</v>
      </c>
    </row>
    <row r="54" spans="1:4" ht="12.75">
      <c r="A54" s="81">
        <v>36938</v>
      </c>
      <c r="B54" s="10">
        <v>8.05</v>
      </c>
      <c r="C54" s="10">
        <v>1.523</v>
      </c>
      <c r="D54" s="10">
        <v>0</v>
      </c>
    </row>
    <row r="55" spans="1:4" ht="12.75">
      <c r="A55" s="81">
        <v>36939</v>
      </c>
      <c r="B55" s="10">
        <v>8.6</v>
      </c>
      <c r="C55" s="10">
        <v>0.254</v>
      </c>
      <c r="D55" s="10">
        <v>25.38</v>
      </c>
    </row>
    <row r="56" spans="1:4" ht="12.75">
      <c r="A56" s="81">
        <v>36940</v>
      </c>
      <c r="B56" s="10">
        <v>10.25</v>
      </c>
      <c r="C56" s="10">
        <v>0.254</v>
      </c>
      <c r="D56" s="10">
        <v>2.284</v>
      </c>
    </row>
    <row r="57" spans="1:4" ht="12.75">
      <c r="A57" s="81">
        <v>36941</v>
      </c>
      <c r="B57" s="10">
        <v>10.3</v>
      </c>
      <c r="C57" s="10">
        <v>0.508</v>
      </c>
      <c r="D57" s="10">
        <v>30.96</v>
      </c>
    </row>
    <row r="58" spans="1:4" ht="12.75">
      <c r="A58" s="81">
        <v>36942</v>
      </c>
      <c r="B58" s="10">
        <v>11.35</v>
      </c>
      <c r="C58" s="10">
        <v>0.761</v>
      </c>
      <c r="D58" s="10">
        <v>18.78</v>
      </c>
    </row>
    <row r="59" spans="1:4" ht="12.75">
      <c r="A59" s="81">
        <v>36943</v>
      </c>
      <c r="B59" s="10">
        <v>10</v>
      </c>
      <c r="C59" s="10">
        <v>1.269</v>
      </c>
      <c r="D59" s="10">
        <v>17</v>
      </c>
    </row>
    <row r="60" spans="1:4" ht="12.75">
      <c r="A60" s="81">
        <v>36944</v>
      </c>
      <c r="B60" s="10">
        <v>8.05</v>
      </c>
      <c r="C60" s="10">
        <v>1.523</v>
      </c>
      <c r="D60" s="10">
        <v>26.14</v>
      </c>
    </row>
    <row r="61" spans="1:4" ht="12.75">
      <c r="A61" s="81">
        <v>36945</v>
      </c>
      <c r="B61" s="10">
        <v>8.05</v>
      </c>
      <c r="C61" s="10">
        <v>2.031</v>
      </c>
      <c r="D61" s="10">
        <v>0.254</v>
      </c>
    </row>
    <row r="62" spans="1:4" ht="12.75">
      <c r="A62" s="81">
        <v>36946</v>
      </c>
      <c r="B62" s="10">
        <v>8.35</v>
      </c>
      <c r="C62" s="10">
        <v>0.254</v>
      </c>
      <c r="D62" s="10">
        <v>24.61</v>
      </c>
    </row>
    <row r="63" spans="1:4" ht="12.75">
      <c r="A63" s="81">
        <v>36947</v>
      </c>
      <c r="B63" s="10">
        <v>10</v>
      </c>
      <c r="C63" s="10">
        <v>1.015</v>
      </c>
      <c r="D63" s="10">
        <v>19.79</v>
      </c>
    </row>
    <row r="64" spans="1:4" ht="12.75">
      <c r="A64" s="81">
        <v>36948</v>
      </c>
      <c r="B64" s="10">
        <v>10.85</v>
      </c>
      <c r="C64" s="10">
        <v>2.284</v>
      </c>
      <c r="D64" s="10">
        <v>0</v>
      </c>
    </row>
    <row r="65" spans="1:4" ht="12.75">
      <c r="A65" s="81">
        <v>36949</v>
      </c>
      <c r="B65" s="10">
        <v>13.65</v>
      </c>
      <c r="C65" s="10">
        <v>4.061</v>
      </c>
      <c r="D65" s="10">
        <v>0</v>
      </c>
    </row>
    <row r="66" spans="1:4" ht="12.75">
      <c r="A66" s="81">
        <v>36950</v>
      </c>
      <c r="B66" s="10">
        <v>9.45</v>
      </c>
      <c r="C66" s="10">
        <v>4.061</v>
      </c>
      <c r="D66" s="10">
        <v>0</v>
      </c>
    </row>
    <row r="67" spans="1:4" ht="12.75">
      <c r="A67" s="81">
        <v>36951</v>
      </c>
      <c r="B67" s="10">
        <v>7.2</v>
      </c>
      <c r="C67" s="10">
        <v>1.269</v>
      </c>
      <c r="D67" s="10">
        <v>1.777</v>
      </c>
    </row>
    <row r="68" spans="1:4" ht="12.75">
      <c r="A68" s="81">
        <v>36952</v>
      </c>
      <c r="B68" s="10">
        <v>8.6</v>
      </c>
      <c r="C68" s="10">
        <v>0.761</v>
      </c>
      <c r="D68" s="10">
        <v>3.3</v>
      </c>
    </row>
    <row r="69" spans="1:4" ht="12.75">
      <c r="A69" s="81">
        <v>36953</v>
      </c>
      <c r="B69" s="10">
        <v>7.25</v>
      </c>
      <c r="C69" s="10">
        <v>1.269</v>
      </c>
      <c r="D69" s="10">
        <v>4.315</v>
      </c>
    </row>
    <row r="70" spans="1:4" ht="12.75">
      <c r="A70" s="81">
        <v>36954</v>
      </c>
      <c r="B70" s="10">
        <v>10.25</v>
      </c>
      <c r="C70" s="10">
        <v>1</v>
      </c>
      <c r="D70" s="10">
        <v>61.16</v>
      </c>
    </row>
    <row r="71" spans="1:4" ht="12.75">
      <c r="A71" s="81">
        <v>36955</v>
      </c>
      <c r="B71" s="10">
        <v>11.7</v>
      </c>
      <c r="C71" s="10">
        <v>0.761</v>
      </c>
      <c r="D71" s="10">
        <v>2.792</v>
      </c>
    </row>
    <row r="72" spans="1:4" ht="12.75">
      <c r="A72" s="81">
        <v>36956</v>
      </c>
      <c r="B72" s="10">
        <v>13.05</v>
      </c>
      <c r="C72" s="10">
        <v>2.284</v>
      </c>
      <c r="D72" s="10">
        <v>0</v>
      </c>
    </row>
    <row r="73" spans="1:4" ht="12.75">
      <c r="A73" s="81">
        <v>36957</v>
      </c>
      <c r="B73" s="10">
        <v>11.65</v>
      </c>
      <c r="C73" s="10">
        <v>2.538</v>
      </c>
      <c r="D73" s="10">
        <v>0</v>
      </c>
    </row>
    <row r="74" spans="1:4" ht="12.75">
      <c r="A74" s="81">
        <v>36958</v>
      </c>
      <c r="B74" s="10">
        <v>11.95</v>
      </c>
      <c r="C74" s="10">
        <v>2.031</v>
      </c>
      <c r="D74" s="10">
        <v>0</v>
      </c>
    </row>
    <row r="75" spans="1:4" ht="12.75">
      <c r="A75" s="81">
        <v>36959</v>
      </c>
      <c r="B75" s="10">
        <v>11.1</v>
      </c>
      <c r="C75" s="10">
        <v>2.792</v>
      </c>
      <c r="D75" s="10">
        <v>1.269</v>
      </c>
    </row>
    <row r="76" spans="1:4" ht="12.75">
      <c r="A76" s="81">
        <v>36960</v>
      </c>
      <c r="B76" s="10">
        <v>13.05</v>
      </c>
      <c r="C76" s="10">
        <v>3.807</v>
      </c>
      <c r="D76" s="10">
        <v>0</v>
      </c>
    </row>
    <row r="77" spans="1:4" ht="12.75">
      <c r="A77" s="81">
        <v>36961</v>
      </c>
      <c r="B77" s="10">
        <v>12.5</v>
      </c>
      <c r="C77" s="10">
        <v>2.792</v>
      </c>
      <c r="D77" s="10">
        <v>0</v>
      </c>
    </row>
    <row r="78" spans="1:4" ht="12.75">
      <c r="A78" s="81">
        <v>36962</v>
      </c>
      <c r="B78" s="10">
        <v>13.6</v>
      </c>
      <c r="C78" s="10">
        <v>3.553</v>
      </c>
      <c r="D78" s="10">
        <v>0</v>
      </c>
    </row>
    <row r="79" spans="1:4" ht="12.75">
      <c r="A79" s="81">
        <v>36963</v>
      </c>
      <c r="B79" s="10">
        <v>11.1</v>
      </c>
      <c r="C79" s="10">
        <v>3.046</v>
      </c>
      <c r="D79" s="10">
        <v>0</v>
      </c>
    </row>
    <row r="80" spans="1:4" ht="12.75">
      <c r="A80" s="81">
        <v>36964</v>
      </c>
      <c r="B80" s="10">
        <v>13.3</v>
      </c>
      <c r="C80" s="10">
        <v>3.3</v>
      </c>
      <c r="D80" s="10">
        <v>0.254</v>
      </c>
    </row>
    <row r="81" spans="1:4" ht="12.75">
      <c r="A81" s="81">
        <v>36965</v>
      </c>
      <c r="B81" s="10">
        <v>11.1</v>
      </c>
      <c r="C81" s="10">
        <v>1.777</v>
      </c>
      <c r="D81" s="10">
        <v>0</v>
      </c>
    </row>
    <row r="82" spans="1:4" ht="12.75">
      <c r="A82" s="81">
        <v>36966</v>
      </c>
      <c r="B82" s="10">
        <v>12.2</v>
      </c>
      <c r="C82" s="10">
        <v>3.3</v>
      </c>
      <c r="D82" s="10">
        <v>0.254</v>
      </c>
    </row>
    <row r="83" spans="1:4" ht="12.75">
      <c r="A83" s="81">
        <v>36967</v>
      </c>
      <c r="B83" s="10">
        <v>14.75</v>
      </c>
      <c r="C83" s="10">
        <v>3.3</v>
      </c>
      <c r="D83" s="10">
        <v>0</v>
      </c>
    </row>
    <row r="84" spans="1:4" ht="12.75">
      <c r="A84" s="81">
        <v>36968</v>
      </c>
      <c r="B84" s="10">
        <v>16.15</v>
      </c>
      <c r="C84" s="10">
        <v>3.553</v>
      </c>
      <c r="D84" s="10">
        <v>0</v>
      </c>
    </row>
    <row r="85" spans="1:4" ht="12.75">
      <c r="A85" s="81">
        <v>36969</v>
      </c>
      <c r="B85" s="10">
        <v>17.5</v>
      </c>
      <c r="C85" s="10">
        <v>3.3</v>
      </c>
      <c r="D85" s="10">
        <v>0</v>
      </c>
    </row>
    <row r="86" spans="1:4" ht="12.75">
      <c r="A86" s="81">
        <v>36970</v>
      </c>
      <c r="B86" s="10">
        <v>18.9</v>
      </c>
      <c r="C86" s="10">
        <v>3.807</v>
      </c>
      <c r="D86" s="10">
        <v>0</v>
      </c>
    </row>
    <row r="87" spans="1:4" ht="12.75">
      <c r="A87" s="81">
        <v>36971</v>
      </c>
      <c r="B87" s="10">
        <v>14.45</v>
      </c>
      <c r="C87" s="10">
        <v>3.3</v>
      </c>
      <c r="D87" s="10">
        <v>0</v>
      </c>
    </row>
    <row r="88" spans="1:4" ht="12.75">
      <c r="A88" s="81">
        <v>36972</v>
      </c>
      <c r="B88" s="10">
        <v>13.6</v>
      </c>
      <c r="C88" s="10">
        <v>2.538</v>
      </c>
      <c r="D88" s="10">
        <v>0</v>
      </c>
    </row>
    <row r="89" spans="1:4" ht="12.75">
      <c r="A89" s="81">
        <v>36973</v>
      </c>
      <c r="B89" s="10">
        <v>14.7</v>
      </c>
      <c r="C89" s="10">
        <v>3.553</v>
      </c>
      <c r="D89" s="10">
        <v>0</v>
      </c>
    </row>
    <row r="90" spans="1:4" ht="12.75">
      <c r="A90" s="81">
        <v>36974</v>
      </c>
      <c r="B90" s="10">
        <v>13.9</v>
      </c>
      <c r="C90" s="10">
        <v>1.523</v>
      </c>
      <c r="D90" s="10">
        <v>6.091</v>
      </c>
    </row>
    <row r="91" spans="1:4" ht="12.75">
      <c r="A91" s="81">
        <v>36975</v>
      </c>
      <c r="B91" s="10">
        <v>13.35</v>
      </c>
      <c r="C91" s="10">
        <v>3.3</v>
      </c>
      <c r="D91" s="10">
        <v>0.761</v>
      </c>
    </row>
    <row r="92" spans="1:4" ht="12.75">
      <c r="A92" s="81">
        <v>36976</v>
      </c>
      <c r="B92" s="10">
        <v>13.9</v>
      </c>
      <c r="C92" s="10">
        <v>3.807</v>
      </c>
      <c r="D92" s="10">
        <v>0</v>
      </c>
    </row>
    <row r="93" spans="1:4" ht="12.75">
      <c r="A93" s="81">
        <v>36977</v>
      </c>
      <c r="B93" s="10">
        <v>15.6</v>
      </c>
      <c r="C93" s="10">
        <v>3.807</v>
      </c>
      <c r="D93" s="10">
        <v>0</v>
      </c>
    </row>
    <row r="94" spans="1:4" ht="12.75">
      <c r="A94" s="81">
        <v>36978</v>
      </c>
      <c r="B94" s="10">
        <v>18.65</v>
      </c>
      <c r="C94" s="10">
        <v>4.315</v>
      </c>
      <c r="D94" s="10">
        <v>0</v>
      </c>
    </row>
    <row r="95" spans="1:4" ht="12.75">
      <c r="A95" s="81">
        <v>36979</v>
      </c>
      <c r="B95" s="10">
        <v>17.5</v>
      </c>
      <c r="C95" s="10">
        <v>4.569</v>
      </c>
      <c r="D95" s="10">
        <v>0</v>
      </c>
    </row>
    <row r="96" spans="1:4" ht="12.75">
      <c r="A96" s="81">
        <v>36980</v>
      </c>
      <c r="B96" s="10">
        <v>17.8</v>
      </c>
      <c r="C96" s="10">
        <v>4.569</v>
      </c>
      <c r="D96" s="10">
        <v>0</v>
      </c>
    </row>
    <row r="97" spans="1:4" ht="12.75">
      <c r="A97" s="81">
        <v>36981</v>
      </c>
      <c r="B97" s="10">
        <v>18.35</v>
      </c>
      <c r="C97" s="10">
        <v>4.822</v>
      </c>
      <c r="D97" s="10">
        <v>0</v>
      </c>
    </row>
    <row r="98" spans="1:4" ht="12.75">
      <c r="A98" s="81">
        <v>36982</v>
      </c>
      <c r="B98" s="10">
        <v>14.45</v>
      </c>
      <c r="C98" s="10">
        <v>4.061</v>
      </c>
      <c r="D98" s="10">
        <v>0</v>
      </c>
    </row>
    <row r="99" spans="1:4" ht="12.75">
      <c r="A99" s="81">
        <v>36983</v>
      </c>
      <c r="B99" s="10">
        <v>8.35</v>
      </c>
      <c r="C99" s="10">
        <v>3.807</v>
      </c>
      <c r="D99" s="10">
        <v>0</v>
      </c>
    </row>
    <row r="100" spans="1:4" ht="12.75">
      <c r="A100" s="81">
        <v>36984</v>
      </c>
      <c r="B100" s="10">
        <v>7.8</v>
      </c>
      <c r="C100" s="10">
        <v>3.807</v>
      </c>
      <c r="D100" s="10">
        <v>0</v>
      </c>
    </row>
    <row r="101" spans="1:4" ht="12.75">
      <c r="A101" s="81">
        <v>36985</v>
      </c>
      <c r="B101" s="10">
        <v>9.45</v>
      </c>
      <c r="C101" s="10">
        <v>3.807</v>
      </c>
      <c r="D101" s="10">
        <v>0</v>
      </c>
    </row>
    <row r="102" spans="1:4" ht="12.75">
      <c r="A102" s="81">
        <v>36986</v>
      </c>
      <c r="B102" s="10">
        <v>10.3</v>
      </c>
      <c r="C102" s="10">
        <v>4.569</v>
      </c>
      <c r="D102" s="10">
        <v>0</v>
      </c>
    </row>
    <row r="103" spans="1:4" ht="12.75">
      <c r="A103" s="81">
        <v>36987</v>
      </c>
      <c r="B103" s="10">
        <v>9.15</v>
      </c>
      <c r="C103" s="10">
        <v>1.015</v>
      </c>
      <c r="D103" s="10">
        <v>5.33</v>
      </c>
    </row>
    <row r="104" spans="1:4" ht="12.75">
      <c r="A104" s="81">
        <v>36988</v>
      </c>
      <c r="B104" s="10">
        <v>8.3</v>
      </c>
      <c r="C104" s="10">
        <v>3.553</v>
      </c>
      <c r="D104" s="10">
        <v>0</v>
      </c>
    </row>
    <row r="105" spans="1:4" ht="12.75">
      <c r="A105" s="81">
        <v>36989</v>
      </c>
      <c r="B105" s="10">
        <v>7.25</v>
      </c>
      <c r="C105" s="10">
        <v>2.792</v>
      </c>
      <c r="D105" s="10">
        <v>0</v>
      </c>
    </row>
    <row r="106" spans="1:4" ht="12.75">
      <c r="A106" s="81">
        <v>36990</v>
      </c>
      <c r="B106" s="10">
        <v>10.55</v>
      </c>
      <c r="C106" s="10">
        <v>4.822</v>
      </c>
      <c r="D106" s="10">
        <v>0</v>
      </c>
    </row>
    <row r="107" spans="1:4" ht="12.75">
      <c r="A107" s="81">
        <v>36991</v>
      </c>
      <c r="B107" s="10">
        <v>11.95</v>
      </c>
      <c r="C107" s="10">
        <v>4.822</v>
      </c>
      <c r="D107" s="10">
        <v>0</v>
      </c>
    </row>
    <row r="108" spans="1:4" ht="12.75">
      <c r="A108" s="81">
        <v>36992</v>
      </c>
      <c r="B108" s="10">
        <v>11.65</v>
      </c>
      <c r="C108" s="10">
        <v>3.807</v>
      </c>
      <c r="D108" s="10">
        <v>0</v>
      </c>
    </row>
    <row r="109" spans="1:4" ht="12.75">
      <c r="A109" s="81">
        <v>36993</v>
      </c>
      <c r="B109" s="10">
        <v>10.55</v>
      </c>
      <c r="C109" s="10">
        <v>4.569</v>
      </c>
      <c r="D109" s="10">
        <v>0.508</v>
      </c>
    </row>
    <row r="110" spans="1:4" ht="12.75">
      <c r="A110" s="81">
        <v>36994</v>
      </c>
      <c r="B110" s="10">
        <v>11.1</v>
      </c>
      <c r="C110" s="10">
        <v>3.807</v>
      </c>
      <c r="D110" s="10">
        <v>0</v>
      </c>
    </row>
    <row r="111" spans="1:4" ht="12.75">
      <c r="A111" s="81">
        <v>36995</v>
      </c>
      <c r="B111" s="10">
        <v>10.55</v>
      </c>
      <c r="C111" s="10">
        <v>3.807</v>
      </c>
      <c r="D111" s="10">
        <v>0</v>
      </c>
    </row>
    <row r="112" spans="1:4" ht="12.75">
      <c r="A112" s="81">
        <v>36996</v>
      </c>
      <c r="B112" s="10">
        <v>10.85</v>
      </c>
      <c r="C112" s="10">
        <v>4.569</v>
      </c>
      <c r="D112" s="10">
        <v>0</v>
      </c>
    </row>
    <row r="113" spans="1:4" ht="12.75">
      <c r="A113" s="81">
        <v>36997</v>
      </c>
      <c r="B113" s="10">
        <v>10.55</v>
      </c>
      <c r="C113" s="10">
        <v>4.061</v>
      </c>
      <c r="D113" s="10">
        <v>0</v>
      </c>
    </row>
    <row r="114" spans="1:4" ht="12.75">
      <c r="A114" s="81">
        <v>36998</v>
      </c>
      <c r="B114" s="10">
        <v>15.85</v>
      </c>
      <c r="C114" s="10">
        <v>4.315</v>
      </c>
      <c r="D114" s="10">
        <v>0</v>
      </c>
    </row>
    <row r="115" spans="1:4" ht="12.75">
      <c r="A115" s="81">
        <v>36999</v>
      </c>
      <c r="B115" s="10">
        <v>13.05</v>
      </c>
      <c r="C115" s="10">
        <v>3.3</v>
      </c>
      <c r="D115" s="10">
        <v>0.508</v>
      </c>
    </row>
    <row r="116" spans="1:4" ht="12.75">
      <c r="A116" s="81">
        <v>37000</v>
      </c>
      <c r="B116" s="10">
        <v>11.4</v>
      </c>
      <c r="C116" s="10">
        <v>4.315</v>
      </c>
      <c r="D116" s="10">
        <v>0</v>
      </c>
    </row>
    <row r="117" spans="1:4" ht="12.75">
      <c r="A117" s="81">
        <v>37001</v>
      </c>
      <c r="B117" s="10">
        <v>6.95</v>
      </c>
      <c r="C117" s="10">
        <v>0.508</v>
      </c>
      <c r="D117" s="10">
        <v>20.55</v>
      </c>
    </row>
    <row r="118" spans="1:4" ht="12.75">
      <c r="A118" s="81">
        <v>37002</v>
      </c>
      <c r="B118" s="10">
        <v>11.95</v>
      </c>
      <c r="C118" s="10">
        <v>4.569</v>
      </c>
      <c r="D118" s="10">
        <v>0</v>
      </c>
    </row>
    <row r="119" spans="1:4" ht="12.75">
      <c r="A119" s="81">
        <v>37003</v>
      </c>
      <c r="B119" s="10">
        <v>13.65</v>
      </c>
      <c r="C119" s="10">
        <v>4.061</v>
      </c>
      <c r="D119" s="10">
        <v>0</v>
      </c>
    </row>
    <row r="120" spans="1:4" ht="12.75">
      <c r="A120" s="81">
        <v>37004</v>
      </c>
      <c r="B120" s="10">
        <v>15.3</v>
      </c>
      <c r="C120" s="10">
        <v>4.822</v>
      </c>
      <c r="D120" s="10">
        <v>0</v>
      </c>
    </row>
    <row r="121" spans="1:4" ht="12.75">
      <c r="A121" s="81">
        <v>37005</v>
      </c>
      <c r="B121" s="10">
        <v>18.85</v>
      </c>
      <c r="C121" s="10">
        <v>5.584</v>
      </c>
      <c r="D121" s="10">
        <v>0</v>
      </c>
    </row>
    <row r="122" spans="1:4" ht="12.75">
      <c r="A122" s="81">
        <v>37006</v>
      </c>
      <c r="B122" s="10">
        <v>20</v>
      </c>
      <c r="C122" s="10">
        <v>5.838</v>
      </c>
      <c r="D122" s="10">
        <v>0</v>
      </c>
    </row>
    <row r="123" spans="1:4" ht="12.75">
      <c r="A123" s="81">
        <v>37007</v>
      </c>
      <c r="B123" s="10">
        <v>15.55</v>
      </c>
      <c r="C123" s="10">
        <v>4.569</v>
      </c>
      <c r="D123" s="10">
        <v>0</v>
      </c>
    </row>
    <row r="124" spans="1:4" ht="12.75">
      <c r="A124" s="81">
        <v>37008</v>
      </c>
      <c r="B124" s="10">
        <v>14.45</v>
      </c>
      <c r="C124" s="10">
        <v>4.569</v>
      </c>
      <c r="D124" s="10">
        <v>0</v>
      </c>
    </row>
    <row r="125" spans="1:4" ht="12.75">
      <c r="A125" s="81">
        <v>37009</v>
      </c>
      <c r="B125" s="10">
        <v>14.45</v>
      </c>
      <c r="C125" s="10">
        <v>5.076</v>
      </c>
      <c r="D125" s="10">
        <v>0</v>
      </c>
    </row>
    <row r="126" spans="1:4" ht="12.75">
      <c r="A126" s="81">
        <v>37010</v>
      </c>
      <c r="B126" s="10">
        <v>15.55</v>
      </c>
      <c r="C126" s="10">
        <v>5.584</v>
      </c>
      <c r="D126" s="10">
        <v>0</v>
      </c>
    </row>
    <row r="127" spans="1:4" ht="12.75">
      <c r="A127" s="81">
        <v>37011</v>
      </c>
      <c r="B127" s="10">
        <v>18.3</v>
      </c>
      <c r="C127" s="10">
        <v>5.584</v>
      </c>
      <c r="D127" s="10">
        <v>0</v>
      </c>
    </row>
    <row r="128" spans="1:4" ht="12.75">
      <c r="A128" s="81">
        <v>37012</v>
      </c>
      <c r="B128" s="10">
        <v>18.6</v>
      </c>
      <c r="C128" s="10">
        <v>6.091</v>
      </c>
      <c r="D128" s="10">
        <v>0</v>
      </c>
    </row>
    <row r="129" spans="1:4" ht="12.75">
      <c r="A129" s="81">
        <v>37013</v>
      </c>
      <c r="B129" s="10">
        <v>18.35</v>
      </c>
      <c r="C129" s="10">
        <v>8.376</v>
      </c>
      <c r="D129" s="10">
        <v>0.254</v>
      </c>
    </row>
    <row r="130" spans="1:4" ht="12.75">
      <c r="A130" s="81">
        <v>37014</v>
      </c>
      <c r="B130" s="10">
        <v>18.9</v>
      </c>
      <c r="C130" s="10">
        <v>7.614</v>
      </c>
      <c r="D130" s="10">
        <v>0</v>
      </c>
    </row>
    <row r="131" spans="1:4" ht="12.75">
      <c r="A131" s="81">
        <v>37015</v>
      </c>
      <c r="B131" s="10">
        <v>18.1</v>
      </c>
      <c r="C131" s="10">
        <v>6.599</v>
      </c>
      <c r="D131" s="10">
        <v>0</v>
      </c>
    </row>
    <row r="132" spans="1:4" ht="12.75">
      <c r="A132" s="81">
        <v>37016</v>
      </c>
      <c r="B132" s="10">
        <v>18.65</v>
      </c>
      <c r="C132" s="10">
        <v>6.091</v>
      </c>
      <c r="D132" s="10">
        <v>0</v>
      </c>
    </row>
    <row r="133" spans="1:4" ht="12.75">
      <c r="A133" s="81">
        <v>37017</v>
      </c>
      <c r="B133" s="10">
        <v>19.45</v>
      </c>
      <c r="C133" s="10">
        <v>6.345</v>
      </c>
      <c r="D133" s="10">
        <v>0</v>
      </c>
    </row>
    <row r="134" spans="1:4" ht="12.75">
      <c r="A134" s="81">
        <v>37018</v>
      </c>
      <c r="B134" s="10">
        <v>22.2</v>
      </c>
      <c r="C134" s="10">
        <v>6.599</v>
      </c>
      <c r="D134" s="10">
        <v>0</v>
      </c>
    </row>
    <row r="135" spans="1:4" ht="12.75">
      <c r="A135" s="81">
        <v>37019</v>
      </c>
      <c r="B135" s="10">
        <v>23.1</v>
      </c>
      <c r="C135" s="10">
        <v>6.599</v>
      </c>
      <c r="D135" s="10">
        <v>0</v>
      </c>
    </row>
    <row r="136" spans="1:4" ht="12.75">
      <c r="A136" s="81">
        <v>37020</v>
      </c>
      <c r="B136" s="10">
        <v>20.85</v>
      </c>
      <c r="C136" s="10">
        <v>6.345</v>
      </c>
      <c r="D136" s="10">
        <v>0.254</v>
      </c>
    </row>
    <row r="137" spans="1:4" ht="12.75">
      <c r="A137" s="81">
        <v>37021</v>
      </c>
      <c r="B137" s="10">
        <v>21.1</v>
      </c>
      <c r="C137" s="10">
        <v>6.345</v>
      </c>
      <c r="D137" s="10">
        <v>0</v>
      </c>
    </row>
    <row r="138" spans="1:4" ht="12.75">
      <c r="A138" s="81">
        <v>37022</v>
      </c>
      <c r="B138" s="10">
        <v>18.6</v>
      </c>
      <c r="C138" s="10">
        <v>5.838</v>
      </c>
      <c r="D138" s="10">
        <v>0</v>
      </c>
    </row>
    <row r="139" spans="1:4" ht="12.75">
      <c r="A139" s="81">
        <v>37023</v>
      </c>
      <c r="B139" s="10">
        <v>14.7</v>
      </c>
      <c r="C139" s="10">
        <v>4.822</v>
      </c>
      <c r="D139" s="10">
        <v>0</v>
      </c>
    </row>
    <row r="140" spans="1:4" ht="12.75">
      <c r="A140" s="81">
        <v>37024</v>
      </c>
      <c r="B140" s="10">
        <v>14.45</v>
      </c>
      <c r="C140" s="10">
        <v>3.807</v>
      </c>
      <c r="D140" s="10">
        <v>0</v>
      </c>
    </row>
    <row r="141" spans="1:4" ht="12.75">
      <c r="A141" s="81">
        <v>37025</v>
      </c>
      <c r="B141" s="10">
        <v>15.3</v>
      </c>
      <c r="C141" s="10">
        <v>5.33</v>
      </c>
      <c r="D141" s="10">
        <v>0</v>
      </c>
    </row>
    <row r="142" spans="1:4" ht="12.75">
      <c r="A142" s="81">
        <v>37026</v>
      </c>
      <c r="B142" s="10">
        <v>17.8</v>
      </c>
      <c r="C142" s="10">
        <v>4.569</v>
      </c>
      <c r="D142" s="10">
        <v>0.254</v>
      </c>
    </row>
    <row r="143" spans="1:4" ht="12.75">
      <c r="A143" s="81">
        <v>37027</v>
      </c>
      <c r="B143" s="10">
        <v>19.45</v>
      </c>
      <c r="C143" s="10">
        <v>5.838</v>
      </c>
      <c r="D143" s="10">
        <v>0</v>
      </c>
    </row>
    <row r="144" spans="1:4" ht="12.75">
      <c r="A144" s="81">
        <v>37028</v>
      </c>
      <c r="B144" s="10">
        <v>18.6</v>
      </c>
      <c r="C144" s="10">
        <v>5.838</v>
      </c>
      <c r="D144" s="10">
        <v>0</v>
      </c>
    </row>
    <row r="145" spans="1:4" ht="12.75">
      <c r="A145" s="81">
        <v>37029</v>
      </c>
      <c r="B145" s="10">
        <v>20</v>
      </c>
      <c r="C145" s="10">
        <v>6.345</v>
      </c>
      <c r="D145" s="10">
        <v>0</v>
      </c>
    </row>
    <row r="146" spans="1:4" ht="12.75">
      <c r="A146" s="81">
        <v>37030</v>
      </c>
      <c r="B146" s="10">
        <v>20.55</v>
      </c>
      <c r="C146" s="10">
        <v>6.091</v>
      </c>
      <c r="D146" s="10">
        <v>0</v>
      </c>
    </row>
    <row r="147" spans="1:4" ht="12.75">
      <c r="A147" s="81">
        <v>37031</v>
      </c>
      <c r="B147" s="10">
        <v>21.95</v>
      </c>
      <c r="C147" s="10">
        <v>6.345</v>
      </c>
      <c r="D147" s="10">
        <v>0</v>
      </c>
    </row>
    <row r="148" spans="1:4" ht="12.75">
      <c r="A148" s="81">
        <v>37032</v>
      </c>
      <c r="B148" s="10">
        <v>24.45</v>
      </c>
      <c r="C148" s="10">
        <v>7.107</v>
      </c>
      <c r="D148" s="10">
        <v>0</v>
      </c>
    </row>
    <row r="149" spans="1:4" ht="12.75">
      <c r="A149" s="81">
        <v>37033</v>
      </c>
      <c r="B149" s="10">
        <v>20.6</v>
      </c>
      <c r="C149" s="10">
        <v>6.091</v>
      </c>
      <c r="D149" s="10">
        <v>0</v>
      </c>
    </row>
    <row r="150" spans="1:4" ht="12.75">
      <c r="A150" s="81">
        <v>37034</v>
      </c>
      <c r="B150" s="10">
        <v>20.55</v>
      </c>
      <c r="C150" s="10">
        <v>6.345</v>
      </c>
      <c r="D150" s="10">
        <v>0</v>
      </c>
    </row>
    <row r="151" spans="1:4" ht="12.75">
      <c r="A151" s="81">
        <v>37035</v>
      </c>
      <c r="B151" s="10">
        <v>20.3</v>
      </c>
      <c r="C151" s="10">
        <v>6.345</v>
      </c>
      <c r="D151" s="10">
        <v>0</v>
      </c>
    </row>
    <row r="152" spans="1:4" ht="12.75">
      <c r="A152" s="81">
        <v>37036</v>
      </c>
      <c r="B152" s="10">
        <v>17.5</v>
      </c>
      <c r="C152" s="10">
        <v>4.569</v>
      </c>
      <c r="D152" s="10">
        <v>0</v>
      </c>
    </row>
    <row r="153" spans="1:4" ht="12.75">
      <c r="A153" s="81">
        <v>37037</v>
      </c>
      <c r="B153" s="10">
        <v>15.55</v>
      </c>
      <c r="C153" s="10">
        <v>4.569</v>
      </c>
      <c r="D153" s="10">
        <v>0</v>
      </c>
    </row>
    <row r="154" spans="1:4" ht="12.75">
      <c r="A154" s="81">
        <v>37038</v>
      </c>
      <c r="B154" s="10">
        <v>15</v>
      </c>
      <c r="C154" s="10">
        <v>5.076</v>
      </c>
      <c r="D154" s="10">
        <v>0</v>
      </c>
    </row>
    <row r="155" spans="1:4" ht="12.75">
      <c r="A155" s="81">
        <v>37039</v>
      </c>
      <c r="B155" s="10">
        <v>15.85</v>
      </c>
      <c r="C155" s="10">
        <v>5.838</v>
      </c>
      <c r="D155" s="10">
        <v>0</v>
      </c>
    </row>
    <row r="156" spans="1:4" ht="12.75">
      <c r="A156" s="81">
        <v>37040</v>
      </c>
      <c r="B156" s="10">
        <v>19.45</v>
      </c>
      <c r="C156" s="10">
        <v>6.345</v>
      </c>
      <c r="D156" s="10">
        <v>0</v>
      </c>
    </row>
    <row r="157" spans="1:4" ht="12.75">
      <c r="A157" s="81">
        <v>37041</v>
      </c>
      <c r="B157" s="10">
        <v>25</v>
      </c>
      <c r="C157" s="10">
        <v>6.853</v>
      </c>
      <c r="D157" s="10">
        <v>0</v>
      </c>
    </row>
    <row r="158" spans="1:4" ht="12.75">
      <c r="A158" s="81">
        <v>37042</v>
      </c>
      <c r="B158" s="10">
        <v>25.55</v>
      </c>
      <c r="C158" s="10">
        <v>7.868</v>
      </c>
      <c r="D158" s="10">
        <v>0</v>
      </c>
    </row>
    <row r="159" spans="1:4" ht="12.75">
      <c r="A159" s="81">
        <v>37043</v>
      </c>
      <c r="B159" s="10">
        <v>18.6</v>
      </c>
      <c r="C159" s="10">
        <v>5.584</v>
      </c>
      <c r="D159" s="10">
        <v>0</v>
      </c>
    </row>
    <row r="160" spans="1:4" ht="12.75">
      <c r="A160" s="81">
        <v>37044</v>
      </c>
      <c r="B160" s="10">
        <v>16.4</v>
      </c>
      <c r="C160" s="10">
        <v>6.091</v>
      </c>
      <c r="D160" s="10">
        <v>0</v>
      </c>
    </row>
    <row r="161" spans="1:4" ht="12.75">
      <c r="A161" s="81">
        <v>37045</v>
      </c>
      <c r="B161" s="10">
        <v>17.25</v>
      </c>
      <c r="C161" s="10">
        <v>6.599</v>
      </c>
      <c r="D161" s="10">
        <v>0</v>
      </c>
    </row>
    <row r="162" spans="1:4" ht="12.75">
      <c r="A162" s="81">
        <v>37046</v>
      </c>
      <c r="B162" s="10">
        <v>17.2</v>
      </c>
      <c r="C162" s="10">
        <v>6.599</v>
      </c>
      <c r="D162" s="10">
        <v>0</v>
      </c>
    </row>
    <row r="163" spans="1:4" ht="12.75">
      <c r="A163" s="81">
        <v>37047</v>
      </c>
      <c r="B163" s="10">
        <v>17.5</v>
      </c>
      <c r="C163" s="10">
        <v>6.599</v>
      </c>
      <c r="D163" s="10">
        <v>0</v>
      </c>
    </row>
    <row r="164" spans="1:4" ht="12.75">
      <c r="A164" s="81">
        <v>37048</v>
      </c>
      <c r="B164" s="10">
        <v>20.3</v>
      </c>
      <c r="C164" s="10">
        <v>6.599</v>
      </c>
      <c r="D164" s="10">
        <v>0</v>
      </c>
    </row>
    <row r="165" spans="1:4" ht="12.75">
      <c r="A165" s="81">
        <v>37049</v>
      </c>
      <c r="B165" s="10">
        <v>23.85</v>
      </c>
      <c r="C165" s="10">
        <v>3.046</v>
      </c>
      <c r="D165" s="10">
        <v>0</v>
      </c>
    </row>
    <row r="166" spans="1:4" ht="12.75">
      <c r="A166" s="81">
        <v>37050</v>
      </c>
      <c r="B166" s="10">
        <v>20</v>
      </c>
      <c r="C166" s="10">
        <v>2.284</v>
      </c>
      <c r="D166" s="10">
        <v>0</v>
      </c>
    </row>
    <row r="167" spans="1:4" ht="12.75">
      <c r="A167" s="81">
        <v>37051</v>
      </c>
      <c r="B167" s="10">
        <v>17.5</v>
      </c>
      <c r="C167" s="10">
        <v>2.031</v>
      </c>
      <c r="D167" s="10">
        <v>0</v>
      </c>
    </row>
    <row r="168" spans="1:4" ht="12.75">
      <c r="A168" s="81">
        <v>37052</v>
      </c>
      <c r="B168" s="10">
        <v>16.7</v>
      </c>
      <c r="C168" s="10">
        <v>2.031</v>
      </c>
      <c r="D168" s="10">
        <v>0</v>
      </c>
    </row>
    <row r="169" spans="1:4" ht="12.75">
      <c r="A169" s="81">
        <v>37053</v>
      </c>
      <c r="B169" s="10">
        <v>18.35</v>
      </c>
      <c r="C169" s="10">
        <v>3.3</v>
      </c>
      <c r="D169" s="10">
        <v>0</v>
      </c>
    </row>
    <row r="170" spans="1:4" ht="12.75">
      <c r="A170" s="81">
        <v>37054</v>
      </c>
      <c r="B170" s="10">
        <v>20</v>
      </c>
      <c r="C170" s="10">
        <v>6.853</v>
      </c>
      <c r="D170" s="10">
        <v>0</v>
      </c>
    </row>
    <row r="171" spans="1:4" ht="12.75">
      <c r="A171" s="81">
        <v>37055</v>
      </c>
      <c r="B171" s="10">
        <v>21.4</v>
      </c>
      <c r="C171" s="10">
        <v>7.868</v>
      </c>
      <c r="D171" s="10">
        <v>0</v>
      </c>
    </row>
    <row r="172" spans="1:4" ht="12.75">
      <c r="A172" s="81">
        <v>37056</v>
      </c>
      <c r="B172" s="10">
        <v>21.95</v>
      </c>
      <c r="C172" s="10">
        <v>7.36</v>
      </c>
      <c r="D172" s="10">
        <v>0</v>
      </c>
    </row>
    <row r="173" spans="1:4" ht="12.75">
      <c r="A173" s="81">
        <v>37057</v>
      </c>
      <c r="B173" s="10">
        <v>20.55</v>
      </c>
      <c r="C173" s="10">
        <v>7.107</v>
      </c>
      <c r="D173" s="10">
        <v>0</v>
      </c>
    </row>
    <row r="174" spans="1:4" ht="12.75">
      <c r="A174" s="81">
        <v>37058</v>
      </c>
      <c r="B174" s="10">
        <v>22.75</v>
      </c>
      <c r="C174" s="10">
        <v>7.107</v>
      </c>
      <c r="D174" s="10">
        <v>0</v>
      </c>
    </row>
    <row r="175" spans="1:4" ht="12.75">
      <c r="A175" s="81">
        <v>37059</v>
      </c>
      <c r="B175" s="10">
        <v>20.3</v>
      </c>
      <c r="C175" s="10">
        <v>6.853</v>
      </c>
      <c r="D175" s="10">
        <v>0</v>
      </c>
    </row>
    <row r="176" spans="1:4" ht="12.75">
      <c r="A176" s="81">
        <v>37060</v>
      </c>
      <c r="B176" s="10">
        <v>22.5</v>
      </c>
      <c r="C176" s="10">
        <v>7.36</v>
      </c>
      <c r="D176" s="10">
        <v>0.254</v>
      </c>
    </row>
    <row r="177" spans="1:4" ht="12.75">
      <c r="A177" s="81">
        <v>37061</v>
      </c>
      <c r="B177" s="10">
        <v>23.6</v>
      </c>
      <c r="C177" s="10">
        <v>7.36</v>
      </c>
      <c r="D177" s="10">
        <v>0</v>
      </c>
    </row>
    <row r="178" spans="1:4" ht="12.75">
      <c r="A178" s="81">
        <v>37062</v>
      </c>
      <c r="B178" s="10">
        <v>24.45</v>
      </c>
      <c r="C178" s="10">
        <v>7.614</v>
      </c>
      <c r="D178" s="10">
        <v>0.254</v>
      </c>
    </row>
    <row r="179" spans="1:4" ht="12.75">
      <c r="A179" s="81">
        <v>37063</v>
      </c>
      <c r="B179" s="10">
        <v>24.15</v>
      </c>
      <c r="C179" s="10">
        <v>7.107</v>
      </c>
      <c r="D179" s="10">
        <v>0</v>
      </c>
    </row>
    <row r="180" spans="1:4" ht="12.75">
      <c r="A180" s="81">
        <v>37064</v>
      </c>
      <c r="B180" s="10">
        <v>20.85</v>
      </c>
      <c r="C180" s="10">
        <v>6.853</v>
      </c>
      <c r="D180" s="10">
        <v>0</v>
      </c>
    </row>
    <row r="181" spans="1:4" ht="12.75">
      <c r="A181" s="81">
        <v>37065</v>
      </c>
      <c r="B181" s="10">
        <v>15.8</v>
      </c>
      <c r="C181" s="10">
        <v>5.33</v>
      </c>
      <c r="D181" s="10">
        <v>0</v>
      </c>
    </row>
    <row r="182" spans="1:4" ht="12.75">
      <c r="A182" s="81">
        <v>37066</v>
      </c>
      <c r="B182" s="10">
        <v>15.85</v>
      </c>
      <c r="C182" s="10">
        <v>5.33</v>
      </c>
      <c r="D182" s="10">
        <v>0</v>
      </c>
    </row>
    <row r="183" spans="1:4" ht="12.75">
      <c r="A183" s="81">
        <v>37067</v>
      </c>
      <c r="B183" s="10">
        <v>16.7</v>
      </c>
      <c r="C183" s="10">
        <v>2.538</v>
      </c>
      <c r="D183" s="10">
        <v>0.254</v>
      </c>
    </row>
    <row r="184" spans="1:4" ht="12.75">
      <c r="A184" s="81">
        <v>37068</v>
      </c>
      <c r="B184" s="10">
        <v>15.85</v>
      </c>
      <c r="C184" s="10">
        <v>3.807</v>
      </c>
      <c r="D184" s="10">
        <v>0</v>
      </c>
    </row>
    <row r="185" spans="1:4" ht="12.75">
      <c r="A185" s="81">
        <v>37069</v>
      </c>
      <c r="B185" s="10">
        <v>16.95</v>
      </c>
      <c r="C185" s="10">
        <v>0.761</v>
      </c>
      <c r="D185" s="10">
        <v>0.508</v>
      </c>
    </row>
    <row r="186" spans="1:4" ht="12.75">
      <c r="A186" s="81">
        <v>37070</v>
      </c>
      <c r="B186" s="10">
        <v>20</v>
      </c>
      <c r="C186" s="10">
        <v>5.584</v>
      </c>
      <c r="D186" s="10">
        <v>0</v>
      </c>
    </row>
    <row r="187" spans="1:4" ht="12.75">
      <c r="A187" s="81">
        <v>37071</v>
      </c>
      <c r="B187" s="10">
        <v>21.1</v>
      </c>
      <c r="C187" s="10">
        <v>6.091</v>
      </c>
      <c r="D187" s="10">
        <v>0</v>
      </c>
    </row>
    <row r="188" spans="1:4" ht="12.75">
      <c r="A188" s="81">
        <v>37072</v>
      </c>
      <c r="B188" s="10">
        <v>22.5</v>
      </c>
      <c r="C188" s="10">
        <v>6.599</v>
      </c>
      <c r="D188" s="10">
        <v>0</v>
      </c>
    </row>
    <row r="189" spans="1:4" ht="12.75">
      <c r="A189" s="81">
        <v>37073</v>
      </c>
      <c r="B189" s="10">
        <v>21.65</v>
      </c>
      <c r="C189" s="10">
        <v>6.599</v>
      </c>
      <c r="D189" s="10">
        <v>0</v>
      </c>
    </row>
    <row r="190" spans="1:4" ht="12.75">
      <c r="A190" s="81">
        <v>37074</v>
      </c>
      <c r="B190" s="10">
        <v>24.7</v>
      </c>
      <c r="C190" s="10">
        <v>7.107</v>
      </c>
      <c r="D190" s="10">
        <v>0</v>
      </c>
    </row>
    <row r="191" spans="1:4" ht="12.75">
      <c r="A191" s="81">
        <v>37075</v>
      </c>
      <c r="B191" s="10">
        <v>28.1</v>
      </c>
      <c r="C191" s="10">
        <v>7.107</v>
      </c>
      <c r="D191" s="10">
        <v>0</v>
      </c>
    </row>
    <row r="192" spans="1:4" ht="12.75">
      <c r="A192" s="81">
        <v>37076</v>
      </c>
      <c r="B192" s="10">
        <v>23.35</v>
      </c>
      <c r="C192" s="10">
        <v>4.822</v>
      </c>
      <c r="D192" s="10">
        <v>0</v>
      </c>
    </row>
    <row r="193" spans="1:4" ht="12.75">
      <c r="A193" s="81">
        <v>37077</v>
      </c>
      <c r="B193" s="10">
        <v>17.5</v>
      </c>
      <c r="C193" s="10">
        <v>6.345</v>
      </c>
      <c r="D193" s="10">
        <v>0</v>
      </c>
    </row>
    <row r="194" spans="1:4" ht="12.75">
      <c r="A194" s="81">
        <v>37078</v>
      </c>
      <c r="B194" s="10">
        <v>19.45</v>
      </c>
      <c r="C194" s="10">
        <v>6.091</v>
      </c>
      <c r="D194" s="10">
        <v>0</v>
      </c>
    </row>
    <row r="195" spans="1:4" ht="12.75">
      <c r="A195" s="81">
        <v>37079</v>
      </c>
      <c r="B195" s="10">
        <v>21.15</v>
      </c>
      <c r="C195" s="10">
        <v>6.345</v>
      </c>
      <c r="D195" s="10">
        <v>0</v>
      </c>
    </row>
    <row r="196" spans="1:4" ht="12.75">
      <c r="A196" s="81">
        <v>37080</v>
      </c>
      <c r="B196" s="10">
        <v>20.6</v>
      </c>
      <c r="C196" s="10">
        <v>6.345</v>
      </c>
      <c r="D196" s="10">
        <v>0</v>
      </c>
    </row>
    <row r="197" spans="1:4" ht="12.75">
      <c r="A197" s="81">
        <v>37081</v>
      </c>
      <c r="B197" s="10">
        <v>18.85</v>
      </c>
      <c r="C197" s="10">
        <v>6.091</v>
      </c>
      <c r="D197" s="10">
        <v>0</v>
      </c>
    </row>
    <row r="198" spans="1:4" ht="12.75">
      <c r="A198" s="81">
        <v>37082</v>
      </c>
      <c r="B198" s="10">
        <v>19.45</v>
      </c>
      <c r="C198" s="10">
        <v>5.584</v>
      </c>
      <c r="D198" s="10">
        <v>0</v>
      </c>
    </row>
    <row r="199" spans="1:4" ht="12.75">
      <c r="A199" s="81">
        <v>37083</v>
      </c>
      <c r="B199" s="10">
        <v>18.3</v>
      </c>
      <c r="C199" s="10">
        <v>5.838</v>
      </c>
      <c r="D199" s="10">
        <v>0</v>
      </c>
    </row>
    <row r="200" spans="1:4" ht="12.75">
      <c r="A200" s="81">
        <v>37084</v>
      </c>
      <c r="B200" s="10">
        <v>19.15</v>
      </c>
      <c r="C200" s="10">
        <v>5.838</v>
      </c>
      <c r="D200" s="10">
        <v>0</v>
      </c>
    </row>
    <row r="201" spans="1:4" ht="12.75">
      <c r="A201" s="81">
        <v>37085</v>
      </c>
      <c r="B201" s="10">
        <v>19.45</v>
      </c>
      <c r="C201" s="10">
        <v>5.838</v>
      </c>
      <c r="D201" s="10">
        <v>0</v>
      </c>
    </row>
    <row r="202" spans="1:4" ht="12.75">
      <c r="A202" s="81">
        <v>37086</v>
      </c>
      <c r="B202" s="10">
        <v>15.55</v>
      </c>
      <c r="C202" s="10">
        <v>5.33</v>
      </c>
      <c r="D202" s="10">
        <v>0</v>
      </c>
    </row>
    <row r="203" spans="1:4" ht="12.75">
      <c r="A203" s="81">
        <v>37087</v>
      </c>
      <c r="B203" s="10">
        <v>16.95</v>
      </c>
      <c r="C203" s="10">
        <v>5.076</v>
      </c>
      <c r="D203" s="10">
        <v>0</v>
      </c>
    </row>
    <row r="204" spans="1:4" ht="12.75">
      <c r="A204" s="81">
        <v>37088</v>
      </c>
      <c r="B204" s="10">
        <v>16.1</v>
      </c>
      <c r="C204" s="10">
        <v>5.584</v>
      </c>
      <c r="D204" s="10">
        <v>0</v>
      </c>
    </row>
    <row r="205" spans="1:4" ht="12.75">
      <c r="A205" s="81">
        <v>37089</v>
      </c>
      <c r="B205" s="10">
        <v>18.85</v>
      </c>
      <c r="C205" s="10">
        <v>5.584</v>
      </c>
      <c r="D205" s="10">
        <v>0</v>
      </c>
    </row>
    <row r="206" spans="1:4" ht="12.75">
      <c r="A206" s="81">
        <v>37090</v>
      </c>
      <c r="B206" s="10">
        <v>19.45</v>
      </c>
      <c r="C206" s="10">
        <v>6.091</v>
      </c>
      <c r="D206" s="10">
        <v>0</v>
      </c>
    </row>
    <row r="207" spans="1:4" ht="12.75">
      <c r="A207" s="81">
        <v>37091</v>
      </c>
      <c r="B207" s="10">
        <v>16.4</v>
      </c>
      <c r="C207" s="10">
        <v>5.33</v>
      </c>
      <c r="D207" s="10">
        <v>0</v>
      </c>
    </row>
    <row r="208" spans="1:4" ht="12.75">
      <c r="A208" s="81">
        <v>37092</v>
      </c>
      <c r="B208" s="10">
        <v>17.8</v>
      </c>
      <c r="C208" s="10">
        <v>5.33</v>
      </c>
      <c r="D208" s="10">
        <v>0</v>
      </c>
    </row>
    <row r="209" spans="1:4" ht="12.75">
      <c r="A209" s="81">
        <v>37093</v>
      </c>
      <c r="B209" s="10">
        <v>17.2</v>
      </c>
      <c r="C209" s="10">
        <v>5.33</v>
      </c>
      <c r="D209" s="10">
        <v>0</v>
      </c>
    </row>
    <row r="210" spans="1:4" ht="12.75">
      <c r="A210" s="81">
        <v>37094</v>
      </c>
      <c r="B210" s="10">
        <v>20.85</v>
      </c>
      <c r="C210" s="10">
        <v>6.345</v>
      </c>
      <c r="D210" s="10">
        <v>0</v>
      </c>
    </row>
    <row r="211" spans="1:4" ht="12.75">
      <c r="A211" s="81">
        <v>37095</v>
      </c>
      <c r="B211" s="10">
        <v>19.15</v>
      </c>
      <c r="C211" s="10">
        <v>5.838</v>
      </c>
      <c r="D211" s="10">
        <v>0</v>
      </c>
    </row>
    <row r="212" spans="1:4" ht="12.75">
      <c r="A212" s="81">
        <v>37096</v>
      </c>
      <c r="B212" s="10">
        <v>18.35</v>
      </c>
      <c r="C212" s="10">
        <v>5.33</v>
      </c>
      <c r="D212" s="10">
        <v>0</v>
      </c>
    </row>
    <row r="213" spans="1:4" ht="12.75">
      <c r="A213" s="81">
        <v>37097</v>
      </c>
      <c r="B213" s="10">
        <v>18.9</v>
      </c>
      <c r="C213" s="10">
        <v>5.584</v>
      </c>
      <c r="D213" s="10">
        <v>0</v>
      </c>
    </row>
    <row r="214" spans="1:4" ht="12.75">
      <c r="A214" s="81">
        <v>37098</v>
      </c>
      <c r="B214" s="10">
        <v>19.45</v>
      </c>
      <c r="C214" s="10">
        <v>5.33</v>
      </c>
      <c r="D214" s="10">
        <v>0</v>
      </c>
    </row>
    <row r="215" spans="1:4" ht="12.75">
      <c r="A215" s="81">
        <v>37099</v>
      </c>
      <c r="B215" s="10">
        <v>18.05</v>
      </c>
      <c r="C215" s="10">
        <v>5.076</v>
      </c>
      <c r="D215" s="10">
        <v>0</v>
      </c>
    </row>
    <row r="216" spans="1:4" ht="12.75">
      <c r="A216" s="81">
        <v>37100</v>
      </c>
      <c r="B216" s="10">
        <v>18.9</v>
      </c>
      <c r="C216" s="10">
        <v>5.33</v>
      </c>
      <c r="D216" s="10">
        <v>0</v>
      </c>
    </row>
    <row r="217" spans="1:4" ht="12.75">
      <c r="A217" s="81">
        <v>37101</v>
      </c>
      <c r="B217" s="10">
        <v>17.5</v>
      </c>
      <c r="C217" s="10">
        <v>5.076</v>
      </c>
      <c r="D217" s="10">
        <v>0</v>
      </c>
    </row>
    <row r="218" spans="1:4" ht="12.75">
      <c r="A218" s="81">
        <v>37102</v>
      </c>
      <c r="B218" s="10">
        <v>18.9</v>
      </c>
      <c r="C218" s="10">
        <v>5.838</v>
      </c>
      <c r="D218" s="10">
        <v>0</v>
      </c>
    </row>
    <row r="219" spans="1:4" ht="12.75">
      <c r="A219" s="81">
        <v>37103</v>
      </c>
      <c r="B219" s="10">
        <v>20</v>
      </c>
      <c r="C219" s="10">
        <v>5.584</v>
      </c>
      <c r="D219" s="10">
        <v>0</v>
      </c>
    </row>
    <row r="220" spans="1:4" ht="12.75">
      <c r="A220" s="81">
        <v>37104</v>
      </c>
      <c r="B220" s="10">
        <v>18.05</v>
      </c>
      <c r="C220" s="10">
        <v>5.584</v>
      </c>
      <c r="D220" s="10">
        <v>0</v>
      </c>
    </row>
    <row r="221" spans="1:4" ht="12.75">
      <c r="A221" s="81">
        <v>37105</v>
      </c>
      <c r="B221" s="10">
        <v>20</v>
      </c>
      <c r="C221" s="10">
        <v>5.584</v>
      </c>
      <c r="D221" s="10">
        <v>0</v>
      </c>
    </row>
    <row r="222" spans="1:4" ht="12.75">
      <c r="A222" s="81">
        <v>37106</v>
      </c>
      <c r="B222" s="10">
        <v>19.15</v>
      </c>
      <c r="C222" s="10">
        <v>5.584</v>
      </c>
      <c r="D222" s="10">
        <v>0</v>
      </c>
    </row>
    <row r="223" spans="1:4" ht="12.75">
      <c r="A223" s="81">
        <v>37107</v>
      </c>
      <c r="B223" s="10">
        <v>20</v>
      </c>
      <c r="C223" s="10">
        <v>5.584</v>
      </c>
      <c r="D223" s="10">
        <v>0</v>
      </c>
    </row>
    <row r="224" spans="1:4" ht="12.75">
      <c r="A224" s="81">
        <v>37108</v>
      </c>
      <c r="B224" s="10">
        <v>20.3</v>
      </c>
      <c r="C224" s="10">
        <v>6.091</v>
      </c>
      <c r="D224" s="10">
        <v>0</v>
      </c>
    </row>
    <row r="225" spans="1:4" ht="12.75">
      <c r="A225" s="81">
        <v>37109</v>
      </c>
      <c r="B225" s="10">
        <v>21.4</v>
      </c>
      <c r="C225" s="10">
        <v>6.345</v>
      </c>
      <c r="D225" s="10">
        <v>0</v>
      </c>
    </row>
    <row r="226" spans="1:4" ht="12.75">
      <c r="A226" s="81">
        <v>37110</v>
      </c>
      <c r="B226" s="10">
        <v>25.25</v>
      </c>
      <c r="C226" s="10">
        <v>6.345</v>
      </c>
      <c r="D226" s="10">
        <v>0</v>
      </c>
    </row>
    <row r="227" spans="1:4" ht="12.75">
      <c r="A227" s="81">
        <v>37111</v>
      </c>
      <c r="B227" s="10">
        <v>23.05</v>
      </c>
      <c r="C227" s="10">
        <v>6.091</v>
      </c>
      <c r="D227" s="10">
        <v>0</v>
      </c>
    </row>
    <row r="228" spans="1:4" ht="12.75">
      <c r="A228" s="81">
        <v>37112</v>
      </c>
      <c r="B228" s="10">
        <v>19.45</v>
      </c>
      <c r="C228" s="10">
        <v>5.584</v>
      </c>
      <c r="D228" s="10">
        <v>0</v>
      </c>
    </row>
    <row r="229" spans="1:4" ht="12.75">
      <c r="A229" s="81">
        <v>37113</v>
      </c>
      <c r="B229" s="10">
        <v>20</v>
      </c>
      <c r="C229" s="10">
        <v>5.33</v>
      </c>
      <c r="D229" s="10">
        <v>0</v>
      </c>
    </row>
    <row r="230" spans="1:4" ht="12.75">
      <c r="A230" s="81">
        <v>37114</v>
      </c>
      <c r="B230" s="10">
        <v>18.85</v>
      </c>
      <c r="C230" s="10">
        <v>5.838</v>
      </c>
      <c r="D230" s="10">
        <v>0</v>
      </c>
    </row>
    <row r="231" spans="1:4" ht="12.75">
      <c r="A231" s="81">
        <v>37115</v>
      </c>
      <c r="B231" s="10">
        <v>17.75</v>
      </c>
      <c r="C231" s="10">
        <v>4.822</v>
      </c>
      <c r="D231" s="10">
        <v>0</v>
      </c>
    </row>
    <row r="232" spans="1:4" ht="12.75">
      <c r="A232" s="81">
        <v>37116</v>
      </c>
      <c r="B232" s="10">
        <v>18.05</v>
      </c>
      <c r="C232" s="10">
        <v>5.076</v>
      </c>
      <c r="D232" s="10">
        <v>0</v>
      </c>
    </row>
    <row r="233" spans="1:4" ht="12.75">
      <c r="A233" s="81">
        <v>37117</v>
      </c>
      <c r="B233" s="10">
        <v>18.3</v>
      </c>
      <c r="C233" s="10">
        <v>5.076</v>
      </c>
      <c r="D233" s="10">
        <v>0</v>
      </c>
    </row>
    <row r="234" spans="1:4" ht="12.75">
      <c r="A234" s="81">
        <v>37118</v>
      </c>
      <c r="B234" s="10">
        <v>18.85</v>
      </c>
      <c r="C234" s="10">
        <v>5.076</v>
      </c>
      <c r="D234" s="10">
        <v>0</v>
      </c>
    </row>
    <row r="235" spans="1:4" ht="12.75">
      <c r="A235" s="81">
        <v>37119</v>
      </c>
      <c r="B235" s="10">
        <v>22.8</v>
      </c>
      <c r="C235" s="10">
        <v>5.838</v>
      </c>
      <c r="D235" s="10">
        <v>0</v>
      </c>
    </row>
    <row r="236" spans="1:4" ht="12.75">
      <c r="A236" s="81">
        <v>37120</v>
      </c>
      <c r="B236" s="10">
        <v>21.95</v>
      </c>
      <c r="C236" s="10">
        <v>5.838</v>
      </c>
      <c r="D236" s="10">
        <v>0</v>
      </c>
    </row>
    <row r="237" spans="1:4" ht="12.75">
      <c r="A237" s="81">
        <v>37121</v>
      </c>
      <c r="B237" s="10">
        <v>20</v>
      </c>
      <c r="C237" s="10">
        <v>5.33</v>
      </c>
      <c r="D237" s="10">
        <v>0</v>
      </c>
    </row>
    <row r="238" spans="1:4" ht="12.75">
      <c r="A238" s="81">
        <v>37122</v>
      </c>
      <c r="B238" s="10">
        <v>18.35</v>
      </c>
      <c r="C238" s="10">
        <v>5.33</v>
      </c>
      <c r="D238" s="10">
        <v>0</v>
      </c>
    </row>
    <row r="239" spans="1:4" ht="12.75">
      <c r="A239" s="81">
        <v>37123</v>
      </c>
      <c r="B239" s="10">
        <v>16.1</v>
      </c>
      <c r="C239" s="10">
        <v>4.315</v>
      </c>
      <c r="D239" s="10">
        <v>0</v>
      </c>
    </row>
    <row r="240" spans="1:4" ht="12.75">
      <c r="A240" s="81">
        <v>37124</v>
      </c>
      <c r="B240" s="10">
        <v>17.2</v>
      </c>
      <c r="C240" s="10">
        <v>5.076</v>
      </c>
      <c r="D240" s="10">
        <v>0</v>
      </c>
    </row>
    <row r="241" spans="1:4" ht="12.75">
      <c r="A241" s="81">
        <v>37125</v>
      </c>
      <c r="B241" s="10">
        <v>17.5</v>
      </c>
      <c r="C241" s="10">
        <v>5.33</v>
      </c>
      <c r="D241" s="10">
        <v>0</v>
      </c>
    </row>
    <row r="242" spans="1:4" ht="12.75">
      <c r="A242" s="81">
        <v>37126</v>
      </c>
      <c r="B242" s="10">
        <v>19.45</v>
      </c>
      <c r="C242" s="10">
        <v>5.33</v>
      </c>
      <c r="D242" s="10">
        <v>0</v>
      </c>
    </row>
    <row r="243" spans="1:4" ht="12.75">
      <c r="A243" s="81">
        <v>37127</v>
      </c>
      <c r="B243" s="10">
        <v>20.55</v>
      </c>
      <c r="C243" s="10">
        <v>5.076</v>
      </c>
      <c r="D243" s="10">
        <v>0</v>
      </c>
    </row>
    <row r="244" spans="1:4" ht="12.75">
      <c r="A244" s="81">
        <v>37128</v>
      </c>
      <c r="B244" s="10">
        <v>21.65</v>
      </c>
      <c r="C244" s="10">
        <v>5.584</v>
      </c>
      <c r="D244" s="10">
        <v>0</v>
      </c>
    </row>
    <row r="245" spans="1:4" ht="12.75">
      <c r="A245" s="81">
        <v>37129</v>
      </c>
      <c r="B245" s="10">
        <v>21.1</v>
      </c>
      <c r="C245" s="10">
        <v>5.33</v>
      </c>
      <c r="D245" s="10">
        <v>0</v>
      </c>
    </row>
    <row r="246" spans="1:4" ht="12.75">
      <c r="A246" s="81">
        <v>37130</v>
      </c>
      <c r="B246" s="10">
        <v>23.35</v>
      </c>
      <c r="C246" s="10">
        <v>5.584</v>
      </c>
      <c r="D246" s="10">
        <v>0</v>
      </c>
    </row>
    <row r="247" spans="1:4" ht="12.75">
      <c r="A247" s="81">
        <v>37131</v>
      </c>
      <c r="B247" s="10">
        <v>22.25</v>
      </c>
      <c r="C247" s="10">
        <v>5.584</v>
      </c>
      <c r="D247" s="10">
        <v>0</v>
      </c>
    </row>
    <row r="248" spans="1:4" ht="12.75">
      <c r="A248" s="81">
        <v>37132</v>
      </c>
      <c r="B248" s="10">
        <v>18.35</v>
      </c>
      <c r="C248" s="10">
        <v>4.822</v>
      </c>
      <c r="D248" s="10">
        <v>0</v>
      </c>
    </row>
    <row r="249" spans="1:4" ht="12.75">
      <c r="A249" s="81">
        <v>37133</v>
      </c>
      <c r="B249" s="10">
        <v>16.7</v>
      </c>
      <c r="C249" s="10">
        <v>3.553</v>
      </c>
      <c r="D249" s="10">
        <v>0</v>
      </c>
    </row>
    <row r="250" spans="1:4" ht="12.75">
      <c r="A250" s="81">
        <v>37134</v>
      </c>
      <c r="B250" s="10">
        <v>20</v>
      </c>
      <c r="C250" s="10">
        <v>4.569</v>
      </c>
      <c r="D250" s="10">
        <v>0</v>
      </c>
    </row>
    <row r="251" spans="1:4" ht="12.75">
      <c r="A251" s="81">
        <v>37135</v>
      </c>
      <c r="B251" s="10">
        <v>22.25</v>
      </c>
      <c r="C251" s="10">
        <v>4.822</v>
      </c>
      <c r="D251" s="10">
        <v>0</v>
      </c>
    </row>
    <row r="252" spans="1:4" ht="12.75">
      <c r="A252" s="81">
        <v>37136</v>
      </c>
      <c r="B252" s="10">
        <v>21.4</v>
      </c>
      <c r="C252" s="10">
        <v>5.33</v>
      </c>
      <c r="D252" s="10">
        <v>0</v>
      </c>
    </row>
    <row r="253" spans="1:4" ht="12.75">
      <c r="A253" s="81">
        <v>37137</v>
      </c>
      <c r="B253" s="10">
        <v>21.4</v>
      </c>
      <c r="C253" s="10">
        <v>5.33</v>
      </c>
      <c r="D253" s="10">
        <v>0</v>
      </c>
    </row>
    <row r="254" spans="1:4" ht="12.75">
      <c r="A254" s="81">
        <v>37138</v>
      </c>
      <c r="B254" s="10">
        <v>18.9</v>
      </c>
      <c r="C254" s="10">
        <v>5.076</v>
      </c>
      <c r="D254" s="10">
        <v>0</v>
      </c>
    </row>
    <row r="255" spans="1:4" ht="12.75">
      <c r="A255" s="81">
        <v>37139</v>
      </c>
      <c r="B255" s="10">
        <v>18.6</v>
      </c>
      <c r="C255" s="10">
        <v>4.822</v>
      </c>
      <c r="D255" s="10">
        <v>0</v>
      </c>
    </row>
    <row r="256" spans="1:4" ht="12.75">
      <c r="A256" s="81">
        <v>37140</v>
      </c>
      <c r="B256" s="10">
        <v>21.15</v>
      </c>
      <c r="C256" s="10">
        <v>5.33</v>
      </c>
      <c r="D256" s="10">
        <v>0</v>
      </c>
    </row>
    <row r="257" spans="1:4" ht="12.75">
      <c r="A257" s="81">
        <v>37141</v>
      </c>
      <c r="B257" s="10">
        <v>16.15</v>
      </c>
      <c r="C257" s="10">
        <v>5.076</v>
      </c>
      <c r="D257" s="10">
        <v>0</v>
      </c>
    </row>
    <row r="258" spans="1:4" ht="12.75">
      <c r="A258" s="81">
        <v>37142</v>
      </c>
      <c r="B258" s="10">
        <v>16.7</v>
      </c>
      <c r="C258" s="10">
        <v>4.315</v>
      </c>
      <c r="D258" s="10">
        <v>0</v>
      </c>
    </row>
    <row r="259" spans="1:4" ht="12.75">
      <c r="A259" s="81">
        <v>37143</v>
      </c>
      <c r="B259" s="10">
        <v>17.2</v>
      </c>
      <c r="C259" s="10">
        <v>4.315</v>
      </c>
      <c r="D259" s="10">
        <v>0</v>
      </c>
    </row>
    <row r="260" spans="1:4" ht="12.75">
      <c r="A260" s="81">
        <v>37144</v>
      </c>
      <c r="B260" s="10">
        <v>16.1</v>
      </c>
      <c r="C260" s="10">
        <v>4.569</v>
      </c>
      <c r="D260" s="10">
        <v>0</v>
      </c>
    </row>
    <row r="261" spans="1:4" ht="12.75">
      <c r="A261" s="81">
        <v>37145</v>
      </c>
      <c r="B261" s="10">
        <v>19.15</v>
      </c>
      <c r="C261" s="10">
        <v>4.569</v>
      </c>
      <c r="D261" s="10">
        <v>0</v>
      </c>
    </row>
    <row r="262" spans="1:4" ht="12.75">
      <c r="A262" s="81">
        <v>37146</v>
      </c>
      <c r="B262" s="10">
        <v>15.3</v>
      </c>
      <c r="C262" s="10">
        <v>4.061</v>
      </c>
      <c r="D262" s="10">
        <v>0</v>
      </c>
    </row>
    <row r="263" spans="1:4" ht="12.75">
      <c r="A263" s="81">
        <v>37147</v>
      </c>
      <c r="B263" s="10">
        <v>18.35</v>
      </c>
      <c r="C263" s="10">
        <v>3.807</v>
      </c>
      <c r="D263" s="10">
        <v>0</v>
      </c>
    </row>
    <row r="264" spans="1:4" ht="12.75">
      <c r="A264" s="81">
        <v>37148</v>
      </c>
      <c r="B264" s="10">
        <v>20.55</v>
      </c>
      <c r="C264" s="10">
        <v>4.569</v>
      </c>
      <c r="D264" s="10">
        <v>0</v>
      </c>
    </row>
    <row r="265" spans="1:4" ht="12.75">
      <c r="A265" s="81">
        <v>37149</v>
      </c>
      <c r="B265" s="10">
        <v>17.25</v>
      </c>
      <c r="C265" s="10">
        <v>3.807</v>
      </c>
      <c r="D265" s="10">
        <v>0</v>
      </c>
    </row>
    <row r="266" spans="1:4" ht="12.75">
      <c r="A266" s="81">
        <v>37150</v>
      </c>
      <c r="B266" s="10">
        <v>16.35</v>
      </c>
      <c r="C266" s="10">
        <v>3.3</v>
      </c>
      <c r="D266" s="10">
        <v>0</v>
      </c>
    </row>
    <row r="267" spans="1:4" ht="12.75">
      <c r="A267" s="81">
        <v>37151</v>
      </c>
      <c r="B267" s="10">
        <v>17.25</v>
      </c>
      <c r="C267" s="10">
        <v>3.3</v>
      </c>
      <c r="D267" s="10">
        <v>0</v>
      </c>
    </row>
    <row r="268" spans="1:4" ht="12.75">
      <c r="A268" s="81">
        <v>37152</v>
      </c>
      <c r="B268" s="10">
        <v>16.4</v>
      </c>
      <c r="C268" s="10">
        <v>3.3</v>
      </c>
      <c r="D268" s="10">
        <v>0</v>
      </c>
    </row>
    <row r="269" spans="1:4" ht="12.75">
      <c r="A269" s="81">
        <v>37153</v>
      </c>
      <c r="B269" s="10">
        <v>17.75</v>
      </c>
      <c r="C269" s="10">
        <v>3.3</v>
      </c>
      <c r="D269" s="10">
        <v>0</v>
      </c>
    </row>
    <row r="270" spans="1:4" ht="12.75">
      <c r="A270" s="81">
        <v>37154</v>
      </c>
      <c r="B270" s="10">
        <v>17.5</v>
      </c>
      <c r="C270" s="10">
        <v>3.553</v>
      </c>
      <c r="D270" s="10">
        <v>0</v>
      </c>
    </row>
    <row r="271" spans="1:4" ht="12.75">
      <c r="A271" s="81">
        <v>37155</v>
      </c>
      <c r="B271" s="10">
        <v>16.4</v>
      </c>
      <c r="C271" s="10">
        <v>3.3</v>
      </c>
      <c r="D271" s="10">
        <v>0</v>
      </c>
    </row>
    <row r="272" spans="1:4" ht="12.75">
      <c r="A272" s="81">
        <v>37156</v>
      </c>
      <c r="B272" s="10">
        <v>17.8</v>
      </c>
      <c r="C272" s="10">
        <v>3.553</v>
      </c>
      <c r="D272" s="10">
        <v>0</v>
      </c>
    </row>
    <row r="273" spans="1:4" ht="12.75">
      <c r="A273" s="81">
        <v>37157</v>
      </c>
      <c r="B273" s="10">
        <v>16.4</v>
      </c>
      <c r="C273" s="10">
        <v>2.792</v>
      </c>
      <c r="D273" s="10">
        <v>0</v>
      </c>
    </row>
    <row r="274" spans="1:4" ht="12.75">
      <c r="A274" s="81">
        <v>37158</v>
      </c>
      <c r="B274" s="10">
        <v>16.1</v>
      </c>
      <c r="C274" s="10">
        <v>2.284</v>
      </c>
      <c r="D274" s="10">
        <v>0</v>
      </c>
    </row>
    <row r="275" spans="1:4" ht="12.75">
      <c r="A275" s="81">
        <v>37159</v>
      </c>
      <c r="B275" s="10">
        <v>18.3</v>
      </c>
      <c r="C275" s="10">
        <v>3.046</v>
      </c>
      <c r="D275" s="10">
        <v>0</v>
      </c>
    </row>
    <row r="276" spans="1:4" ht="12.75">
      <c r="A276" s="81">
        <v>37160</v>
      </c>
      <c r="B276" s="10">
        <v>20</v>
      </c>
      <c r="C276" s="10">
        <v>3.807</v>
      </c>
      <c r="D276" s="10">
        <v>0</v>
      </c>
    </row>
    <row r="277" spans="1:4" ht="12.75">
      <c r="A277" s="81">
        <v>37161</v>
      </c>
      <c r="B277" s="10">
        <v>18.35</v>
      </c>
      <c r="C277" s="10">
        <v>3.553</v>
      </c>
      <c r="D277" s="10">
        <v>0</v>
      </c>
    </row>
    <row r="278" spans="1:4" ht="12.75">
      <c r="A278" s="81">
        <v>37162</v>
      </c>
      <c r="B278" s="10">
        <v>16.95</v>
      </c>
      <c r="C278" s="10">
        <v>3.807</v>
      </c>
      <c r="D278" s="10">
        <v>0</v>
      </c>
    </row>
    <row r="279" spans="1:4" ht="12.75">
      <c r="A279" s="81">
        <v>37163</v>
      </c>
      <c r="B279" s="10">
        <v>19.7</v>
      </c>
      <c r="C279" s="10">
        <v>3.807</v>
      </c>
      <c r="D279" s="10">
        <v>0</v>
      </c>
    </row>
    <row r="280" spans="1:4" ht="12.75">
      <c r="A280" s="81">
        <v>37164</v>
      </c>
      <c r="B280" s="10">
        <v>24.45</v>
      </c>
      <c r="C280" s="10">
        <v>4.569</v>
      </c>
      <c r="D280" s="10">
        <v>0</v>
      </c>
    </row>
    <row r="281" spans="1:4" ht="12.75">
      <c r="A281" s="81">
        <v>37165</v>
      </c>
      <c r="B281" s="10">
        <v>24.45</v>
      </c>
      <c r="C281" s="10">
        <v>4.315</v>
      </c>
      <c r="D281" s="10">
        <v>0</v>
      </c>
    </row>
    <row r="282" spans="1:4" ht="12.75">
      <c r="A282" s="81">
        <v>37166</v>
      </c>
      <c r="B282" s="10">
        <v>20.3</v>
      </c>
      <c r="C282" s="10">
        <v>3.553</v>
      </c>
      <c r="D282" s="10">
        <v>0</v>
      </c>
    </row>
    <row r="283" spans="1:4" ht="12.75">
      <c r="A283" s="81">
        <v>37167</v>
      </c>
      <c r="B283" s="10">
        <v>19.7</v>
      </c>
      <c r="C283" s="10">
        <v>3.553</v>
      </c>
      <c r="D283" s="10">
        <v>0</v>
      </c>
    </row>
    <row r="284" spans="1:4" ht="12.75">
      <c r="A284" s="81">
        <v>37168</v>
      </c>
      <c r="B284" s="10">
        <v>17.2</v>
      </c>
      <c r="C284" s="10">
        <v>2.538</v>
      </c>
      <c r="D284" s="10">
        <v>0</v>
      </c>
    </row>
    <row r="285" spans="1:4" ht="12.75">
      <c r="A285" s="81">
        <v>37169</v>
      </c>
      <c r="B285" s="10">
        <v>16.35</v>
      </c>
      <c r="C285" s="10">
        <v>3.046</v>
      </c>
      <c r="D285" s="10">
        <v>0</v>
      </c>
    </row>
    <row r="286" spans="1:4" ht="12.75">
      <c r="A286" s="81">
        <v>37170</v>
      </c>
      <c r="B286" s="10">
        <v>14.2</v>
      </c>
      <c r="C286" s="10">
        <v>2.792</v>
      </c>
      <c r="D286" s="10">
        <v>0</v>
      </c>
    </row>
    <row r="287" spans="1:4" ht="12.75">
      <c r="A287" s="81">
        <v>37171</v>
      </c>
      <c r="B287" s="10">
        <v>14.7</v>
      </c>
      <c r="C287" s="10">
        <v>2.792</v>
      </c>
      <c r="D287" s="10">
        <v>0</v>
      </c>
    </row>
    <row r="288" spans="1:4" ht="12.75">
      <c r="A288" s="81">
        <v>37172</v>
      </c>
      <c r="B288" s="10">
        <v>16.1</v>
      </c>
      <c r="C288" s="10">
        <v>2.792</v>
      </c>
      <c r="D288" s="10">
        <v>0</v>
      </c>
    </row>
    <row r="289" spans="1:4" ht="12.75">
      <c r="A289" s="81">
        <v>37173</v>
      </c>
      <c r="B289" s="10">
        <v>18.05</v>
      </c>
      <c r="C289" s="10">
        <v>3.553</v>
      </c>
      <c r="D289" s="10">
        <v>0</v>
      </c>
    </row>
    <row r="290" spans="1:4" ht="12.75">
      <c r="A290" s="81">
        <v>37174</v>
      </c>
      <c r="B290" s="10">
        <v>16.35</v>
      </c>
      <c r="C290" s="10">
        <v>3.553</v>
      </c>
      <c r="D290" s="10">
        <v>0</v>
      </c>
    </row>
    <row r="291" spans="1:4" ht="12.75">
      <c r="A291" s="81">
        <v>37175</v>
      </c>
      <c r="B291" s="10">
        <v>18.6</v>
      </c>
      <c r="C291" s="10">
        <v>3.046</v>
      </c>
      <c r="D291" s="10">
        <v>0</v>
      </c>
    </row>
    <row r="292" spans="1:4" ht="12.75">
      <c r="A292" s="81">
        <v>37176</v>
      </c>
      <c r="B292" s="10">
        <v>24.75</v>
      </c>
      <c r="C292" s="10">
        <v>6.345</v>
      </c>
      <c r="D292" s="10">
        <v>0</v>
      </c>
    </row>
    <row r="293" spans="1:4" ht="12.75">
      <c r="A293" s="81">
        <v>37177</v>
      </c>
      <c r="B293" s="10">
        <v>20.25</v>
      </c>
      <c r="C293" s="10">
        <v>4.061</v>
      </c>
      <c r="D293" s="10">
        <v>0</v>
      </c>
    </row>
    <row r="294" spans="1:4" ht="12.75">
      <c r="A294" s="81">
        <v>37178</v>
      </c>
      <c r="B294" s="10">
        <v>22.75</v>
      </c>
      <c r="C294" s="10">
        <v>4.061</v>
      </c>
      <c r="D294" s="10">
        <v>0</v>
      </c>
    </row>
    <row r="295" spans="1:4" ht="12.75">
      <c r="A295" s="81">
        <v>37179</v>
      </c>
      <c r="B295" s="10">
        <v>20</v>
      </c>
      <c r="C295" s="10">
        <v>3.553</v>
      </c>
      <c r="D295" s="10">
        <v>0</v>
      </c>
    </row>
    <row r="296" spans="1:4" ht="12.75">
      <c r="A296" s="81">
        <v>37180</v>
      </c>
      <c r="B296" s="10">
        <v>15.55</v>
      </c>
      <c r="C296" s="10">
        <v>1.777</v>
      </c>
      <c r="D296" s="10">
        <v>0</v>
      </c>
    </row>
    <row r="297" spans="1:4" ht="12.75">
      <c r="A297" s="81">
        <v>37181</v>
      </c>
      <c r="B297" s="10">
        <v>15.8</v>
      </c>
      <c r="C297" s="10">
        <v>2.538</v>
      </c>
      <c r="D297" s="10">
        <v>0</v>
      </c>
    </row>
    <row r="298" spans="1:4" ht="12.75">
      <c r="A298" s="81">
        <v>37182</v>
      </c>
      <c r="B298" s="10">
        <v>16.7</v>
      </c>
      <c r="C298" s="10">
        <v>3.046</v>
      </c>
      <c r="D298" s="10">
        <v>0</v>
      </c>
    </row>
    <row r="299" spans="1:4" ht="12.75">
      <c r="A299" s="81">
        <v>37183</v>
      </c>
      <c r="B299" s="10">
        <v>17.5</v>
      </c>
      <c r="C299" s="10">
        <v>2.538</v>
      </c>
      <c r="D299" s="10">
        <v>0</v>
      </c>
    </row>
    <row r="300" spans="1:4" ht="12.75">
      <c r="A300" s="81">
        <v>37184</v>
      </c>
      <c r="B300" s="10">
        <v>14.15</v>
      </c>
      <c r="C300" s="10">
        <v>2.538</v>
      </c>
      <c r="D300" s="10">
        <v>0</v>
      </c>
    </row>
    <row r="301" spans="1:4" ht="12.75">
      <c r="A301" s="81">
        <v>37185</v>
      </c>
      <c r="B301" s="10">
        <v>11.65</v>
      </c>
      <c r="C301" s="10">
        <v>1.777</v>
      </c>
      <c r="D301" s="10">
        <v>0</v>
      </c>
    </row>
    <row r="302" spans="1:4" ht="12.75">
      <c r="A302" s="81">
        <v>37186</v>
      </c>
      <c r="B302" s="10">
        <v>15.8</v>
      </c>
      <c r="C302" s="10">
        <v>2.538</v>
      </c>
      <c r="D302" s="10">
        <v>0</v>
      </c>
    </row>
    <row r="303" spans="1:4" ht="12.75">
      <c r="A303" s="81">
        <v>37187</v>
      </c>
      <c r="B303" s="10">
        <v>17.75</v>
      </c>
      <c r="C303" s="10">
        <v>3.046</v>
      </c>
      <c r="D303" s="10">
        <v>0</v>
      </c>
    </row>
    <row r="304" spans="1:4" ht="12.75">
      <c r="A304" s="81">
        <v>37188</v>
      </c>
      <c r="B304" s="10">
        <v>16.15</v>
      </c>
      <c r="C304" s="10">
        <v>3.553</v>
      </c>
      <c r="D304" s="10">
        <v>0</v>
      </c>
    </row>
    <row r="305" spans="1:4" ht="12.75">
      <c r="A305" s="81">
        <v>37189</v>
      </c>
      <c r="B305" s="10">
        <v>17.2</v>
      </c>
      <c r="C305" s="10">
        <v>2.792</v>
      </c>
      <c r="D305" s="10">
        <v>0</v>
      </c>
    </row>
    <row r="306" spans="1:4" ht="12.75">
      <c r="A306" s="81">
        <v>37190</v>
      </c>
      <c r="B306" s="10">
        <v>13.3</v>
      </c>
      <c r="C306" s="10">
        <v>2.792</v>
      </c>
      <c r="D306" s="10">
        <v>0</v>
      </c>
    </row>
    <row r="307" spans="1:4" ht="12.75">
      <c r="A307" s="81">
        <v>37191</v>
      </c>
      <c r="B307" s="10">
        <v>12.8</v>
      </c>
      <c r="C307" s="10">
        <v>1.269</v>
      </c>
      <c r="D307" s="10">
        <v>0</v>
      </c>
    </row>
    <row r="308" spans="1:4" ht="12.75">
      <c r="A308" s="81">
        <v>37192</v>
      </c>
      <c r="B308" s="10">
        <v>13.9</v>
      </c>
      <c r="C308" s="10">
        <v>1.015</v>
      </c>
      <c r="D308" s="10">
        <v>0</v>
      </c>
    </row>
    <row r="309" spans="1:4" ht="12.75">
      <c r="A309" s="81">
        <v>37193</v>
      </c>
      <c r="B309" s="10">
        <v>15.85</v>
      </c>
      <c r="C309" s="10">
        <v>1.015</v>
      </c>
      <c r="D309" s="10">
        <v>1.015</v>
      </c>
    </row>
    <row r="310" spans="1:4" ht="12.75">
      <c r="A310" s="81">
        <v>37194</v>
      </c>
      <c r="B310" s="10">
        <v>14.45</v>
      </c>
      <c r="C310" s="10">
        <v>0.508</v>
      </c>
      <c r="D310" s="10">
        <v>20.81</v>
      </c>
    </row>
    <row r="311" spans="1:4" ht="12.75">
      <c r="A311" s="81">
        <v>37195</v>
      </c>
      <c r="B311" s="10">
        <v>14.45</v>
      </c>
      <c r="C311" s="10">
        <v>1.269</v>
      </c>
      <c r="D311" s="10">
        <v>0</v>
      </c>
    </row>
    <row r="312" spans="1:4" ht="12.75">
      <c r="A312" s="81">
        <v>37196</v>
      </c>
      <c r="B312" s="10">
        <v>13.6</v>
      </c>
      <c r="C312" s="10">
        <v>1.777</v>
      </c>
      <c r="D312" s="10">
        <v>0.254</v>
      </c>
    </row>
    <row r="313" spans="1:4" ht="12.75">
      <c r="A313" s="81">
        <v>37197</v>
      </c>
      <c r="B313" s="10">
        <v>14.75</v>
      </c>
      <c r="C313" s="10">
        <v>2.031</v>
      </c>
      <c r="D313" s="10">
        <v>0.254</v>
      </c>
    </row>
    <row r="314" spans="1:4" ht="12.75">
      <c r="A314" s="81">
        <v>37198</v>
      </c>
      <c r="B314" s="10">
        <v>15.55</v>
      </c>
      <c r="C314" s="10">
        <v>2.031</v>
      </c>
      <c r="D314" s="10">
        <v>0</v>
      </c>
    </row>
    <row r="315" spans="1:4" ht="12.75">
      <c r="A315" s="81">
        <v>37199</v>
      </c>
      <c r="B315" s="10">
        <v>16.95</v>
      </c>
      <c r="C315" s="10">
        <v>2.031</v>
      </c>
      <c r="D315" s="10">
        <v>0.254</v>
      </c>
    </row>
    <row r="316" spans="1:4" ht="12.75">
      <c r="A316" s="81">
        <v>37200</v>
      </c>
      <c r="B316" s="10">
        <v>13.6</v>
      </c>
      <c r="C316" s="10">
        <v>1.777</v>
      </c>
      <c r="D316" s="10">
        <v>0.254</v>
      </c>
    </row>
    <row r="317" spans="1:4" ht="12.75">
      <c r="A317" s="81">
        <v>37201</v>
      </c>
      <c r="B317" s="10">
        <v>12.25</v>
      </c>
      <c r="C317" s="10">
        <v>1.269</v>
      </c>
      <c r="D317" s="10">
        <v>0</v>
      </c>
    </row>
    <row r="318" spans="1:4" ht="12.75">
      <c r="A318" s="81">
        <v>37202</v>
      </c>
      <c r="B318" s="10">
        <v>12.5</v>
      </c>
      <c r="C318" s="10">
        <v>1.777</v>
      </c>
      <c r="D318" s="10">
        <v>0</v>
      </c>
    </row>
    <row r="319" spans="1:4" ht="12.75">
      <c r="A319" s="81">
        <v>37203</v>
      </c>
      <c r="B319" s="10">
        <v>14.7</v>
      </c>
      <c r="C319" s="10">
        <v>2.792</v>
      </c>
      <c r="D319" s="10">
        <v>0</v>
      </c>
    </row>
    <row r="320" spans="1:4" ht="12.75">
      <c r="A320" s="81">
        <v>37204</v>
      </c>
      <c r="B320" s="10">
        <v>15.85</v>
      </c>
      <c r="C320" s="10">
        <v>2.284</v>
      </c>
      <c r="D320" s="10">
        <v>4.315</v>
      </c>
    </row>
    <row r="321" spans="1:4" ht="12.75">
      <c r="A321" s="81">
        <v>37205</v>
      </c>
      <c r="B321" s="10">
        <v>12.8</v>
      </c>
      <c r="C321" s="10">
        <v>1.015</v>
      </c>
      <c r="D321" s="10">
        <v>6.853</v>
      </c>
    </row>
    <row r="322" spans="1:4" ht="12.75">
      <c r="A322" s="81">
        <v>37206</v>
      </c>
      <c r="B322" s="10">
        <v>15.55</v>
      </c>
      <c r="C322" s="10">
        <v>0.508</v>
      </c>
      <c r="D322" s="10">
        <v>7.614</v>
      </c>
    </row>
    <row r="323" spans="1:4" ht="12.75">
      <c r="A323" s="81">
        <v>37207</v>
      </c>
      <c r="B323" s="10">
        <v>13.4</v>
      </c>
      <c r="C323" s="10">
        <v>0.15</v>
      </c>
      <c r="D323" s="10">
        <v>61.47</v>
      </c>
    </row>
    <row r="324" spans="1:4" ht="12.75">
      <c r="A324" s="81">
        <v>37208</v>
      </c>
      <c r="B324" s="10">
        <v>12.2</v>
      </c>
      <c r="C324" s="10">
        <v>0.31</v>
      </c>
      <c r="D324" s="10">
        <v>2.03</v>
      </c>
    </row>
    <row r="325" spans="1:4" ht="12.75">
      <c r="A325" s="81">
        <v>37209</v>
      </c>
      <c r="B325" s="10">
        <v>13.8</v>
      </c>
      <c r="C325" s="10">
        <v>0.53</v>
      </c>
      <c r="D325" s="10">
        <v>1.27</v>
      </c>
    </row>
    <row r="326" spans="1:4" ht="12.75">
      <c r="A326" s="81">
        <v>37210</v>
      </c>
      <c r="B326" s="10">
        <v>14.8</v>
      </c>
      <c r="C326" s="10">
        <v>1.11</v>
      </c>
      <c r="D326" s="10">
        <v>0.25</v>
      </c>
    </row>
    <row r="327" spans="1:4" ht="12.75">
      <c r="A327" s="81">
        <v>37211</v>
      </c>
      <c r="B327" s="10">
        <v>14</v>
      </c>
      <c r="C327" s="10">
        <v>0.11</v>
      </c>
      <c r="D327" s="10">
        <v>0</v>
      </c>
    </row>
    <row r="328" spans="1:4" ht="12.75">
      <c r="A328" s="81">
        <v>37212</v>
      </c>
      <c r="B328" s="10">
        <v>12.6</v>
      </c>
      <c r="C328" s="10">
        <v>1.63</v>
      </c>
      <c r="D328" s="10">
        <v>0</v>
      </c>
    </row>
    <row r="329" spans="1:4" ht="12.75">
      <c r="A329" s="81">
        <v>37213</v>
      </c>
      <c r="B329" s="10">
        <v>13.4</v>
      </c>
      <c r="C329" s="10">
        <v>1.42</v>
      </c>
      <c r="D329" s="10">
        <v>0.25</v>
      </c>
    </row>
    <row r="330" spans="1:4" ht="12.75">
      <c r="A330" s="81">
        <v>37214</v>
      </c>
      <c r="B330" s="10">
        <v>13.6</v>
      </c>
      <c r="C330" s="10">
        <v>0.79</v>
      </c>
      <c r="D330" s="10">
        <v>0.76</v>
      </c>
    </row>
    <row r="331" spans="1:4" ht="12.75">
      <c r="A331" s="81">
        <v>37215</v>
      </c>
      <c r="B331" s="10">
        <v>16.2</v>
      </c>
      <c r="C331" s="10">
        <v>0.68</v>
      </c>
      <c r="D331" s="10">
        <v>0.25</v>
      </c>
    </row>
    <row r="332" spans="1:4" ht="12.75">
      <c r="A332" s="81">
        <v>37216</v>
      </c>
      <c r="B332" s="10">
        <v>15.3</v>
      </c>
      <c r="C332" s="10">
        <v>0.02</v>
      </c>
      <c r="D332" s="10">
        <v>31.24</v>
      </c>
    </row>
    <row r="333" spans="1:4" ht="12.75">
      <c r="A333" s="81">
        <v>37217</v>
      </c>
      <c r="B333" s="10">
        <v>14.6</v>
      </c>
      <c r="C333" s="10">
        <v>1.45</v>
      </c>
      <c r="D333" s="10">
        <v>0</v>
      </c>
    </row>
    <row r="334" spans="1:4" ht="12.75">
      <c r="A334" s="81">
        <v>37218</v>
      </c>
      <c r="B334" s="10">
        <v>11.2</v>
      </c>
      <c r="C334" s="10">
        <v>0.72</v>
      </c>
      <c r="D334" s="10">
        <v>0</v>
      </c>
    </row>
    <row r="335" spans="1:4" ht="12.75">
      <c r="A335" s="81">
        <v>37219</v>
      </c>
      <c r="B335" s="10">
        <v>10.4</v>
      </c>
      <c r="C335" s="10">
        <v>0.91</v>
      </c>
      <c r="D335" s="10">
        <v>36.58</v>
      </c>
    </row>
    <row r="336" spans="1:4" ht="12.75">
      <c r="A336" s="81">
        <v>37220</v>
      </c>
      <c r="B336" s="10">
        <v>6</v>
      </c>
      <c r="C336" s="10">
        <v>0.55</v>
      </c>
      <c r="D336" s="10">
        <v>0.25</v>
      </c>
    </row>
    <row r="337" spans="1:4" ht="12.75">
      <c r="A337" s="81">
        <v>37221</v>
      </c>
      <c r="B337" s="10">
        <v>6.8</v>
      </c>
      <c r="C337" s="10">
        <v>1.44</v>
      </c>
      <c r="D337" s="10">
        <v>0.25</v>
      </c>
    </row>
    <row r="338" spans="1:4" ht="12.75">
      <c r="A338" s="81">
        <v>37222</v>
      </c>
      <c r="B338" s="10">
        <v>8.2</v>
      </c>
      <c r="C338" s="10">
        <v>1.78</v>
      </c>
      <c r="D338" s="10">
        <v>0</v>
      </c>
    </row>
    <row r="339" spans="1:4" ht="12.75">
      <c r="A339" s="81">
        <v>37223</v>
      </c>
      <c r="B339" s="10">
        <v>8.1</v>
      </c>
      <c r="C339" s="10">
        <v>0.32</v>
      </c>
      <c r="D339" s="10">
        <v>47.24</v>
      </c>
    </row>
    <row r="340" spans="1:4" ht="12.75">
      <c r="A340" s="81">
        <v>37224</v>
      </c>
      <c r="B340" s="10">
        <v>9.7</v>
      </c>
      <c r="C340" s="10">
        <v>0.95</v>
      </c>
      <c r="D340" s="10">
        <v>7.87</v>
      </c>
    </row>
    <row r="341" spans="1:4" ht="12.75">
      <c r="A341" s="81">
        <v>37225</v>
      </c>
      <c r="B341" s="10">
        <v>8.5</v>
      </c>
      <c r="C341" s="10">
        <v>1.08</v>
      </c>
      <c r="D341" s="10">
        <v>2.54</v>
      </c>
    </row>
    <row r="342" spans="1:4" ht="12.75">
      <c r="A342" s="81">
        <v>37226</v>
      </c>
      <c r="B342" s="10">
        <v>10.3</v>
      </c>
      <c r="C342" s="10">
        <v>0.03</v>
      </c>
      <c r="D342" s="10">
        <v>82.3</v>
      </c>
    </row>
    <row r="343" spans="1:4" ht="12.75">
      <c r="A343" s="81">
        <v>37227</v>
      </c>
      <c r="B343" s="10">
        <v>11.5</v>
      </c>
      <c r="C343" s="10">
        <v>0.8</v>
      </c>
      <c r="D343" s="10">
        <v>49.78</v>
      </c>
    </row>
    <row r="344" spans="1:4" ht="12.75">
      <c r="A344" s="81">
        <v>37228</v>
      </c>
      <c r="B344" s="10">
        <v>7.8</v>
      </c>
      <c r="C344" s="10">
        <v>1.11</v>
      </c>
      <c r="D344" s="10">
        <v>5.08</v>
      </c>
    </row>
    <row r="345" spans="1:4" ht="12.75">
      <c r="A345" s="81">
        <v>37229</v>
      </c>
      <c r="B345" s="10">
        <v>6.8</v>
      </c>
      <c r="C345" s="10">
        <v>0.92</v>
      </c>
      <c r="D345" s="10">
        <v>0.25</v>
      </c>
    </row>
    <row r="346" spans="1:4" ht="12.75">
      <c r="A346" s="81">
        <v>37230</v>
      </c>
      <c r="B346" s="10">
        <v>10.6</v>
      </c>
      <c r="C346" s="10">
        <v>0.22</v>
      </c>
      <c r="D346" s="10">
        <v>22.1</v>
      </c>
    </row>
    <row r="347" spans="1:4" ht="12.75">
      <c r="A347" s="81">
        <v>37231</v>
      </c>
      <c r="B347" s="10">
        <v>12.8</v>
      </c>
      <c r="C347" s="10">
        <v>0.36</v>
      </c>
      <c r="D347" s="10">
        <v>0.25</v>
      </c>
    </row>
    <row r="348" spans="1:4" ht="12.75">
      <c r="A348" s="81">
        <v>37232</v>
      </c>
      <c r="B348" s="10">
        <v>12.5</v>
      </c>
      <c r="C348" s="10">
        <v>2.18</v>
      </c>
      <c r="D348" s="10">
        <v>0.25</v>
      </c>
    </row>
    <row r="349" spans="1:4" ht="12.75">
      <c r="A349" s="81">
        <v>37233</v>
      </c>
      <c r="B349" s="10">
        <v>9.1</v>
      </c>
      <c r="C349" s="10">
        <v>0.95</v>
      </c>
      <c r="D349" s="10">
        <v>0.25</v>
      </c>
    </row>
    <row r="350" spans="1:4" ht="12.75">
      <c r="A350" s="81">
        <v>37234</v>
      </c>
      <c r="B350" s="10">
        <v>10.1</v>
      </c>
      <c r="C350" s="10">
        <v>1.53</v>
      </c>
      <c r="D350" s="10">
        <v>1.27</v>
      </c>
    </row>
    <row r="351" spans="1:4" ht="12.75">
      <c r="A351" s="81">
        <v>37235</v>
      </c>
      <c r="B351" s="10">
        <v>8.7</v>
      </c>
      <c r="C351" s="10">
        <v>1.61</v>
      </c>
      <c r="D351" s="10">
        <v>0</v>
      </c>
    </row>
    <row r="352" spans="1:4" ht="12.75">
      <c r="A352" s="81">
        <v>37236</v>
      </c>
      <c r="B352" s="10">
        <v>8.5</v>
      </c>
      <c r="C352" s="10">
        <v>1.37</v>
      </c>
      <c r="D352" s="10">
        <v>0</v>
      </c>
    </row>
    <row r="353" spans="1:4" ht="12.75">
      <c r="A353" s="81">
        <v>37237</v>
      </c>
      <c r="B353" s="10">
        <v>8.4</v>
      </c>
      <c r="C353" s="10">
        <v>1.23</v>
      </c>
      <c r="D353" s="10">
        <v>0.25</v>
      </c>
    </row>
    <row r="354" spans="1:4" ht="12.75">
      <c r="A354" s="81">
        <v>37238</v>
      </c>
      <c r="B354" s="10">
        <v>8</v>
      </c>
      <c r="C354" s="10">
        <v>0.75</v>
      </c>
      <c r="D354" s="10">
        <v>20.32</v>
      </c>
    </row>
    <row r="355" spans="1:4" ht="12.75">
      <c r="A355" s="81">
        <v>37239</v>
      </c>
      <c r="B355" s="10">
        <v>8.9</v>
      </c>
      <c r="C355" s="10">
        <v>1.75</v>
      </c>
      <c r="D355" s="10">
        <v>7.87</v>
      </c>
    </row>
    <row r="356" spans="1:4" ht="12.75">
      <c r="A356" s="81">
        <v>37240</v>
      </c>
      <c r="B356" s="10">
        <v>6.2</v>
      </c>
      <c r="C356" s="10">
        <v>1.18</v>
      </c>
      <c r="D356" s="10">
        <v>0</v>
      </c>
    </row>
    <row r="357" spans="1:4" ht="12.75">
      <c r="A357" s="81">
        <v>37241</v>
      </c>
      <c r="B357" s="10">
        <v>8.7</v>
      </c>
      <c r="C357" s="10">
        <v>0.43</v>
      </c>
      <c r="D357" s="10">
        <v>2.29</v>
      </c>
    </row>
    <row r="358" spans="1:4" ht="12.75">
      <c r="A358" s="81">
        <v>37242</v>
      </c>
      <c r="B358" s="10">
        <v>11.5</v>
      </c>
      <c r="C358" s="10">
        <v>0.69</v>
      </c>
      <c r="D358" s="10">
        <v>11.94</v>
      </c>
    </row>
    <row r="359" spans="1:4" ht="12.75">
      <c r="A359" s="81">
        <v>37243</v>
      </c>
      <c r="B359" s="10">
        <v>7.4</v>
      </c>
      <c r="C359" s="10">
        <v>0.77</v>
      </c>
      <c r="D359" s="10">
        <v>3.3</v>
      </c>
    </row>
    <row r="360" spans="1:4" ht="12.75">
      <c r="A360" s="81">
        <v>37244</v>
      </c>
      <c r="B360" s="10">
        <v>9.1</v>
      </c>
      <c r="C360" s="10">
        <v>0.69</v>
      </c>
      <c r="D360" s="10">
        <v>10.16</v>
      </c>
    </row>
    <row r="361" spans="1:4" ht="12.75">
      <c r="A361" s="81">
        <v>37245</v>
      </c>
      <c r="B361" s="10">
        <v>8.4</v>
      </c>
      <c r="C361" s="10">
        <v>0.16</v>
      </c>
      <c r="D361" s="10">
        <v>41.91</v>
      </c>
    </row>
    <row r="362" spans="1:4" ht="12.75">
      <c r="A362" s="81">
        <v>37246</v>
      </c>
      <c r="B362" s="10">
        <v>8.6</v>
      </c>
      <c r="C362" s="10">
        <v>0.62</v>
      </c>
      <c r="D362" s="10">
        <v>0</v>
      </c>
    </row>
    <row r="363" spans="1:4" ht="12.75">
      <c r="A363" s="81">
        <v>37247</v>
      </c>
      <c r="B363" s="10">
        <v>9.1</v>
      </c>
      <c r="C363" s="10">
        <v>0.4</v>
      </c>
      <c r="D363" s="10">
        <v>21.59</v>
      </c>
    </row>
    <row r="364" spans="1:4" ht="12.75">
      <c r="A364" s="81">
        <v>37248</v>
      </c>
      <c r="B364" s="10">
        <v>9.1</v>
      </c>
      <c r="C364" s="10">
        <v>0.72</v>
      </c>
      <c r="D364" s="10">
        <v>0.76</v>
      </c>
    </row>
    <row r="365" spans="1:4" ht="12.75">
      <c r="A365" s="81">
        <v>37249</v>
      </c>
      <c r="B365" s="10">
        <v>8</v>
      </c>
      <c r="C365" s="10">
        <v>1.16</v>
      </c>
      <c r="D365" s="10">
        <v>0</v>
      </c>
    </row>
    <row r="366" spans="1:4" ht="12.75">
      <c r="A366" s="81">
        <v>37250</v>
      </c>
      <c r="B366" s="10">
        <v>10.4</v>
      </c>
      <c r="C366" s="10">
        <v>0.6</v>
      </c>
      <c r="D366" s="10">
        <v>0.51</v>
      </c>
    </row>
    <row r="367" spans="1:4" ht="12.75">
      <c r="A367" s="81">
        <v>37251</v>
      </c>
      <c r="B367" s="10">
        <v>10.6</v>
      </c>
      <c r="C367" s="10">
        <v>0.56</v>
      </c>
      <c r="D367" s="10">
        <v>1.78</v>
      </c>
    </row>
    <row r="368" spans="1:4" ht="12.75">
      <c r="A368" s="81">
        <v>37252</v>
      </c>
      <c r="B368" s="10">
        <v>9.8</v>
      </c>
      <c r="C368" s="10">
        <v>0.32</v>
      </c>
      <c r="D368" s="10">
        <v>3.81</v>
      </c>
    </row>
    <row r="369" spans="1:4" ht="12.75">
      <c r="A369" s="81">
        <v>37253</v>
      </c>
      <c r="B369" s="10">
        <v>10.1</v>
      </c>
      <c r="C369" s="10">
        <v>0</v>
      </c>
      <c r="D369" s="10">
        <v>46.74</v>
      </c>
    </row>
    <row r="370" spans="1:4" ht="12.75">
      <c r="A370" s="81">
        <v>37254</v>
      </c>
      <c r="B370" s="10">
        <v>11.5</v>
      </c>
      <c r="C370" s="10">
        <v>0.13</v>
      </c>
      <c r="D370" s="10">
        <v>9.14</v>
      </c>
    </row>
    <row r="371" spans="1:4" ht="12.75">
      <c r="A371" s="81">
        <v>37255</v>
      </c>
      <c r="B371" s="10">
        <v>12.8</v>
      </c>
      <c r="C371" s="10">
        <v>0</v>
      </c>
      <c r="D371" s="10">
        <v>26.92</v>
      </c>
    </row>
    <row r="372" spans="1:4" ht="12.75">
      <c r="A372" s="81">
        <v>37256</v>
      </c>
      <c r="B372" s="10">
        <v>13.5</v>
      </c>
      <c r="C372" s="10">
        <v>0.18</v>
      </c>
      <c r="D372" s="10">
        <v>0.51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2"/>
  <sheetViews>
    <sheetView workbookViewId="0" topLeftCell="A1">
      <pane ySplit="6690" topLeftCell="BM365" activePane="topLeft" state="split"/>
      <selection pane="topLeft" activeCell="A1" sqref="A1"/>
      <selection pane="bottomLeft" activeCell="L369" sqref="L369"/>
    </sheetView>
  </sheetViews>
  <sheetFormatPr defaultColWidth="9.140625" defaultRowHeight="12.75"/>
  <cols>
    <col min="1" max="1" width="13.7109375" style="7" customWidth="1"/>
    <col min="2" max="4" width="11.00390625" style="7" customWidth="1"/>
    <col min="5" max="5" width="9.140625" style="9" customWidth="1"/>
    <col min="6" max="8" width="12.00390625" style="2" customWidth="1"/>
    <col min="9" max="16384" width="8.8515625" style="0" customWidth="1"/>
  </cols>
  <sheetData>
    <row r="1" ht="12.75">
      <c r="A1" s="18" t="s">
        <v>1305</v>
      </c>
    </row>
    <row r="2" ht="12.75">
      <c r="A2" s="18" t="s">
        <v>1306</v>
      </c>
    </row>
    <row r="3" ht="12.75">
      <c r="A3" s="18" t="s">
        <v>1304</v>
      </c>
    </row>
    <row r="4" ht="12.75">
      <c r="A4" s="18" t="s">
        <v>1303</v>
      </c>
    </row>
    <row r="5" ht="12.75">
      <c r="A5" s="18"/>
    </row>
    <row r="6" spans="1:6" ht="12.75">
      <c r="A6" s="75" t="s">
        <v>1307</v>
      </c>
      <c r="F6" s="75" t="s">
        <v>1301</v>
      </c>
    </row>
    <row r="7" spans="1:8" ht="25.5">
      <c r="A7" s="2" t="s">
        <v>1244</v>
      </c>
      <c r="B7" s="92" t="s">
        <v>1261</v>
      </c>
      <c r="C7" s="92" t="s">
        <v>1323</v>
      </c>
      <c r="D7" s="92" t="s">
        <v>1324</v>
      </c>
      <c r="F7" s="95" t="s">
        <v>1325</v>
      </c>
      <c r="G7" s="95" t="s">
        <v>1326</v>
      </c>
      <c r="H7" s="95" t="s">
        <v>1302</v>
      </c>
    </row>
    <row r="8" spans="1:8" ht="12.75">
      <c r="A8" s="90">
        <v>36892</v>
      </c>
      <c r="B8" s="4">
        <f>CONVERT(G8,"F","C")</f>
        <v>1.3722222222222216</v>
      </c>
      <c r="C8" s="4">
        <f>(0.001+(0.988*F8)+(-0.586*(F8*F8)))*25.4</f>
        <v>0.27486356</v>
      </c>
      <c r="D8" s="4">
        <f>H8*25.4</f>
        <v>3.302</v>
      </c>
      <c r="F8" s="55">
        <v>0.01</v>
      </c>
      <c r="G8" s="55">
        <v>34.47</v>
      </c>
      <c r="H8" s="55">
        <v>0.13</v>
      </c>
    </row>
    <row r="9" spans="1:8" ht="12.75">
      <c r="A9" s="90">
        <v>36893</v>
      </c>
      <c r="B9" s="4">
        <f>CONVERT(G9,"F","C")</f>
        <v>0.7444444444444464</v>
      </c>
      <c r="C9" s="4">
        <f aca="true" t="shared" si="0" ref="C9:C72">(0.001+(0.988*F9)+(-0.586*(F9*F9)))*25.4</f>
        <v>0.27486356</v>
      </c>
      <c r="D9" s="4">
        <f aca="true" t="shared" si="1" ref="D9:D72">H9*25.4</f>
        <v>6.858</v>
      </c>
      <c r="F9" s="55">
        <v>0.01</v>
      </c>
      <c r="G9" s="55">
        <v>33.34</v>
      </c>
      <c r="H9" s="55">
        <v>0.27</v>
      </c>
    </row>
    <row r="10" spans="1:8" ht="12.75">
      <c r="A10" s="90">
        <v>36894</v>
      </c>
      <c r="B10" s="4">
        <f>CONVERT(G10,"F","C")</f>
        <v>0.17222222222222347</v>
      </c>
      <c r="C10" s="4">
        <f t="shared" si="0"/>
        <v>0.27486356</v>
      </c>
      <c r="D10" s="4">
        <f t="shared" si="1"/>
        <v>0.254</v>
      </c>
      <c r="F10" s="55">
        <v>0.01</v>
      </c>
      <c r="G10" s="55">
        <v>32.31</v>
      </c>
      <c r="H10" s="55">
        <v>0.01</v>
      </c>
    </row>
    <row r="11" spans="1:8" ht="12.75">
      <c r="A11" s="90">
        <v>36895</v>
      </c>
      <c r="B11" s="4">
        <f>CONVERT(G11,"F","C")</f>
        <v>0.49444444444444474</v>
      </c>
      <c r="C11" s="4">
        <f t="shared" si="0"/>
        <v>0.76486004</v>
      </c>
      <c r="D11" s="4">
        <f t="shared" si="1"/>
        <v>0</v>
      </c>
      <c r="F11" s="55">
        <v>0.03</v>
      </c>
      <c r="G11" s="55">
        <v>32.89</v>
      </c>
      <c r="H11" s="55">
        <v>0</v>
      </c>
    </row>
    <row r="12" spans="1:8" ht="12.75">
      <c r="A12" s="90">
        <v>36896</v>
      </c>
      <c r="B12" s="4">
        <f>CONVERT(G12,"F","C")</f>
        <v>-0.16111111111111062</v>
      </c>
      <c r="C12" s="4">
        <f t="shared" si="0"/>
        <v>0.52135024</v>
      </c>
      <c r="D12" s="4">
        <f t="shared" si="1"/>
        <v>0</v>
      </c>
      <c r="F12" s="55">
        <v>0.02</v>
      </c>
      <c r="G12" s="55">
        <v>31.71</v>
      </c>
      <c r="H12" s="55">
        <v>0</v>
      </c>
    </row>
    <row r="13" spans="1:8" ht="12.75">
      <c r="A13" s="90">
        <v>36897</v>
      </c>
      <c r="B13" s="4">
        <f>CONVERT(G13,"F","C")</f>
        <v>1.2333333333333327</v>
      </c>
      <c r="C13" s="4">
        <f t="shared" si="0"/>
        <v>0.27486356</v>
      </c>
      <c r="D13" s="4">
        <f t="shared" si="1"/>
        <v>0</v>
      </c>
      <c r="F13" s="55">
        <v>0.01</v>
      </c>
      <c r="G13" s="55">
        <v>34.22</v>
      </c>
      <c r="H13" s="55">
        <v>0</v>
      </c>
    </row>
    <row r="14" spans="1:8" ht="12.75">
      <c r="A14" s="90">
        <v>36898</v>
      </c>
      <c r="B14" s="4">
        <f>CONVERT(G14,"F","C")</f>
        <v>2.066666666666666</v>
      </c>
      <c r="C14" s="4">
        <f t="shared" si="0"/>
        <v>0.27486356</v>
      </c>
      <c r="D14" s="4">
        <f t="shared" si="1"/>
        <v>1.5239999999999998</v>
      </c>
      <c r="F14" s="55">
        <v>0.01</v>
      </c>
      <c r="G14" s="55">
        <v>35.72</v>
      </c>
      <c r="H14" s="55">
        <v>0.06</v>
      </c>
    </row>
    <row r="15" spans="1:8" ht="12.75">
      <c r="A15" s="90">
        <v>36899</v>
      </c>
      <c r="B15" s="4">
        <f>CONVERT(G15,"F","C")</f>
        <v>0.2833333333333322</v>
      </c>
      <c r="C15" s="4">
        <f t="shared" si="0"/>
        <v>0.27486356</v>
      </c>
      <c r="D15" s="4">
        <f t="shared" si="1"/>
        <v>0</v>
      </c>
      <c r="F15" s="55">
        <v>0.01</v>
      </c>
      <c r="G15" s="55">
        <v>32.51</v>
      </c>
      <c r="H15" s="55">
        <v>0</v>
      </c>
    </row>
    <row r="16" spans="1:8" ht="12.75">
      <c r="A16" s="90">
        <v>36900</v>
      </c>
      <c r="B16" s="4">
        <f>CONVERT(G16,"F","C")</f>
        <v>1.0666666666666675</v>
      </c>
      <c r="C16" s="4">
        <f t="shared" si="0"/>
        <v>0.27486356</v>
      </c>
      <c r="D16" s="4">
        <f t="shared" si="1"/>
        <v>15.493999999999998</v>
      </c>
      <c r="F16" s="55">
        <v>0.01</v>
      </c>
      <c r="G16" s="55">
        <v>33.92</v>
      </c>
      <c r="H16" s="55">
        <v>0.61</v>
      </c>
    </row>
    <row r="17" spans="1:8" ht="12.75">
      <c r="A17" s="90">
        <v>36901</v>
      </c>
      <c r="B17" s="4">
        <f>CONVERT(G17,"F","C")</f>
        <v>0.3777777777777776</v>
      </c>
      <c r="C17" s="4">
        <f t="shared" si="0"/>
        <v>0.27486356</v>
      </c>
      <c r="D17" s="4">
        <f t="shared" si="1"/>
        <v>9.143999999999998</v>
      </c>
      <c r="F17" s="55">
        <v>0.01</v>
      </c>
      <c r="G17" s="55">
        <v>32.68</v>
      </c>
      <c r="H17" s="55">
        <v>0.36</v>
      </c>
    </row>
    <row r="18" spans="1:8" ht="12.75">
      <c r="A18" s="90">
        <v>36902</v>
      </c>
      <c r="B18" s="4">
        <f>CONVERT(G18,"F","C")</f>
        <v>0.5055555555555536</v>
      </c>
      <c r="C18" s="4">
        <f t="shared" si="0"/>
        <v>0.52135024</v>
      </c>
      <c r="D18" s="4">
        <f t="shared" si="1"/>
        <v>5.588</v>
      </c>
      <c r="F18" s="55">
        <v>0.02</v>
      </c>
      <c r="G18" s="55">
        <v>32.91</v>
      </c>
      <c r="H18" s="55">
        <v>0.22</v>
      </c>
    </row>
    <row r="19" spans="1:8" ht="12.75">
      <c r="A19" s="90">
        <v>36903</v>
      </c>
      <c r="B19" s="4">
        <f>CONVERT(G19,"F","C")</f>
        <v>-0.766666666666666</v>
      </c>
      <c r="C19" s="4">
        <f t="shared" si="0"/>
        <v>0.76486004</v>
      </c>
      <c r="D19" s="4">
        <f t="shared" si="1"/>
        <v>0</v>
      </c>
      <c r="F19" s="55">
        <v>0.03</v>
      </c>
      <c r="G19" s="55">
        <v>30.62</v>
      </c>
      <c r="H19" s="55">
        <v>0</v>
      </c>
    </row>
    <row r="20" spans="1:8" ht="12.75">
      <c r="A20" s="90">
        <v>36904</v>
      </c>
      <c r="B20" s="4">
        <f>CONVERT(G20,"F","C")</f>
        <v>-2.2388888888888894</v>
      </c>
      <c r="C20" s="4">
        <f t="shared" si="0"/>
        <v>0.52135024</v>
      </c>
      <c r="D20" s="4">
        <f t="shared" si="1"/>
        <v>0</v>
      </c>
      <c r="F20" s="55">
        <v>0.02</v>
      </c>
      <c r="G20" s="55">
        <v>27.97</v>
      </c>
      <c r="H20" s="55">
        <v>0</v>
      </c>
    </row>
    <row r="21" spans="1:8" ht="12.75">
      <c r="A21" s="90">
        <v>36905</v>
      </c>
      <c r="B21" s="4">
        <f>CONVERT(G21,"F","C")</f>
        <v>0.10555555555555429</v>
      </c>
      <c r="C21" s="4">
        <f t="shared" si="0"/>
        <v>0.27486356</v>
      </c>
      <c r="D21" s="4">
        <f t="shared" si="1"/>
        <v>2.54</v>
      </c>
      <c r="F21" s="55">
        <v>0.01</v>
      </c>
      <c r="G21" s="55">
        <v>32.19</v>
      </c>
      <c r="H21" s="55">
        <v>0.1</v>
      </c>
    </row>
    <row r="22" spans="1:8" ht="12.75">
      <c r="A22" s="90">
        <v>36906</v>
      </c>
      <c r="B22" s="4">
        <f>CONVERT(G22,"F","C")</f>
        <v>2.755555555555556</v>
      </c>
      <c r="C22" s="4">
        <f t="shared" si="0"/>
        <v>0.0254</v>
      </c>
      <c r="D22" s="4">
        <f t="shared" si="1"/>
        <v>2.54</v>
      </c>
      <c r="F22" s="55">
        <v>0</v>
      </c>
      <c r="G22" s="55">
        <v>36.96</v>
      </c>
      <c r="H22" s="55">
        <v>0.1</v>
      </c>
    </row>
    <row r="23" spans="1:8" ht="12.75">
      <c r="A23" s="90">
        <v>36907</v>
      </c>
      <c r="B23" s="4">
        <f>CONVERT(G23,"F","C")</f>
        <v>5.1</v>
      </c>
      <c r="C23" s="4">
        <f t="shared" si="0"/>
        <v>0.27486356</v>
      </c>
      <c r="D23" s="4">
        <f t="shared" si="1"/>
        <v>0.254</v>
      </c>
      <c r="F23" s="55">
        <v>0.01</v>
      </c>
      <c r="G23" s="55">
        <v>41.18</v>
      </c>
      <c r="H23" s="55">
        <v>0.01</v>
      </c>
    </row>
    <row r="24" spans="1:8" ht="12.75">
      <c r="A24" s="90">
        <v>36908</v>
      </c>
      <c r="B24" s="4">
        <f>CONVERT(G24,"F","C")</f>
        <v>5.3</v>
      </c>
      <c r="C24" s="4">
        <f t="shared" si="0"/>
        <v>0.0254</v>
      </c>
      <c r="D24" s="4">
        <f t="shared" si="1"/>
        <v>0</v>
      </c>
      <c r="F24" s="55">
        <v>0</v>
      </c>
      <c r="G24" s="55">
        <v>41.54</v>
      </c>
      <c r="H24" s="55">
        <v>0</v>
      </c>
    </row>
    <row r="25" spans="1:8" ht="12.75">
      <c r="A25" s="90">
        <v>36909</v>
      </c>
      <c r="B25" s="4">
        <f>CONVERT(G25,"F","C")</f>
        <v>5.250000000000002</v>
      </c>
      <c r="C25" s="4">
        <f t="shared" si="0"/>
        <v>0.27486356</v>
      </c>
      <c r="D25" s="4">
        <f t="shared" si="1"/>
        <v>0.254</v>
      </c>
      <c r="F25" s="55">
        <v>0.01</v>
      </c>
      <c r="G25" s="55">
        <v>41.45</v>
      </c>
      <c r="H25" s="55">
        <v>0.01</v>
      </c>
    </row>
    <row r="26" spans="1:8" ht="12.75">
      <c r="A26" s="90">
        <v>36910</v>
      </c>
      <c r="B26" s="4">
        <f>CONVERT(G26,"F","C")</f>
        <v>4.911111111111113</v>
      </c>
      <c r="C26" s="4">
        <f t="shared" si="0"/>
        <v>0.27486356</v>
      </c>
      <c r="D26" s="4">
        <f t="shared" si="1"/>
        <v>0</v>
      </c>
      <c r="F26" s="55">
        <v>0.01</v>
      </c>
      <c r="G26" s="55">
        <v>40.84</v>
      </c>
      <c r="H26" s="55">
        <v>0</v>
      </c>
    </row>
    <row r="27" spans="1:8" ht="12.75">
      <c r="A27" s="90">
        <v>36911</v>
      </c>
      <c r="B27" s="4">
        <f>CONVERT(G27,"F","C")</f>
        <v>3.494444444444444</v>
      </c>
      <c r="C27" s="4">
        <f t="shared" si="0"/>
        <v>0.27486356</v>
      </c>
      <c r="D27" s="4">
        <f t="shared" si="1"/>
        <v>0.254</v>
      </c>
      <c r="F27" s="55">
        <v>0.01</v>
      </c>
      <c r="G27" s="55">
        <v>38.29</v>
      </c>
      <c r="H27" s="55">
        <v>0.01</v>
      </c>
    </row>
    <row r="28" spans="1:8" ht="12.75">
      <c r="A28" s="90">
        <v>36912</v>
      </c>
      <c r="B28" s="4">
        <f>CONVERT(G28,"F","C")</f>
        <v>1.9000000000000008</v>
      </c>
      <c r="C28" s="4">
        <f t="shared" si="0"/>
        <v>0.52135024</v>
      </c>
      <c r="D28" s="4">
        <f t="shared" si="1"/>
        <v>0</v>
      </c>
      <c r="F28" s="55">
        <v>0.02</v>
      </c>
      <c r="G28" s="55">
        <v>35.42</v>
      </c>
      <c r="H28" s="55">
        <v>0</v>
      </c>
    </row>
    <row r="29" spans="1:8" ht="12.75">
      <c r="A29" s="90">
        <v>36913</v>
      </c>
      <c r="B29" s="4">
        <f>CONVERT(G29,"F","C")</f>
        <v>3.5944444444444437</v>
      </c>
      <c r="C29" s="4">
        <f t="shared" si="0"/>
        <v>0.52135024</v>
      </c>
      <c r="D29" s="4">
        <f t="shared" si="1"/>
        <v>0</v>
      </c>
      <c r="F29" s="55">
        <v>0.02</v>
      </c>
      <c r="G29" s="55">
        <v>38.47</v>
      </c>
      <c r="H29" s="55">
        <v>0</v>
      </c>
    </row>
    <row r="30" spans="1:8" ht="12.75">
      <c r="A30" s="90">
        <v>36914</v>
      </c>
      <c r="B30" s="4">
        <f>CONVERT(G30,"F","C")</f>
        <v>3.8333333333333326</v>
      </c>
      <c r="C30" s="4">
        <f t="shared" si="0"/>
        <v>0.76486004</v>
      </c>
      <c r="D30" s="4">
        <f t="shared" si="1"/>
        <v>0</v>
      </c>
      <c r="F30" s="55">
        <v>0.03</v>
      </c>
      <c r="G30" s="55">
        <v>38.9</v>
      </c>
      <c r="H30" s="55">
        <v>0</v>
      </c>
    </row>
    <row r="31" spans="1:8" ht="12.75">
      <c r="A31" s="90">
        <v>36915</v>
      </c>
      <c r="B31" s="4">
        <f>CONVERT(G31,"F","C")</f>
        <v>4.583333333333333</v>
      </c>
      <c r="C31" s="4">
        <f t="shared" si="0"/>
        <v>0.76486004</v>
      </c>
      <c r="D31" s="4">
        <f t="shared" si="1"/>
        <v>0.254</v>
      </c>
      <c r="F31" s="55">
        <v>0.03</v>
      </c>
      <c r="G31" s="55">
        <v>40.25</v>
      </c>
      <c r="H31" s="55">
        <v>0.01</v>
      </c>
    </row>
    <row r="32" spans="1:8" ht="12.75">
      <c r="A32" s="90">
        <v>36916</v>
      </c>
      <c r="B32" s="4">
        <f>CONVERT(G32,"F","C")</f>
        <v>10.6</v>
      </c>
      <c r="C32" s="4">
        <f t="shared" si="0"/>
        <v>0.76486004</v>
      </c>
      <c r="D32" s="4">
        <f t="shared" si="1"/>
        <v>0</v>
      </c>
      <c r="F32" s="55">
        <v>0.03</v>
      </c>
      <c r="G32" s="55">
        <v>51.08</v>
      </c>
      <c r="H32" s="55">
        <v>0</v>
      </c>
    </row>
    <row r="33" spans="1:8" ht="12.75">
      <c r="A33" s="90">
        <v>36917</v>
      </c>
      <c r="B33" s="4">
        <f>CONVERT(G33,"F","C")</f>
        <v>9.427777777777777</v>
      </c>
      <c r="C33" s="4">
        <f t="shared" si="0"/>
        <v>0.27486356</v>
      </c>
      <c r="D33" s="4">
        <f t="shared" si="1"/>
        <v>4.571999999999999</v>
      </c>
      <c r="F33" s="55">
        <v>0.01</v>
      </c>
      <c r="G33" s="55">
        <v>48.97</v>
      </c>
      <c r="H33" s="55">
        <v>0.18</v>
      </c>
    </row>
    <row r="34" spans="1:8" ht="12.75">
      <c r="A34" s="90">
        <v>36918</v>
      </c>
      <c r="B34" s="4">
        <f>CONVERT(G34,"F","C")</f>
        <v>6.677777777777779</v>
      </c>
      <c r="C34" s="4">
        <f t="shared" si="0"/>
        <v>0.76486004</v>
      </c>
      <c r="D34" s="4">
        <f t="shared" si="1"/>
        <v>0</v>
      </c>
      <c r="F34" s="55">
        <v>0.03</v>
      </c>
      <c r="G34" s="55">
        <v>44.02</v>
      </c>
      <c r="H34" s="55">
        <v>0</v>
      </c>
    </row>
    <row r="35" spans="1:8" ht="12.75">
      <c r="A35" s="90">
        <v>36919</v>
      </c>
      <c r="B35" s="4">
        <f>CONVERT(G35,"F","C")</f>
        <v>8.88888888888889</v>
      </c>
      <c r="C35" s="4">
        <f t="shared" si="0"/>
        <v>1.4775281599999999</v>
      </c>
      <c r="D35" s="4">
        <f t="shared" si="1"/>
        <v>0</v>
      </c>
      <c r="F35" s="55">
        <v>0.06</v>
      </c>
      <c r="G35" s="55">
        <v>48</v>
      </c>
      <c r="H35" s="55">
        <v>0</v>
      </c>
    </row>
    <row r="36" spans="1:8" ht="12.75">
      <c r="A36" s="90">
        <v>36920</v>
      </c>
      <c r="B36" s="4">
        <f>CONVERT(G36,"F","C")</f>
        <v>5.516666666666667</v>
      </c>
      <c r="C36" s="4">
        <f t="shared" si="0"/>
        <v>1.2429489999999999</v>
      </c>
      <c r="D36" s="4">
        <f t="shared" si="1"/>
        <v>0</v>
      </c>
      <c r="F36" s="55">
        <v>0.05</v>
      </c>
      <c r="G36" s="55">
        <v>41.93</v>
      </c>
      <c r="H36" s="55">
        <v>0</v>
      </c>
    </row>
    <row r="37" spans="1:8" ht="12.75">
      <c r="A37" s="90">
        <v>36921</v>
      </c>
      <c r="B37" s="4">
        <f>CONVERT(G37,"F","C")</f>
        <v>3.4611111111111095</v>
      </c>
      <c r="C37" s="4">
        <f t="shared" si="0"/>
        <v>1.2429489999999999</v>
      </c>
      <c r="D37" s="4">
        <f t="shared" si="1"/>
        <v>0</v>
      </c>
      <c r="F37" s="55">
        <v>0.05</v>
      </c>
      <c r="G37" s="55">
        <v>38.23</v>
      </c>
      <c r="H37" s="55">
        <v>0</v>
      </c>
    </row>
    <row r="38" spans="1:8" ht="12.75">
      <c r="A38" s="90">
        <v>36922</v>
      </c>
      <c r="B38" s="4">
        <f>CONVERT(G38,"F","C")</f>
        <v>3.6055555555555565</v>
      </c>
      <c r="C38" s="4">
        <f t="shared" si="0"/>
        <v>1.00539296</v>
      </c>
      <c r="D38" s="4">
        <f t="shared" si="1"/>
        <v>0</v>
      </c>
      <c r="F38" s="55">
        <v>0.04</v>
      </c>
      <c r="G38" s="55">
        <v>38.49</v>
      </c>
      <c r="H38" s="55">
        <v>0</v>
      </c>
    </row>
    <row r="39" spans="1:8" ht="12.75">
      <c r="A39" s="90">
        <v>36923</v>
      </c>
      <c r="B39" s="4">
        <f>CONVERT(G39,"F","C")</f>
        <v>3.2333333333333334</v>
      </c>
      <c r="C39" s="4">
        <f t="shared" si="0"/>
        <v>1.00539296</v>
      </c>
      <c r="D39" s="4">
        <f t="shared" si="1"/>
        <v>0</v>
      </c>
      <c r="F39" s="55">
        <v>0.04</v>
      </c>
      <c r="G39" s="55">
        <v>37.82</v>
      </c>
      <c r="H39" s="55">
        <v>0</v>
      </c>
    </row>
    <row r="40" spans="1:8" ht="12.75">
      <c r="A40" s="90">
        <v>36924</v>
      </c>
      <c r="B40" s="4">
        <f>CONVERT(G40,"F","C")</f>
        <v>4.322222222222223</v>
      </c>
      <c r="C40" s="4">
        <f t="shared" si="0"/>
        <v>1.2429489999999999</v>
      </c>
      <c r="D40" s="4">
        <f t="shared" si="1"/>
        <v>0</v>
      </c>
      <c r="F40" s="55">
        <v>0.05</v>
      </c>
      <c r="G40" s="55">
        <v>39.78</v>
      </c>
      <c r="H40" s="55">
        <v>0</v>
      </c>
    </row>
    <row r="41" spans="1:8" ht="12.75">
      <c r="A41" s="90">
        <v>36925</v>
      </c>
      <c r="B41" s="4">
        <f>CONVERT(G41,"F","C")</f>
        <v>6.344444444444445</v>
      </c>
      <c r="C41" s="4">
        <f t="shared" si="0"/>
        <v>1.2429489999999999</v>
      </c>
      <c r="D41" s="4">
        <f t="shared" si="1"/>
        <v>0</v>
      </c>
      <c r="F41" s="55">
        <v>0.05</v>
      </c>
      <c r="G41" s="55">
        <v>43.42</v>
      </c>
      <c r="H41" s="55">
        <v>0</v>
      </c>
    </row>
    <row r="42" spans="1:8" ht="12.75">
      <c r="A42" s="90">
        <v>36926</v>
      </c>
      <c r="B42" s="4">
        <f>CONVERT(G42,"F","C")</f>
        <v>5.350000000000001</v>
      </c>
      <c r="C42" s="4">
        <f t="shared" si="0"/>
        <v>0.76486004</v>
      </c>
      <c r="D42" s="4">
        <f t="shared" si="1"/>
        <v>0</v>
      </c>
      <c r="F42" s="55">
        <v>0.03</v>
      </c>
      <c r="G42" s="55">
        <v>41.63</v>
      </c>
      <c r="H42" s="55">
        <v>0</v>
      </c>
    </row>
    <row r="43" spans="1:8" ht="12.75">
      <c r="A43" s="90">
        <v>36927</v>
      </c>
      <c r="B43" s="4">
        <f>CONVERT(G43,"F","C")</f>
        <v>4.122222222222223</v>
      </c>
      <c r="C43" s="4">
        <f t="shared" si="0"/>
        <v>1.00539296</v>
      </c>
      <c r="D43" s="4">
        <f t="shared" si="1"/>
        <v>0</v>
      </c>
      <c r="F43" s="55">
        <v>0.04</v>
      </c>
      <c r="G43" s="55">
        <v>39.42</v>
      </c>
      <c r="H43" s="55">
        <v>0</v>
      </c>
    </row>
    <row r="44" spans="1:8" ht="12.75">
      <c r="A44" s="90">
        <v>36928</v>
      </c>
      <c r="B44" s="4">
        <f>CONVERT(G44,"F","C")</f>
        <v>1.466666666666667</v>
      </c>
      <c r="C44" s="4">
        <f t="shared" si="0"/>
        <v>0.76486004</v>
      </c>
      <c r="D44" s="4">
        <f t="shared" si="1"/>
        <v>3.0479999999999996</v>
      </c>
      <c r="F44" s="55">
        <v>0.03</v>
      </c>
      <c r="G44" s="55">
        <v>34.64</v>
      </c>
      <c r="H44" s="55">
        <v>0.12</v>
      </c>
    </row>
    <row r="45" spans="1:8" ht="12.75">
      <c r="A45" s="90">
        <v>36929</v>
      </c>
      <c r="B45" s="4">
        <f>CONVERT(G45,"F","C")</f>
        <v>3.1111111111111116</v>
      </c>
      <c r="C45" s="4">
        <f t="shared" si="0"/>
        <v>1.00539296</v>
      </c>
      <c r="D45" s="4">
        <f t="shared" si="1"/>
        <v>1.778</v>
      </c>
      <c r="F45" s="55">
        <v>0.04</v>
      </c>
      <c r="G45" s="55">
        <v>37.6</v>
      </c>
      <c r="H45" s="55">
        <v>0.07</v>
      </c>
    </row>
    <row r="46" spans="1:8" ht="12.75">
      <c r="A46" s="90">
        <v>36930</v>
      </c>
      <c r="B46" s="4">
        <f>CONVERT(G46,"F","C")</f>
        <v>1.1666666666666674</v>
      </c>
      <c r="C46" s="4">
        <f t="shared" si="0"/>
        <v>0.76486004</v>
      </c>
      <c r="D46" s="4">
        <f t="shared" si="1"/>
        <v>0</v>
      </c>
      <c r="F46" s="55">
        <v>0.03</v>
      </c>
      <c r="G46" s="55">
        <v>34.1</v>
      </c>
      <c r="H46" s="55">
        <v>0</v>
      </c>
    </row>
    <row r="47" spans="1:8" ht="12.75">
      <c r="A47" s="90">
        <v>36931</v>
      </c>
      <c r="B47" s="4">
        <f>CONVERT(G47,"F","C")</f>
        <v>2.1777777777777785</v>
      </c>
      <c r="C47" s="4">
        <f t="shared" si="0"/>
        <v>1.00539296</v>
      </c>
      <c r="D47" s="4">
        <f t="shared" si="1"/>
        <v>0</v>
      </c>
      <c r="F47" s="55">
        <v>0.04</v>
      </c>
      <c r="G47" s="55">
        <v>35.92</v>
      </c>
      <c r="H47" s="55">
        <v>0</v>
      </c>
    </row>
    <row r="48" spans="1:8" ht="12.75">
      <c r="A48" s="90">
        <v>36932</v>
      </c>
      <c r="B48" s="4">
        <f>CONVERT(G48,"F","C")</f>
        <v>6.022222222222224</v>
      </c>
      <c r="C48" s="4">
        <f t="shared" si="0"/>
        <v>1.4775281599999999</v>
      </c>
      <c r="D48" s="4">
        <f t="shared" si="1"/>
        <v>0</v>
      </c>
      <c r="F48" s="55">
        <v>0.06</v>
      </c>
      <c r="G48" s="55">
        <v>42.84</v>
      </c>
      <c r="H48" s="55">
        <v>0</v>
      </c>
    </row>
    <row r="49" spans="1:8" ht="12.75">
      <c r="A49" s="90">
        <v>36933</v>
      </c>
      <c r="B49" s="4">
        <f>CONVERT(G49,"F","C")</f>
        <v>6.405555555555556</v>
      </c>
      <c r="C49" s="4">
        <f t="shared" si="0"/>
        <v>1.2429489999999999</v>
      </c>
      <c r="D49" s="4">
        <f t="shared" si="1"/>
        <v>0</v>
      </c>
      <c r="F49" s="55">
        <v>0.05</v>
      </c>
      <c r="G49" s="55">
        <v>43.53</v>
      </c>
      <c r="H49" s="55">
        <v>0</v>
      </c>
    </row>
    <row r="50" spans="1:8" ht="12.75">
      <c r="A50" s="90">
        <v>36934</v>
      </c>
      <c r="B50" s="4">
        <f>CONVERT(G50,"F","C")</f>
        <v>5.233333333333334</v>
      </c>
      <c r="C50" s="4">
        <f t="shared" si="0"/>
        <v>0.76486004</v>
      </c>
      <c r="D50" s="4">
        <f t="shared" si="1"/>
        <v>0</v>
      </c>
      <c r="F50" s="55">
        <v>0.03</v>
      </c>
      <c r="G50" s="55">
        <v>41.42</v>
      </c>
      <c r="H50" s="55">
        <v>0</v>
      </c>
    </row>
    <row r="51" spans="1:8" ht="12.75">
      <c r="A51" s="90">
        <v>36935</v>
      </c>
      <c r="B51" s="4">
        <f>CONVERT(G51,"F","C")</f>
        <v>5.833333333333333</v>
      </c>
      <c r="C51" s="4">
        <f t="shared" si="0"/>
        <v>0.52135024</v>
      </c>
      <c r="D51" s="4">
        <f t="shared" si="1"/>
        <v>0</v>
      </c>
      <c r="F51" s="55">
        <v>0.02</v>
      </c>
      <c r="G51" s="55">
        <v>42.5</v>
      </c>
      <c r="H51" s="55">
        <v>0</v>
      </c>
    </row>
    <row r="52" spans="1:8" ht="12.75">
      <c r="A52" s="90">
        <v>36936</v>
      </c>
      <c r="B52" s="4">
        <f>CONVERT(G52,"F","C")</f>
        <v>3.761111111111113</v>
      </c>
      <c r="C52" s="4">
        <f t="shared" si="0"/>
        <v>1.2429489999999999</v>
      </c>
      <c r="D52" s="4">
        <f t="shared" si="1"/>
        <v>0</v>
      </c>
      <c r="F52" s="55">
        <v>0.05</v>
      </c>
      <c r="G52" s="55">
        <v>38.77</v>
      </c>
      <c r="H52" s="55">
        <v>0</v>
      </c>
    </row>
    <row r="53" spans="1:8" ht="12.75">
      <c r="A53" s="90">
        <v>36937</v>
      </c>
      <c r="B53" s="4">
        <f>CONVERT(G53,"F","C")</f>
        <v>3.699999999999998</v>
      </c>
      <c r="C53" s="4">
        <f t="shared" si="0"/>
        <v>1.4775281599999999</v>
      </c>
      <c r="D53" s="4">
        <f t="shared" si="1"/>
        <v>0</v>
      </c>
      <c r="F53" s="55">
        <v>0.06</v>
      </c>
      <c r="G53" s="55">
        <v>38.66</v>
      </c>
      <c r="H53" s="55">
        <v>0</v>
      </c>
    </row>
    <row r="54" spans="1:8" ht="12.75">
      <c r="A54" s="90">
        <v>36938</v>
      </c>
      <c r="B54" s="4">
        <f>CONVERT(G54,"F","C")</f>
        <v>6.661111111111112</v>
      </c>
      <c r="C54" s="4">
        <f t="shared" si="0"/>
        <v>1.70913044</v>
      </c>
      <c r="D54" s="4">
        <f t="shared" si="1"/>
        <v>0</v>
      </c>
      <c r="F54" s="55">
        <v>0.07</v>
      </c>
      <c r="G54" s="55">
        <v>43.99</v>
      </c>
      <c r="H54" s="55">
        <v>0</v>
      </c>
    </row>
    <row r="55" spans="1:8" ht="12.75">
      <c r="A55" s="90">
        <v>36939</v>
      </c>
      <c r="B55" s="4">
        <f>CONVERT(G55,"F","C")</f>
        <v>8.183333333333332</v>
      </c>
      <c r="C55" s="4">
        <f t="shared" si="0"/>
        <v>1.4775281599999999</v>
      </c>
      <c r="D55" s="4">
        <f t="shared" si="1"/>
        <v>0</v>
      </c>
      <c r="F55" s="55">
        <v>0.06</v>
      </c>
      <c r="G55" s="55">
        <v>46.73</v>
      </c>
      <c r="H55" s="55">
        <v>0</v>
      </c>
    </row>
    <row r="56" spans="1:8" ht="12.75">
      <c r="A56" s="90">
        <v>36940</v>
      </c>
      <c r="B56" s="4">
        <f>CONVERT(G56,"F","C")</f>
        <v>9.07777777777778</v>
      </c>
      <c r="C56" s="4">
        <f t="shared" si="0"/>
        <v>1.2429489999999999</v>
      </c>
      <c r="D56" s="4">
        <f t="shared" si="1"/>
        <v>1.5239999999999998</v>
      </c>
      <c r="F56" s="55">
        <v>0.05</v>
      </c>
      <c r="G56" s="55">
        <v>48.34</v>
      </c>
      <c r="H56" s="55">
        <v>0.06</v>
      </c>
    </row>
    <row r="57" spans="1:8" ht="12.75">
      <c r="A57" s="90">
        <v>36941</v>
      </c>
      <c r="B57" s="4">
        <f>CONVERT(G57,"F","C")</f>
        <v>9.066666666666666</v>
      </c>
      <c r="C57" s="4">
        <f t="shared" si="0"/>
        <v>1.00539296</v>
      </c>
      <c r="D57" s="4">
        <f t="shared" si="1"/>
        <v>0.254</v>
      </c>
      <c r="F57" s="55">
        <v>0.04</v>
      </c>
      <c r="G57" s="55">
        <v>48.32</v>
      </c>
      <c r="H57" s="55">
        <v>0.01</v>
      </c>
    </row>
    <row r="58" spans="1:8" ht="12.75">
      <c r="A58" s="90">
        <v>36942</v>
      </c>
      <c r="B58" s="4">
        <f>CONVERT(G58,"F","C")</f>
        <v>8.65</v>
      </c>
      <c r="C58" s="4">
        <f t="shared" si="0"/>
        <v>1.00539296</v>
      </c>
      <c r="D58" s="4">
        <f t="shared" si="1"/>
        <v>1.016</v>
      </c>
      <c r="F58" s="55">
        <v>0.04</v>
      </c>
      <c r="G58" s="55">
        <v>47.57</v>
      </c>
      <c r="H58" s="55">
        <v>0.04</v>
      </c>
    </row>
    <row r="59" spans="1:8" ht="12.75">
      <c r="A59" s="90">
        <v>36943</v>
      </c>
      <c r="B59" s="4">
        <f>CONVERT(G59,"F","C")</f>
        <v>7.133333333333335</v>
      </c>
      <c r="C59" s="4">
        <f t="shared" si="0"/>
        <v>1.93775584</v>
      </c>
      <c r="D59" s="4">
        <f t="shared" si="1"/>
        <v>0</v>
      </c>
      <c r="F59" s="55">
        <v>0.08</v>
      </c>
      <c r="G59" s="55">
        <v>44.84</v>
      </c>
      <c r="H59" s="55">
        <v>0</v>
      </c>
    </row>
    <row r="60" spans="1:8" ht="12.75">
      <c r="A60" s="90">
        <v>36944</v>
      </c>
      <c r="B60" s="4">
        <f>CONVERT(G60,"F","C")</f>
        <v>8.22222222222222</v>
      </c>
      <c r="C60" s="4">
        <f t="shared" si="0"/>
        <v>1.93775584</v>
      </c>
      <c r="D60" s="4">
        <f t="shared" si="1"/>
        <v>0</v>
      </c>
      <c r="F60" s="55">
        <v>0.08</v>
      </c>
      <c r="G60" s="55">
        <v>46.8</v>
      </c>
      <c r="H60" s="55">
        <v>0</v>
      </c>
    </row>
    <row r="61" spans="1:8" ht="12.75">
      <c r="A61" s="90">
        <v>36945</v>
      </c>
      <c r="B61" s="4">
        <f>CONVERT(G61,"F","C")</f>
        <v>9.216666666666669</v>
      </c>
      <c r="C61" s="4">
        <f t="shared" si="0"/>
        <v>1.93775584</v>
      </c>
      <c r="D61" s="4">
        <f t="shared" si="1"/>
        <v>0</v>
      </c>
      <c r="F61" s="55">
        <v>0.08</v>
      </c>
      <c r="G61" s="55">
        <v>48.59</v>
      </c>
      <c r="H61" s="55">
        <v>0</v>
      </c>
    </row>
    <row r="62" spans="1:8" ht="12.75">
      <c r="A62" s="90">
        <v>36946</v>
      </c>
      <c r="B62" s="4">
        <f>CONVERT(G62,"F","C")</f>
        <v>8.766666666666667</v>
      </c>
      <c r="C62" s="4">
        <f t="shared" si="0"/>
        <v>1.93775584</v>
      </c>
      <c r="D62" s="4">
        <f t="shared" si="1"/>
        <v>0</v>
      </c>
      <c r="F62" s="55">
        <v>0.08</v>
      </c>
      <c r="G62" s="55">
        <v>47.78</v>
      </c>
      <c r="H62" s="55">
        <v>0</v>
      </c>
    </row>
    <row r="63" spans="1:8" ht="12.75">
      <c r="A63" s="90">
        <v>36947</v>
      </c>
      <c r="B63" s="4">
        <f>CONVERT(G63,"F","C")</f>
        <v>8.405555555555557</v>
      </c>
      <c r="C63" s="4">
        <f t="shared" si="0"/>
        <v>1.93775584</v>
      </c>
      <c r="D63" s="4">
        <f t="shared" si="1"/>
        <v>0</v>
      </c>
      <c r="F63" s="55">
        <v>0.08</v>
      </c>
      <c r="G63" s="55">
        <v>47.13</v>
      </c>
      <c r="H63" s="55">
        <v>0</v>
      </c>
    </row>
    <row r="64" spans="1:8" ht="12.75">
      <c r="A64" s="90">
        <v>36948</v>
      </c>
      <c r="B64" s="4">
        <f>CONVERT(G64,"F","C")</f>
        <v>8.638888888888888</v>
      </c>
      <c r="C64" s="4">
        <f t="shared" si="0"/>
        <v>1.93775584</v>
      </c>
      <c r="D64" s="4">
        <f t="shared" si="1"/>
        <v>0</v>
      </c>
      <c r="F64" s="55">
        <v>0.08</v>
      </c>
      <c r="G64" s="55">
        <v>47.55</v>
      </c>
      <c r="H64" s="55">
        <v>0</v>
      </c>
    </row>
    <row r="65" spans="1:8" ht="12.75">
      <c r="A65" s="90">
        <v>36949</v>
      </c>
      <c r="B65" s="4">
        <f>CONVERT(G65,"F","C")</f>
        <v>11.41111111111111</v>
      </c>
      <c r="C65" s="4">
        <f t="shared" si="0"/>
        <v>2.16340436</v>
      </c>
      <c r="D65" s="4">
        <f t="shared" si="1"/>
        <v>0</v>
      </c>
      <c r="F65" s="55">
        <v>0.09</v>
      </c>
      <c r="G65" s="55">
        <v>52.54</v>
      </c>
      <c r="H65" s="55">
        <v>0</v>
      </c>
    </row>
    <row r="66" spans="1:8" ht="12.75">
      <c r="A66" s="90">
        <v>36950</v>
      </c>
      <c r="B66" s="4">
        <f>CONVERT(G66,"F","C")</f>
        <v>8.527777777777779</v>
      </c>
      <c r="C66" s="4">
        <f t="shared" si="0"/>
        <v>1.70913044</v>
      </c>
      <c r="D66" s="4">
        <f t="shared" si="1"/>
        <v>0.254</v>
      </c>
      <c r="F66" s="55">
        <v>0.07</v>
      </c>
      <c r="G66" s="55">
        <v>47.35</v>
      </c>
      <c r="H66" s="55">
        <v>0.01</v>
      </c>
    </row>
    <row r="67" spans="1:8" ht="12.75">
      <c r="A67" s="90">
        <v>36951</v>
      </c>
      <c r="B67" s="4">
        <f>CONVERT(G67,"F","C")</f>
        <v>6.655555555555553</v>
      </c>
      <c r="C67" s="4">
        <f t="shared" si="0"/>
        <v>1.93775584</v>
      </c>
      <c r="D67" s="4">
        <f t="shared" si="1"/>
        <v>2.032</v>
      </c>
      <c r="F67" s="55">
        <v>0.08</v>
      </c>
      <c r="G67" s="55">
        <v>43.98</v>
      </c>
      <c r="H67" s="55">
        <v>0.08</v>
      </c>
    </row>
    <row r="68" spans="1:8" ht="12.75">
      <c r="A68" s="90">
        <v>36952</v>
      </c>
      <c r="B68" s="4">
        <f>CONVERT(G68,"F","C")</f>
        <v>7.638888888888888</v>
      </c>
      <c r="C68" s="4">
        <f t="shared" si="0"/>
        <v>1.93775584</v>
      </c>
      <c r="D68" s="4">
        <f t="shared" si="1"/>
        <v>0</v>
      </c>
      <c r="F68" s="55">
        <v>0.08</v>
      </c>
      <c r="G68" s="55">
        <v>45.75</v>
      </c>
      <c r="H68" s="55">
        <v>0</v>
      </c>
    </row>
    <row r="69" spans="1:8" ht="12.75">
      <c r="A69" s="90">
        <v>36953</v>
      </c>
      <c r="B69" s="4">
        <f>CONVERT(G69,"F","C")</f>
        <v>7.3888888888888875</v>
      </c>
      <c r="C69" s="4">
        <f t="shared" si="0"/>
        <v>1.70913044</v>
      </c>
      <c r="D69" s="4">
        <f t="shared" si="1"/>
        <v>0</v>
      </c>
      <c r="F69" s="55">
        <v>0.07</v>
      </c>
      <c r="G69" s="55">
        <v>45.3</v>
      </c>
      <c r="H69" s="55">
        <v>0</v>
      </c>
    </row>
    <row r="70" spans="1:8" ht="12.75">
      <c r="A70" s="90">
        <v>36954</v>
      </c>
      <c r="B70" s="4">
        <f>CONVERT(G70,"F","C")</f>
        <v>9.527777777777777</v>
      </c>
      <c r="C70" s="4">
        <f t="shared" si="0"/>
        <v>1.2429489999999999</v>
      </c>
      <c r="D70" s="4">
        <f t="shared" si="1"/>
        <v>0.7619999999999999</v>
      </c>
      <c r="F70" s="55">
        <v>0.05</v>
      </c>
      <c r="G70" s="55">
        <v>49.15</v>
      </c>
      <c r="H70" s="55">
        <v>0.03</v>
      </c>
    </row>
    <row r="71" spans="1:8" ht="12.75">
      <c r="A71" s="90">
        <v>36955</v>
      </c>
      <c r="B71" s="4">
        <f>CONVERT(G71,"F","C")</f>
        <v>7.999999999999999</v>
      </c>
      <c r="C71" s="4">
        <f t="shared" si="0"/>
        <v>1.4775281599999999</v>
      </c>
      <c r="D71" s="4">
        <f t="shared" si="1"/>
        <v>0</v>
      </c>
      <c r="F71" s="55">
        <v>0.06</v>
      </c>
      <c r="G71" s="55">
        <v>46.4</v>
      </c>
      <c r="H71" s="55">
        <v>0</v>
      </c>
    </row>
    <row r="72" spans="1:8" ht="12.75">
      <c r="A72" s="90">
        <v>36956</v>
      </c>
      <c r="B72" s="4">
        <f>CONVERT(G72,"F","C")</f>
        <v>9.905555555555555</v>
      </c>
      <c r="C72" s="4">
        <f t="shared" si="0"/>
        <v>1.70913044</v>
      </c>
      <c r="D72" s="4">
        <f t="shared" si="1"/>
        <v>0</v>
      </c>
      <c r="F72" s="55">
        <v>0.07</v>
      </c>
      <c r="G72" s="55">
        <v>49.83</v>
      </c>
      <c r="H72" s="55">
        <v>0</v>
      </c>
    </row>
    <row r="73" spans="1:8" ht="12.75">
      <c r="A73" s="90">
        <v>36957</v>
      </c>
      <c r="B73" s="4">
        <f>CONVERT(G73,"F","C")</f>
        <v>11.605555555555556</v>
      </c>
      <c r="C73" s="4">
        <f aca="true" t="shared" si="2" ref="C73:C136">(0.001+(0.988*F73)+(-0.586*(F73*F73)))*25.4</f>
        <v>1.70913044</v>
      </c>
      <c r="D73" s="4">
        <f aca="true" t="shared" si="3" ref="D73:D136">H73*25.4</f>
        <v>0</v>
      </c>
      <c r="F73" s="55">
        <v>0.07</v>
      </c>
      <c r="G73" s="55">
        <v>52.89</v>
      </c>
      <c r="H73" s="55">
        <v>0</v>
      </c>
    </row>
    <row r="74" spans="1:8" ht="12.75">
      <c r="A74" s="90">
        <v>36958</v>
      </c>
      <c r="B74" s="4">
        <f>CONVERT(G74,"F","C")</f>
        <v>12.027777777777777</v>
      </c>
      <c r="C74" s="4">
        <f t="shared" si="2"/>
        <v>1.93775584</v>
      </c>
      <c r="D74" s="4">
        <f t="shared" si="3"/>
        <v>0</v>
      </c>
      <c r="F74" s="55">
        <v>0.08</v>
      </c>
      <c r="G74" s="55">
        <v>53.65</v>
      </c>
      <c r="H74" s="55">
        <v>0</v>
      </c>
    </row>
    <row r="75" spans="1:8" ht="12.75">
      <c r="A75" s="90">
        <v>36959</v>
      </c>
      <c r="B75" s="4">
        <f>CONVERT(G75,"F","C")</f>
        <v>11.688888888888888</v>
      </c>
      <c r="C75" s="4">
        <f t="shared" si="2"/>
        <v>1.70913044</v>
      </c>
      <c r="D75" s="4">
        <f t="shared" si="3"/>
        <v>0</v>
      </c>
      <c r="F75" s="55">
        <v>0.07</v>
      </c>
      <c r="G75" s="55">
        <v>53.04</v>
      </c>
      <c r="H75" s="55">
        <v>0</v>
      </c>
    </row>
    <row r="76" spans="1:8" ht="12.75">
      <c r="A76" s="90">
        <v>36960</v>
      </c>
      <c r="B76" s="4">
        <f>CONVERT(G76,"F","C")</f>
        <v>12.083333333333332</v>
      </c>
      <c r="C76" s="4">
        <f t="shared" si="2"/>
        <v>2.16340436</v>
      </c>
      <c r="D76" s="4">
        <f t="shared" si="3"/>
        <v>0</v>
      </c>
      <c r="F76" s="55">
        <v>0.09</v>
      </c>
      <c r="G76" s="55">
        <v>53.75</v>
      </c>
      <c r="H76" s="55">
        <v>0</v>
      </c>
    </row>
    <row r="77" spans="1:8" ht="12.75">
      <c r="A77" s="90">
        <v>36961</v>
      </c>
      <c r="B77" s="4">
        <f>CONVERT(G77,"F","C")</f>
        <v>13.472222222222221</v>
      </c>
      <c r="C77" s="4">
        <f t="shared" si="2"/>
        <v>2.16340436</v>
      </c>
      <c r="D77" s="4">
        <f t="shared" si="3"/>
        <v>0</v>
      </c>
      <c r="F77" s="55">
        <v>0.09</v>
      </c>
      <c r="G77" s="55">
        <v>56.25</v>
      </c>
      <c r="H77" s="55">
        <v>0</v>
      </c>
    </row>
    <row r="78" spans="1:8" ht="12.75">
      <c r="A78" s="90">
        <v>36962</v>
      </c>
      <c r="B78" s="4">
        <f>CONVERT(G78,"F","C")</f>
        <v>12.783333333333331</v>
      </c>
      <c r="C78" s="4">
        <f t="shared" si="2"/>
        <v>2.16340436</v>
      </c>
      <c r="D78" s="4">
        <f t="shared" si="3"/>
        <v>0</v>
      </c>
      <c r="F78" s="55">
        <v>0.09</v>
      </c>
      <c r="G78" s="55">
        <v>55.01</v>
      </c>
      <c r="H78" s="55">
        <v>0</v>
      </c>
    </row>
    <row r="79" spans="1:8" ht="12.75">
      <c r="A79" s="90">
        <v>36963</v>
      </c>
      <c r="B79" s="4">
        <f>CONVERT(G79,"F","C")</f>
        <v>11.727777777777778</v>
      </c>
      <c r="C79" s="4">
        <f t="shared" si="2"/>
        <v>2.82248864</v>
      </c>
      <c r="D79" s="4">
        <f t="shared" si="3"/>
        <v>0</v>
      </c>
      <c r="F79" s="55">
        <v>0.12</v>
      </c>
      <c r="G79" s="55">
        <v>53.11</v>
      </c>
      <c r="H79" s="55">
        <v>0</v>
      </c>
    </row>
    <row r="80" spans="1:8" ht="12.75">
      <c r="A80" s="90">
        <v>36964</v>
      </c>
      <c r="B80" s="4">
        <f>CONVERT(G80,"F","C")</f>
        <v>8.599999999999998</v>
      </c>
      <c r="C80" s="4">
        <f t="shared" si="2"/>
        <v>2.60577076</v>
      </c>
      <c r="D80" s="4">
        <f t="shared" si="3"/>
        <v>0</v>
      </c>
      <c r="F80" s="55">
        <v>0.11</v>
      </c>
      <c r="G80" s="55">
        <v>47.48</v>
      </c>
      <c r="H80" s="55">
        <v>0</v>
      </c>
    </row>
    <row r="81" spans="1:8" ht="12.75">
      <c r="A81" s="90">
        <v>36965</v>
      </c>
      <c r="B81" s="4">
        <f>CONVERT(G81,"F","C")</f>
        <v>8.25</v>
      </c>
      <c r="C81" s="4">
        <f t="shared" si="2"/>
        <v>2.3860759999999996</v>
      </c>
      <c r="D81" s="4">
        <f t="shared" si="3"/>
        <v>0</v>
      </c>
      <c r="F81" s="55">
        <v>0.1</v>
      </c>
      <c r="G81" s="55">
        <v>46.85</v>
      </c>
      <c r="H81" s="55">
        <v>0</v>
      </c>
    </row>
    <row r="82" spans="1:8" ht="12.75">
      <c r="A82" s="90">
        <v>36966</v>
      </c>
      <c r="B82" s="4">
        <f>CONVERT(G82,"F","C")</f>
        <v>7.650000000000001</v>
      </c>
      <c r="C82" s="4">
        <f t="shared" si="2"/>
        <v>1.2429489999999999</v>
      </c>
      <c r="D82" s="4">
        <f t="shared" si="3"/>
        <v>0</v>
      </c>
      <c r="F82" s="55">
        <v>0.05</v>
      </c>
      <c r="G82" s="55">
        <v>45.77</v>
      </c>
      <c r="H82" s="55">
        <v>0</v>
      </c>
    </row>
    <row r="83" spans="1:8" ht="12.75">
      <c r="A83" s="90">
        <v>36967</v>
      </c>
      <c r="B83" s="4">
        <f>CONVERT(G83,"F","C")</f>
        <v>9.727777777777776</v>
      </c>
      <c r="C83" s="4">
        <f t="shared" si="2"/>
        <v>1.70913044</v>
      </c>
      <c r="D83" s="4">
        <f t="shared" si="3"/>
        <v>0</v>
      </c>
      <c r="F83" s="55">
        <v>0.07</v>
      </c>
      <c r="G83" s="55">
        <v>49.51</v>
      </c>
      <c r="H83" s="55">
        <v>0</v>
      </c>
    </row>
    <row r="84" spans="1:8" ht="12.75">
      <c r="A84" s="90">
        <v>36968</v>
      </c>
      <c r="B84" s="4">
        <f>CONVERT(G84,"F","C")</f>
        <v>9.67222222222222</v>
      </c>
      <c r="C84" s="4">
        <f t="shared" si="2"/>
        <v>1.70913044</v>
      </c>
      <c r="D84" s="4">
        <f t="shared" si="3"/>
        <v>0</v>
      </c>
      <c r="F84" s="55">
        <v>0.07</v>
      </c>
      <c r="G84" s="55">
        <v>49.41</v>
      </c>
      <c r="H84" s="55">
        <v>0</v>
      </c>
    </row>
    <row r="85" spans="1:8" ht="12.75">
      <c r="A85" s="90">
        <v>36969</v>
      </c>
      <c r="B85" s="4">
        <f>CONVERT(G85,"F","C")</f>
        <v>10.85</v>
      </c>
      <c r="C85" s="4">
        <f t="shared" si="2"/>
        <v>1.93775584</v>
      </c>
      <c r="D85" s="4">
        <f t="shared" si="3"/>
        <v>1.5239999999999998</v>
      </c>
      <c r="F85" s="55">
        <v>0.08</v>
      </c>
      <c r="G85" s="55">
        <v>51.53</v>
      </c>
      <c r="H85" s="55">
        <v>0.06</v>
      </c>
    </row>
    <row r="86" spans="1:8" ht="12.75">
      <c r="A86" s="90">
        <v>36970</v>
      </c>
      <c r="B86" s="4">
        <f>CONVERT(G86,"F","C")</f>
        <v>7.555555555555556</v>
      </c>
      <c r="C86" s="4">
        <f t="shared" si="2"/>
        <v>1.70913044</v>
      </c>
      <c r="D86" s="4">
        <f t="shared" si="3"/>
        <v>0.254</v>
      </c>
      <c r="F86" s="55">
        <v>0.07</v>
      </c>
      <c r="G86" s="55">
        <v>45.6</v>
      </c>
      <c r="H86" s="55">
        <v>0.01</v>
      </c>
    </row>
    <row r="87" spans="1:8" ht="12.75">
      <c r="A87" s="90">
        <v>36971</v>
      </c>
      <c r="B87" s="4">
        <f>CONVERT(G87,"F","C")</f>
        <v>7.277777777777779</v>
      </c>
      <c r="C87" s="4">
        <f t="shared" si="2"/>
        <v>1.70913044</v>
      </c>
      <c r="D87" s="4">
        <f t="shared" si="3"/>
        <v>3.556</v>
      </c>
      <c r="F87" s="55">
        <v>0.07</v>
      </c>
      <c r="G87" s="55">
        <v>45.1</v>
      </c>
      <c r="H87" s="55">
        <v>0.14</v>
      </c>
    </row>
    <row r="88" spans="1:8" ht="12.75">
      <c r="A88" s="90">
        <v>36972</v>
      </c>
      <c r="B88" s="4">
        <f>CONVERT(G88,"F","C")</f>
        <v>9.072222222222221</v>
      </c>
      <c r="C88" s="4">
        <f t="shared" si="2"/>
        <v>1.93775584</v>
      </c>
      <c r="D88" s="4">
        <f t="shared" si="3"/>
        <v>0.7619999999999999</v>
      </c>
      <c r="F88" s="55">
        <v>0.08</v>
      </c>
      <c r="G88" s="55">
        <v>48.33</v>
      </c>
      <c r="H88" s="55">
        <v>0.03</v>
      </c>
    </row>
    <row r="89" spans="1:8" ht="12.75">
      <c r="A89" s="90">
        <v>36973</v>
      </c>
      <c r="B89" s="4">
        <f>CONVERT(G89,"F","C")</f>
        <v>6.805555555555555</v>
      </c>
      <c r="C89" s="4">
        <f t="shared" si="2"/>
        <v>1.93775584</v>
      </c>
      <c r="D89" s="4">
        <f t="shared" si="3"/>
        <v>3.556</v>
      </c>
      <c r="F89" s="55">
        <v>0.08</v>
      </c>
      <c r="G89" s="55">
        <v>44.25</v>
      </c>
      <c r="H89" s="55">
        <v>0.14</v>
      </c>
    </row>
    <row r="90" spans="1:8" ht="12.75">
      <c r="A90" s="90">
        <v>36974</v>
      </c>
      <c r="B90" s="4">
        <f>CONVERT(G90,"F","C")</f>
        <v>5.811111111111112</v>
      </c>
      <c r="C90" s="4">
        <f t="shared" si="2"/>
        <v>2.16340436</v>
      </c>
      <c r="D90" s="4">
        <f t="shared" si="3"/>
        <v>0</v>
      </c>
      <c r="F90" s="55">
        <v>0.09</v>
      </c>
      <c r="G90" s="55">
        <v>42.46</v>
      </c>
      <c r="H90" s="55">
        <v>0</v>
      </c>
    </row>
    <row r="91" spans="1:8" ht="12.75">
      <c r="A91" s="90">
        <v>36975</v>
      </c>
      <c r="B91" s="4">
        <f>CONVERT(G91,"F","C")</f>
        <v>6.866666666666666</v>
      </c>
      <c r="C91" s="4">
        <f t="shared" si="2"/>
        <v>1.93775584</v>
      </c>
      <c r="D91" s="4">
        <f t="shared" si="3"/>
        <v>0</v>
      </c>
      <c r="F91" s="55">
        <v>0.08</v>
      </c>
      <c r="G91" s="55">
        <v>44.36</v>
      </c>
      <c r="H91" s="55">
        <v>0</v>
      </c>
    </row>
    <row r="92" spans="1:8" ht="12.75">
      <c r="A92" s="90">
        <v>36976</v>
      </c>
      <c r="B92" s="4">
        <f>CONVERT(G92,"F","C")</f>
        <v>10.66111111111111</v>
      </c>
      <c r="C92" s="4">
        <f t="shared" si="2"/>
        <v>1.4775281599999999</v>
      </c>
      <c r="D92" s="4">
        <f t="shared" si="3"/>
        <v>0.254</v>
      </c>
      <c r="F92" s="55">
        <v>0.06</v>
      </c>
      <c r="G92" s="55">
        <v>51.19</v>
      </c>
      <c r="H92" s="55">
        <v>0.01</v>
      </c>
    </row>
    <row r="93" spans="1:8" ht="12.75">
      <c r="A93" s="90">
        <v>36977</v>
      </c>
      <c r="B93" s="4">
        <f>CONVERT(G93,"F","C")</f>
        <v>10.222222222222221</v>
      </c>
      <c r="C93" s="4">
        <f t="shared" si="2"/>
        <v>0.76486004</v>
      </c>
      <c r="D93" s="4">
        <f t="shared" si="3"/>
        <v>20.32</v>
      </c>
      <c r="F93" s="55">
        <v>0.03</v>
      </c>
      <c r="G93" s="55">
        <v>50.4</v>
      </c>
      <c r="H93" s="55">
        <v>0.8</v>
      </c>
    </row>
    <row r="94" spans="1:8" ht="12.75">
      <c r="A94" s="90">
        <v>36978</v>
      </c>
      <c r="B94" s="4">
        <f>CONVERT(G94,"F","C")</f>
        <v>7.794444444444445</v>
      </c>
      <c r="C94" s="4">
        <f t="shared" si="2"/>
        <v>2.3860759999999996</v>
      </c>
      <c r="D94" s="4">
        <f t="shared" si="3"/>
        <v>1.5239999999999998</v>
      </c>
      <c r="F94" s="55">
        <v>0.1</v>
      </c>
      <c r="G94" s="55">
        <v>46.03</v>
      </c>
      <c r="H94" s="55">
        <v>0.06</v>
      </c>
    </row>
    <row r="95" spans="1:8" ht="12.75">
      <c r="A95" s="90">
        <v>36979</v>
      </c>
      <c r="B95" s="4">
        <f>CONVERT(G95,"F","C")</f>
        <v>5.8500000000000005</v>
      </c>
      <c r="C95" s="4">
        <f t="shared" si="2"/>
        <v>2.16340436</v>
      </c>
      <c r="D95" s="4">
        <f t="shared" si="3"/>
        <v>6.35</v>
      </c>
      <c r="F95" s="55">
        <v>0.09</v>
      </c>
      <c r="G95" s="55">
        <v>42.53</v>
      </c>
      <c r="H95" s="55">
        <v>0.25</v>
      </c>
    </row>
    <row r="96" spans="1:8" ht="12.75">
      <c r="A96" s="90">
        <v>36980</v>
      </c>
      <c r="B96" s="4">
        <f>CONVERT(G96,"F","C")</f>
        <v>5.3999999999999995</v>
      </c>
      <c r="C96" s="4">
        <f t="shared" si="2"/>
        <v>2.82248864</v>
      </c>
      <c r="D96" s="4">
        <f t="shared" si="3"/>
        <v>0</v>
      </c>
      <c r="F96" s="55">
        <v>0.12</v>
      </c>
      <c r="G96" s="55">
        <v>41.72</v>
      </c>
      <c r="H96" s="55">
        <v>0</v>
      </c>
    </row>
    <row r="97" spans="1:8" ht="12.75">
      <c r="A97" s="90">
        <v>36981</v>
      </c>
      <c r="B97" s="4">
        <f>CONVERT(G97,"F","C")</f>
        <v>9.394444444444442</v>
      </c>
      <c r="C97" s="4">
        <f t="shared" si="2"/>
        <v>2.82248864</v>
      </c>
      <c r="D97" s="4">
        <f t="shared" si="3"/>
        <v>0</v>
      </c>
      <c r="F97" s="55">
        <v>0.12</v>
      </c>
      <c r="G97" s="55">
        <v>48.91</v>
      </c>
      <c r="H97" s="55">
        <v>0</v>
      </c>
    </row>
    <row r="98" spans="1:8" ht="12.75">
      <c r="A98" s="90">
        <v>36982</v>
      </c>
      <c r="B98" s="4">
        <f>CONVERT(G98,"F","C")</f>
        <v>9.683333333333334</v>
      </c>
      <c r="C98" s="4">
        <f t="shared" si="2"/>
        <v>1.93775584</v>
      </c>
      <c r="D98" s="4">
        <f t="shared" si="3"/>
        <v>0</v>
      </c>
      <c r="F98" s="55">
        <v>0.08</v>
      </c>
      <c r="G98" s="55">
        <v>49.43</v>
      </c>
      <c r="H98" s="55">
        <v>0</v>
      </c>
    </row>
    <row r="99" spans="1:8" ht="12.75">
      <c r="A99" s="90">
        <v>36983</v>
      </c>
      <c r="B99" s="4">
        <f>CONVERT(G99,"F","C")</f>
        <v>9.277777777777779</v>
      </c>
      <c r="C99" s="4">
        <f t="shared" si="2"/>
        <v>2.16340436</v>
      </c>
      <c r="D99" s="4">
        <f t="shared" si="3"/>
        <v>0</v>
      </c>
      <c r="F99" s="55">
        <v>0.09</v>
      </c>
      <c r="G99" s="55">
        <v>48.7</v>
      </c>
      <c r="H99" s="55">
        <v>0</v>
      </c>
    </row>
    <row r="100" spans="1:8" ht="12.75">
      <c r="A100" s="90">
        <v>36984</v>
      </c>
      <c r="B100" s="4">
        <f>CONVERT(G100,"F","C")</f>
        <v>5.750000000000001</v>
      </c>
      <c r="C100" s="4">
        <f t="shared" si="2"/>
        <v>1.2429489999999999</v>
      </c>
      <c r="D100" s="4">
        <f t="shared" si="3"/>
        <v>7.365999999999999</v>
      </c>
      <c r="F100" s="55">
        <v>0.05</v>
      </c>
      <c r="G100" s="55">
        <v>42.35</v>
      </c>
      <c r="H100" s="55">
        <v>0.29</v>
      </c>
    </row>
    <row r="101" spans="1:8" ht="12.75">
      <c r="A101" s="90">
        <v>36985</v>
      </c>
      <c r="B101" s="4">
        <f>CONVERT(G101,"F","C")</f>
        <v>6.905555555555555</v>
      </c>
      <c r="C101" s="4">
        <f t="shared" si="2"/>
        <v>2.3860759999999996</v>
      </c>
      <c r="D101" s="4">
        <f t="shared" si="3"/>
        <v>0.254</v>
      </c>
      <c r="F101" s="55">
        <v>0.1</v>
      </c>
      <c r="G101" s="55">
        <v>44.43</v>
      </c>
      <c r="H101" s="55">
        <v>0.01</v>
      </c>
    </row>
    <row r="102" spans="1:8" ht="12.75">
      <c r="A102" s="90">
        <v>36986</v>
      </c>
      <c r="B102" s="4">
        <f>CONVERT(G102,"F","C")</f>
        <v>11.105555555555556</v>
      </c>
      <c r="C102" s="4">
        <f t="shared" si="2"/>
        <v>2.60577076</v>
      </c>
      <c r="D102" s="4">
        <f t="shared" si="3"/>
        <v>0</v>
      </c>
      <c r="F102" s="55">
        <v>0.11</v>
      </c>
      <c r="G102" s="55">
        <v>51.99</v>
      </c>
      <c r="H102" s="55">
        <v>0</v>
      </c>
    </row>
    <row r="103" spans="1:8" ht="12.75">
      <c r="A103" s="90">
        <v>36987</v>
      </c>
      <c r="B103" s="4">
        <f>CONVERT(G103,"F","C")</f>
        <v>13.144444444444442</v>
      </c>
      <c r="C103" s="4">
        <f t="shared" si="2"/>
        <v>3.2469937599999996</v>
      </c>
      <c r="D103" s="4">
        <f t="shared" si="3"/>
        <v>0</v>
      </c>
      <c r="F103" s="55">
        <v>0.14</v>
      </c>
      <c r="G103" s="55">
        <v>55.66</v>
      </c>
      <c r="H103" s="55">
        <v>0</v>
      </c>
    </row>
    <row r="104" spans="1:8" ht="12.75">
      <c r="A104" s="90">
        <v>36988</v>
      </c>
      <c r="B104" s="4">
        <f>CONVERT(G104,"F","C")</f>
        <v>8.822222222222223</v>
      </c>
      <c r="C104" s="4">
        <f t="shared" si="2"/>
        <v>2.60577076</v>
      </c>
      <c r="D104" s="4">
        <f t="shared" si="3"/>
        <v>2.2859999999999996</v>
      </c>
      <c r="F104" s="55">
        <v>0.11</v>
      </c>
      <c r="G104" s="55">
        <v>47.88</v>
      </c>
      <c r="H104" s="55">
        <v>0.09</v>
      </c>
    </row>
    <row r="105" spans="1:8" ht="12.75">
      <c r="A105" s="90">
        <v>36989</v>
      </c>
      <c r="B105" s="4">
        <f>CONVERT(G105,"F","C")</f>
        <v>6.427777777777778</v>
      </c>
      <c r="C105" s="4">
        <f t="shared" si="2"/>
        <v>1.93775584</v>
      </c>
      <c r="D105" s="4">
        <f t="shared" si="3"/>
        <v>2.54</v>
      </c>
      <c r="F105" s="55">
        <v>0.08</v>
      </c>
      <c r="G105" s="55">
        <v>43.57</v>
      </c>
      <c r="H105" s="55">
        <v>0.1</v>
      </c>
    </row>
    <row r="106" spans="1:8" ht="12.75">
      <c r="A106" s="90">
        <v>36990</v>
      </c>
      <c r="B106" s="4">
        <f>CONVERT(G106,"F","C")</f>
        <v>8.155555555555555</v>
      </c>
      <c r="C106" s="4">
        <f t="shared" si="2"/>
        <v>2.82248864</v>
      </c>
      <c r="D106" s="4">
        <f t="shared" si="3"/>
        <v>0.254</v>
      </c>
      <c r="F106" s="55">
        <v>0.12</v>
      </c>
      <c r="G106" s="55">
        <v>46.68</v>
      </c>
      <c r="H106" s="55">
        <v>0.01</v>
      </c>
    </row>
    <row r="107" spans="1:8" ht="12.75">
      <c r="A107" s="90">
        <v>36991</v>
      </c>
      <c r="B107" s="4">
        <f>CONVERT(G107,"F","C")</f>
        <v>8.55</v>
      </c>
      <c r="C107" s="4">
        <f t="shared" si="2"/>
        <v>2.60577076</v>
      </c>
      <c r="D107" s="4">
        <f t="shared" si="3"/>
        <v>0</v>
      </c>
      <c r="F107" s="55">
        <v>0.11</v>
      </c>
      <c r="G107" s="55">
        <v>47.39</v>
      </c>
      <c r="H107" s="55">
        <v>0</v>
      </c>
    </row>
    <row r="108" spans="1:8" ht="12.75">
      <c r="A108" s="90">
        <v>36992</v>
      </c>
      <c r="B108" s="4">
        <f>CONVERT(G108,"F","C")</f>
        <v>9.483333333333333</v>
      </c>
      <c r="C108" s="4">
        <f t="shared" si="2"/>
        <v>2.3860759999999996</v>
      </c>
      <c r="D108" s="4">
        <f t="shared" si="3"/>
        <v>2.032</v>
      </c>
      <c r="F108" s="55">
        <v>0.1</v>
      </c>
      <c r="G108" s="55">
        <v>49.07</v>
      </c>
      <c r="H108" s="55">
        <v>0.08</v>
      </c>
    </row>
    <row r="109" spans="1:8" ht="12.75">
      <c r="A109" s="90">
        <v>36993</v>
      </c>
      <c r="B109" s="4">
        <f>CONVERT(G109,"F","C")</f>
        <v>5.638888888888888</v>
      </c>
      <c r="C109" s="4">
        <f t="shared" si="2"/>
        <v>2.82248864</v>
      </c>
      <c r="D109" s="4">
        <f t="shared" si="3"/>
        <v>0.508</v>
      </c>
      <c r="F109" s="55">
        <v>0.12</v>
      </c>
      <c r="G109" s="55">
        <v>42.15</v>
      </c>
      <c r="H109" s="55">
        <v>0.02</v>
      </c>
    </row>
    <row r="110" spans="1:8" ht="12.75">
      <c r="A110" s="90">
        <v>36994</v>
      </c>
      <c r="B110" s="4">
        <f>CONVERT(G110,"F","C")</f>
        <v>3.866666666666667</v>
      </c>
      <c r="C110" s="4">
        <f t="shared" si="2"/>
        <v>2.3860759999999996</v>
      </c>
      <c r="D110" s="4">
        <f t="shared" si="3"/>
        <v>1.016</v>
      </c>
      <c r="F110" s="55">
        <v>0.1</v>
      </c>
      <c r="G110" s="55">
        <v>38.96</v>
      </c>
      <c r="H110" s="55">
        <v>0.04</v>
      </c>
    </row>
    <row r="111" spans="1:8" ht="12.75">
      <c r="A111" s="90">
        <v>36995</v>
      </c>
      <c r="B111" s="4">
        <f>CONVERT(G111,"F","C")</f>
        <v>6.855555555555557</v>
      </c>
      <c r="C111" s="4">
        <f t="shared" si="2"/>
        <v>3.2469937599999996</v>
      </c>
      <c r="D111" s="4">
        <f t="shared" si="3"/>
        <v>0</v>
      </c>
      <c r="F111" s="55">
        <v>0.14</v>
      </c>
      <c r="G111" s="55">
        <v>44.34</v>
      </c>
      <c r="H111" s="55">
        <v>0</v>
      </c>
    </row>
    <row r="112" spans="1:8" ht="12.75">
      <c r="A112" s="90">
        <v>36996</v>
      </c>
      <c r="B112" s="4">
        <f>CONVERT(G112,"F","C")</f>
        <v>9.088888888888889</v>
      </c>
      <c r="C112" s="4">
        <f t="shared" si="2"/>
        <v>3.0362296399999997</v>
      </c>
      <c r="D112" s="4">
        <f t="shared" si="3"/>
        <v>0</v>
      </c>
      <c r="F112" s="55">
        <v>0.13</v>
      </c>
      <c r="G112" s="55">
        <v>48.36</v>
      </c>
      <c r="H112" s="55">
        <v>0</v>
      </c>
    </row>
    <row r="113" spans="1:8" ht="12.75">
      <c r="A113" s="90">
        <v>36997</v>
      </c>
      <c r="B113" s="4">
        <f>CONVERT(G113,"F","C")</f>
        <v>9.955555555555556</v>
      </c>
      <c r="C113" s="4">
        <f t="shared" si="2"/>
        <v>1.00539296</v>
      </c>
      <c r="D113" s="4">
        <f t="shared" si="3"/>
        <v>6.604</v>
      </c>
      <c r="F113" s="55">
        <v>0.04</v>
      </c>
      <c r="G113" s="55">
        <v>49.92</v>
      </c>
      <c r="H113" s="55">
        <v>0.26</v>
      </c>
    </row>
    <row r="114" spans="1:8" ht="12.75">
      <c r="A114" s="90">
        <v>36998</v>
      </c>
      <c r="B114" s="4">
        <f>CONVERT(G114,"F","C")</f>
        <v>7.044444444444444</v>
      </c>
      <c r="C114" s="4">
        <f t="shared" si="2"/>
        <v>2.60577076</v>
      </c>
      <c r="D114" s="4">
        <f t="shared" si="3"/>
        <v>1.778</v>
      </c>
      <c r="F114" s="55">
        <v>0.11</v>
      </c>
      <c r="G114" s="55">
        <v>44.68</v>
      </c>
      <c r="H114" s="55">
        <v>0.07</v>
      </c>
    </row>
    <row r="115" spans="1:8" ht="12.75">
      <c r="A115" s="90">
        <v>36999</v>
      </c>
      <c r="B115" s="4">
        <f>CONVERT(G115,"F","C")</f>
        <v>6.3611111111111125</v>
      </c>
      <c r="C115" s="4">
        <f t="shared" si="2"/>
        <v>2.82248864</v>
      </c>
      <c r="D115" s="4">
        <f t="shared" si="3"/>
        <v>0</v>
      </c>
      <c r="F115" s="55">
        <v>0.12</v>
      </c>
      <c r="G115" s="55">
        <v>43.45</v>
      </c>
      <c r="H115" s="55">
        <v>0</v>
      </c>
    </row>
    <row r="116" spans="1:8" ht="12.75">
      <c r="A116" s="90">
        <v>37000</v>
      </c>
      <c r="B116" s="4">
        <f>CONVERT(G116,"F","C")</f>
        <v>8.22222222222222</v>
      </c>
      <c r="C116" s="4">
        <f t="shared" si="2"/>
        <v>3.0362296399999997</v>
      </c>
      <c r="D116" s="4">
        <f t="shared" si="3"/>
        <v>0</v>
      </c>
      <c r="F116" s="55">
        <v>0.13</v>
      </c>
      <c r="G116" s="55">
        <v>46.8</v>
      </c>
      <c r="H116" s="55">
        <v>0</v>
      </c>
    </row>
    <row r="117" spans="1:8" ht="12.75">
      <c r="A117" s="90">
        <v>37001</v>
      </c>
      <c r="B117" s="4">
        <f>CONVERT(G117,"F","C")</f>
        <v>10.633333333333333</v>
      </c>
      <c r="C117" s="4">
        <f t="shared" si="2"/>
        <v>3.0362296399999997</v>
      </c>
      <c r="D117" s="4">
        <f t="shared" si="3"/>
        <v>0</v>
      </c>
      <c r="F117" s="55">
        <v>0.13</v>
      </c>
      <c r="G117" s="55">
        <v>51.14</v>
      </c>
      <c r="H117" s="55">
        <v>0</v>
      </c>
    </row>
    <row r="118" spans="1:8" ht="12.75">
      <c r="A118" s="90">
        <v>37002</v>
      </c>
      <c r="B118" s="4">
        <f>CONVERT(G118,"F","C")</f>
        <v>12.68888888888889</v>
      </c>
      <c r="C118" s="4">
        <f t="shared" si="2"/>
        <v>3.65959136</v>
      </c>
      <c r="D118" s="4">
        <f t="shared" si="3"/>
        <v>0</v>
      </c>
      <c r="F118" s="55">
        <v>0.16</v>
      </c>
      <c r="G118" s="55">
        <v>54.84</v>
      </c>
      <c r="H118" s="55">
        <v>0</v>
      </c>
    </row>
    <row r="119" spans="1:8" ht="12.75">
      <c r="A119" s="90">
        <v>37003</v>
      </c>
      <c r="B119" s="4">
        <f>CONVERT(G119,"F","C")</f>
        <v>13.93888888888889</v>
      </c>
      <c r="C119" s="4">
        <f t="shared" si="2"/>
        <v>3.4547809999999997</v>
      </c>
      <c r="D119" s="4">
        <f t="shared" si="3"/>
        <v>0</v>
      </c>
      <c r="F119" s="55">
        <v>0.15</v>
      </c>
      <c r="G119" s="55">
        <v>57.09</v>
      </c>
      <c r="H119" s="55">
        <v>0</v>
      </c>
    </row>
    <row r="120" spans="1:8" ht="12.75">
      <c r="A120" s="90">
        <v>37004</v>
      </c>
      <c r="B120" s="4">
        <f>CONVERT(G120,"F","C")</f>
        <v>11.988888888888887</v>
      </c>
      <c r="C120" s="4">
        <f t="shared" si="2"/>
        <v>1.93775584</v>
      </c>
      <c r="D120" s="4">
        <f t="shared" si="3"/>
        <v>7.619999999999999</v>
      </c>
      <c r="F120" s="55">
        <v>0.08</v>
      </c>
      <c r="G120" s="55">
        <v>53.58</v>
      </c>
      <c r="H120" s="55">
        <v>0.3</v>
      </c>
    </row>
    <row r="121" spans="1:8" ht="12.75">
      <c r="A121" s="90">
        <v>37005</v>
      </c>
      <c r="B121" s="4">
        <f>CONVERT(G121,"F","C")</f>
        <v>11.455555555555554</v>
      </c>
      <c r="C121" s="4">
        <f t="shared" si="2"/>
        <v>3.2469937599999996</v>
      </c>
      <c r="D121" s="4">
        <f t="shared" si="3"/>
        <v>0</v>
      </c>
      <c r="F121" s="55">
        <v>0.14</v>
      </c>
      <c r="G121" s="55">
        <v>52.62</v>
      </c>
      <c r="H121" s="55">
        <v>0</v>
      </c>
    </row>
    <row r="122" spans="1:8" ht="12.75">
      <c r="A122" s="90">
        <v>37006</v>
      </c>
      <c r="B122" s="4">
        <f>CONVERT(G122,"F","C")</f>
        <v>14.016666666666664</v>
      </c>
      <c r="C122" s="4">
        <f t="shared" si="2"/>
        <v>3.86142484</v>
      </c>
      <c r="D122" s="4">
        <f t="shared" si="3"/>
        <v>0</v>
      </c>
      <c r="F122" s="55">
        <v>0.17</v>
      </c>
      <c r="G122" s="55">
        <v>57.23</v>
      </c>
      <c r="H122" s="55">
        <v>0</v>
      </c>
    </row>
    <row r="123" spans="1:8" ht="12.75">
      <c r="A123" s="90">
        <v>37007</v>
      </c>
      <c r="B123" s="4">
        <f>CONVERT(G123,"F","C")</f>
        <v>15.094444444444445</v>
      </c>
      <c r="C123" s="4">
        <f t="shared" si="2"/>
        <v>3.86142484</v>
      </c>
      <c r="D123" s="4">
        <f t="shared" si="3"/>
        <v>0</v>
      </c>
      <c r="F123" s="55">
        <v>0.17</v>
      </c>
      <c r="G123" s="55">
        <v>59.17</v>
      </c>
      <c r="H123" s="55">
        <v>0</v>
      </c>
    </row>
    <row r="124" spans="1:8" ht="12.75">
      <c r="A124" s="90">
        <v>37008</v>
      </c>
      <c r="B124" s="4">
        <f>CONVERT(G124,"F","C")</f>
        <v>13.06111111111111</v>
      </c>
      <c r="C124" s="4">
        <f t="shared" si="2"/>
        <v>3.2469937599999996</v>
      </c>
      <c r="D124" s="4">
        <f t="shared" si="3"/>
        <v>16.509999999999998</v>
      </c>
      <c r="F124" s="55">
        <v>0.14</v>
      </c>
      <c r="G124" s="55">
        <v>55.51</v>
      </c>
      <c r="H124" s="55">
        <v>0.65</v>
      </c>
    </row>
    <row r="125" spans="1:8" ht="12.75">
      <c r="A125" s="90">
        <v>37009</v>
      </c>
      <c r="B125" s="4">
        <f>CONVERT(G125,"F","C")</f>
        <v>13.2</v>
      </c>
      <c r="C125" s="4">
        <f t="shared" si="2"/>
        <v>2.82248864</v>
      </c>
      <c r="D125" s="4">
        <f t="shared" si="3"/>
        <v>3.8099999999999996</v>
      </c>
      <c r="F125" s="55">
        <v>0.12</v>
      </c>
      <c r="G125" s="55">
        <v>55.76</v>
      </c>
      <c r="H125" s="55">
        <v>0.15</v>
      </c>
    </row>
    <row r="126" spans="1:8" ht="12.75">
      <c r="A126" s="90">
        <v>37010</v>
      </c>
      <c r="B126" s="4">
        <f>CONVERT(G126,"F","C")</f>
        <v>12.805555555555554</v>
      </c>
      <c r="C126" s="4">
        <f t="shared" si="2"/>
        <v>3.65959136</v>
      </c>
      <c r="D126" s="4">
        <f t="shared" si="3"/>
        <v>0</v>
      </c>
      <c r="F126" s="55">
        <v>0.16</v>
      </c>
      <c r="G126" s="55">
        <v>55.05</v>
      </c>
      <c r="H126" s="55">
        <v>0</v>
      </c>
    </row>
    <row r="127" spans="1:8" ht="12.75">
      <c r="A127" s="90">
        <v>37011</v>
      </c>
      <c r="B127" s="4">
        <f>CONVERT(G127,"F","C")</f>
        <v>13.511111111111111</v>
      </c>
      <c r="C127" s="4">
        <f t="shared" si="2"/>
        <v>3.86142484</v>
      </c>
      <c r="D127" s="4">
        <f t="shared" si="3"/>
        <v>0</v>
      </c>
      <c r="F127" s="55">
        <v>0.17</v>
      </c>
      <c r="G127" s="55">
        <v>56.32</v>
      </c>
      <c r="H127" s="55">
        <v>0</v>
      </c>
    </row>
    <row r="128" spans="1:8" ht="12.75">
      <c r="A128" s="90">
        <v>37012</v>
      </c>
      <c r="B128" s="4">
        <f>CONVERT(G128,"F","C")</f>
        <v>14.327777777777778</v>
      </c>
      <c r="C128" s="4">
        <f t="shared" si="2"/>
        <v>3.2469937599999996</v>
      </c>
      <c r="D128" s="4">
        <f t="shared" si="3"/>
        <v>3.8099999999999996</v>
      </c>
      <c r="F128" s="55">
        <v>0.14</v>
      </c>
      <c r="G128" s="55">
        <v>57.79</v>
      </c>
      <c r="H128" s="55">
        <v>0.15</v>
      </c>
    </row>
    <row r="129" spans="1:8" ht="12.75">
      <c r="A129" s="90">
        <v>37013</v>
      </c>
      <c r="B129" s="4">
        <f>CONVERT(G129,"F","C")</f>
        <v>15.222222222222221</v>
      </c>
      <c r="C129" s="4">
        <f t="shared" si="2"/>
        <v>3.2469937599999996</v>
      </c>
      <c r="D129" s="4">
        <f t="shared" si="3"/>
        <v>0.254</v>
      </c>
      <c r="F129" s="55">
        <v>0.14</v>
      </c>
      <c r="G129" s="55">
        <v>59.4</v>
      </c>
      <c r="H129" s="55">
        <v>0.01</v>
      </c>
    </row>
    <row r="130" spans="1:8" ht="12.75">
      <c r="A130" s="90">
        <v>37014</v>
      </c>
      <c r="B130" s="4">
        <f>CONVERT(G130,"F","C")</f>
        <v>14.611111111111109</v>
      </c>
      <c r="C130" s="4">
        <f t="shared" si="2"/>
        <v>3.65959136</v>
      </c>
      <c r="D130" s="4">
        <f t="shared" si="3"/>
        <v>0.7619999999999999</v>
      </c>
      <c r="F130" s="55">
        <v>0.16</v>
      </c>
      <c r="G130" s="55">
        <v>58.3</v>
      </c>
      <c r="H130" s="55">
        <v>0.03</v>
      </c>
    </row>
    <row r="131" spans="1:8" ht="12.75">
      <c r="A131" s="90">
        <v>37015</v>
      </c>
      <c r="B131" s="4">
        <f>CONVERT(G131,"F","C")</f>
        <v>14.416666666666668</v>
      </c>
      <c r="C131" s="4">
        <f t="shared" si="2"/>
        <v>3.0362296399999997</v>
      </c>
      <c r="D131" s="4">
        <f t="shared" si="3"/>
        <v>6.604</v>
      </c>
      <c r="F131" s="55">
        <v>0.13</v>
      </c>
      <c r="G131" s="55">
        <v>57.95</v>
      </c>
      <c r="H131" s="55">
        <v>0.26</v>
      </c>
    </row>
    <row r="132" spans="1:8" ht="12.75">
      <c r="A132" s="90">
        <v>37016</v>
      </c>
      <c r="B132" s="4">
        <f>CONVERT(G132,"F","C")</f>
        <v>13.194444444444445</v>
      </c>
      <c r="C132" s="4">
        <f t="shared" si="2"/>
        <v>2.16340436</v>
      </c>
      <c r="D132" s="4">
        <f t="shared" si="3"/>
        <v>9.652</v>
      </c>
      <c r="F132" s="55">
        <v>0.09</v>
      </c>
      <c r="G132" s="55">
        <v>55.75</v>
      </c>
      <c r="H132" s="55">
        <v>0.38</v>
      </c>
    </row>
    <row r="133" spans="1:8" ht="12.75">
      <c r="A133" s="90">
        <v>37017</v>
      </c>
      <c r="B133" s="4">
        <f>CONVERT(G133,"F","C")</f>
        <v>11.761111111111111</v>
      </c>
      <c r="C133" s="4">
        <f t="shared" si="2"/>
        <v>1.70913044</v>
      </c>
      <c r="D133" s="4">
        <f t="shared" si="3"/>
        <v>5.842</v>
      </c>
      <c r="F133" s="55">
        <v>0.07</v>
      </c>
      <c r="G133" s="55">
        <v>53.17</v>
      </c>
      <c r="H133" s="55">
        <v>0.23</v>
      </c>
    </row>
    <row r="134" spans="1:8" ht="12.75">
      <c r="A134" s="90">
        <v>37018</v>
      </c>
      <c r="B134" s="4">
        <f>CONVERT(G134,"F","C")</f>
        <v>13.26111111111111</v>
      </c>
      <c r="C134" s="4">
        <f t="shared" si="2"/>
        <v>3.4547809999999997</v>
      </c>
      <c r="D134" s="4">
        <f t="shared" si="3"/>
        <v>1.016</v>
      </c>
      <c r="F134" s="55">
        <v>0.15</v>
      </c>
      <c r="G134" s="55">
        <v>55.87</v>
      </c>
      <c r="H134" s="55">
        <v>0.04</v>
      </c>
    </row>
    <row r="135" spans="1:8" ht="12.75">
      <c r="A135" s="90">
        <v>37019</v>
      </c>
      <c r="B135" s="4">
        <f>CONVERT(G135,"F","C")</f>
        <v>12.272222222222224</v>
      </c>
      <c r="C135" s="4">
        <f t="shared" si="2"/>
        <v>2.60577076</v>
      </c>
      <c r="D135" s="4">
        <f t="shared" si="3"/>
        <v>20.574</v>
      </c>
      <c r="F135" s="55">
        <v>0.11</v>
      </c>
      <c r="G135" s="55">
        <v>54.09</v>
      </c>
      <c r="H135" s="55">
        <v>0.81</v>
      </c>
    </row>
    <row r="136" spans="1:8" ht="12.75">
      <c r="A136" s="90">
        <v>37020</v>
      </c>
      <c r="B136" s="4">
        <f>CONVERT(G136,"F","C")</f>
        <v>9.322222222222223</v>
      </c>
      <c r="C136" s="4">
        <f t="shared" si="2"/>
        <v>2.16340436</v>
      </c>
      <c r="D136" s="4">
        <f t="shared" si="3"/>
        <v>5.334</v>
      </c>
      <c r="F136" s="55">
        <v>0.09</v>
      </c>
      <c r="G136" s="55">
        <v>48.78</v>
      </c>
      <c r="H136" s="55">
        <v>0.21</v>
      </c>
    </row>
    <row r="137" spans="1:8" ht="12.75">
      <c r="A137" s="90">
        <v>37021</v>
      </c>
      <c r="B137" s="4">
        <f>CONVERT(G137,"F","C")</f>
        <v>9.022222222222224</v>
      </c>
      <c r="C137" s="4">
        <f aca="true" t="shared" si="4" ref="C137:C200">(0.001+(0.988*F137)+(-0.586*(F137*F137)))*25.4</f>
        <v>1.70913044</v>
      </c>
      <c r="D137" s="4">
        <f aca="true" t="shared" si="5" ref="D137:D200">H137*25.4</f>
        <v>3.0479999999999996</v>
      </c>
      <c r="F137" s="55">
        <v>0.07</v>
      </c>
      <c r="G137" s="55">
        <v>48.24</v>
      </c>
      <c r="H137" s="55">
        <v>0.12</v>
      </c>
    </row>
    <row r="138" spans="1:8" ht="12.75">
      <c r="A138" s="90">
        <v>37022</v>
      </c>
      <c r="B138" s="4">
        <f>CONVERT(G138,"F","C")</f>
        <v>12.477777777777778</v>
      </c>
      <c r="C138" s="4">
        <f t="shared" si="4"/>
        <v>3.86142484</v>
      </c>
      <c r="D138" s="4">
        <f t="shared" si="5"/>
        <v>0</v>
      </c>
      <c r="F138" s="55">
        <v>0.17</v>
      </c>
      <c r="G138" s="55">
        <v>54.46</v>
      </c>
      <c r="H138" s="55">
        <v>0</v>
      </c>
    </row>
    <row r="139" spans="1:8" ht="12.75">
      <c r="A139" s="90">
        <v>37023</v>
      </c>
      <c r="B139" s="4">
        <f>CONVERT(G139,"F","C")</f>
        <v>14.655555555555557</v>
      </c>
      <c r="C139" s="4">
        <f t="shared" si="4"/>
        <v>4.06028144</v>
      </c>
      <c r="D139" s="4">
        <f t="shared" si="5"/>
        <v>0</v>
      </c>
      <c r="F139" s="55">
        <v>0.18</v>
      </c>
      <c r="G139" s="55">
        <v>58.38</v>
      </c>
      <c r="H139" s="55">
        <v>0</v>
      </c>
    </row>
    <row r="140" spans="1:8" ht="12.75">
      <c r="A140" s="90">
        <v>37024</v>
      </c>
      <c r="B140" s="4">
        <f>CONVERT(G140,"F","C")</f>
        <v>17.027777777777775</v>
      </c>
      <c r="C140" s="4">
        <f t="shared" si="4"/>
        <v>3.86142484</v>
      </c>
      <c r="D140" s="4">
        <f t="shared" si="5"/>
        <v>0</v>
      </c>
      <c r="F140" s="55">
        <v>0.17</v>
      </c>
      <c r="G140" s="55">
        <v>62.65</v>
      </c>
      <c r="H140" s="55">
        <v>0</v>
      </c>
    </row>
    <row r="141" spans="1:8" ht="12.75">
      <c r="A141" s="90">
        <v>37025</v>
      </c>
      <c r="B141" s="4">
        <f>CONVERT(G141,"F","C")</f>
        <v>18.54444444444444</v>
      </c>
      <c r="C141" s="4">
        <f t="shared" si="4"/>
        <v>3.65959136</v>
      </c>
      <c r="D141" s="4">
        <f t="shared" si="5"/>
        <v>0</v>
      </c>
      <c r="F141" s="55">
        <v>0.16</v>
      </c>
      <c r="G141" s="55">
        <v>65.38</v>
      </c>
      <c r="H141" s="55">
        <v>0</v>
      </c>
    </row>
    <row r="142" spans="1:8" ht="12.75">
      <c r="A142" s="90">
        <v>37026</v>
      </c>
      <c r="B142" s="4">
        <f>CONVERT(G142,"F","C")</f>
        <v>14.794444444444446</v>
      </c>
      <c r="C142" s="4">
        <f t="shared" si="4"/>
        <v>1.70913044</v>
      </c>
      <c r="D142" s="4">
        <f t="shared" si="5"/>
        <v>5.334</v>
      </c>
      <c r="F142" s="55">
        <v>0.07</v>
      </c>
      <c r="G142" s="55">
        <v>58.63</v>
      </c>
      <c r="H142" s="55">
        <v>0.21</v>
      </c>
    </row>
    <row r="143" spans="1:8" ht="12.75">
      <c r="A143" s="90">
        <v>37027</v>
      </c>
      <c r="B143" s="4">
        <f>CONVERT(G143,"F","C")</f>
        <v>11.81111111111111</v>
      </c>
      <c r="C143" s="4">
        <f t="shared" si="4"/>
        <v>4.06028144</v>
      </c>
      <c r="D143" s="4">
        <f t="shared" si="5"/>
        <v>0.7619999999999999</v>
      </c>
      <c r="F143" s="55">
        <v>0.18</v>
      </c>
      <c r="G143" s="55">
        <v>53.26</v>
      </c>
      <c r="H143" s="55">
        <v>0.03</v>
      </c>
    </row>
    <row r="144" spans="1:8" ht="12.75">
      <c r="A144" s="90">
        <v>37028</v>
      </c>
      <c r="B144" s="4">
        <f>CONVERT(G144,"F","C")</f>
        <v>10.388888888888891</v>
      </c>
      <c r="C144" s="4">
        <f t="shared" si="4"/>
        <v>2.60577076</v>
      </c>
      <c r="D144" s="4">
        <f t="shared" si="5"/>
        <v>1.016</v>
      </c>
      <c r="F144" s="55">
        <v>0.11</v>
      </c>
      <c r="G144" s="55">
        <v>50.7</v>
      </c>
      <c r="H144" s="55">
        <v>0.04</v>
      </c>
    </row>
    <row r="145" spans="1:8" ht="12.75">
      <c r="A145" s="90">
        <v>37029</v>
      </c>
      <c r="B145" s="4">
        <f>CONVERT(G145,"F","C")</f>
        <v>12.216666666666667</v>
      </c>
      <c r="C145" s="4">
        <f t="shared" si="4"/>
        <v>3.2469937599999996</v>
      </c>
      <c r="D145" s="4">
        <f t="shared" si="5"/>
        <v>6.858</v>
      </c>
      <c r="F145" s="55">
        <v>0.14</v>
      </c>
      <c r="G145" s="55">
        <v>53.99</v>
      </c>
      <c r="H145" s="55">
        <v>0.27</v>
      </c>
    </row>
    <row r="146" spans="1:8" ht="12.75">
      <c r="A146" s="90">
        <v>37030</v>
      </c>
      <c r="B146" s="4">
        <f>CONVERT(G146,"F","C")</f>
        <v>12.494444444444445</v>
      </c>
      <c r="C146" s="4">
        <f t="shared" si="4"/>
        <v>3.86142484</v>
      </c>
      <c r="D146" s="4">
        <f t="shared" si="5"/>
        <v>0</v>
      </c>
      <c r="F146" s="55">
        <v>0.17</v>
      </c>
      <c r="G146" s="55">
        <v>54.49</v>
      </c>
      <c r="H146" s="55">
        <v>0</v>
      </c>
    </row>
    <row r="147" spans="1:8" ht="12.75">
      <c r="A147" s="90">
        <v>37031</v>
      </c>
      <c r="B147" s="4">
        <f>CONVERT(G147,"F","C")</f>
        <v>12.238888888888889</v>
      </c>
      <c r="C147" s="4">
        <f t="shared" si="4"/>
        <v>3.4547809999999997</v>
      </c>
      <c r="D147" s="4">
        <f t="shared" si="5"/>
        <v>0.254</v>
      </c>
      <c r="F147" s="55">
        <v>0.15</v>
      </c>
      <c r="G147" s="55">
        <v>54.03</v>
      </c>
      <c r="H147" s="55">
        <v>0.01</v>
      </c>
    </row>
    <row r="148" spans="1:8" ht="12.75">
      <c r="A148" s="90">
        <v>37032</v>
      </c>
      <c r="B148" s="4">
        <f>CONVERT(G148,"F","C")</f>
        <v>13.25</v>
      </c>
      <c r="C148" s="4">
        <f t="shared" si="4"/>
        <v>4.2561611599999996</v>
      </c>
      <c r="D148" s="4">
        <f t="shared" si="5"/>
        <v>0</v>
      </c>
      <c r="F148" s="55">
        <v>0.19</v>
      </c>
      <c r="G148" s="55">
        <v>55.85</v>
      </c>
      <c r="H148" s="55">
        <v>0</v>
      </c>
    </row>
    <row r="149" spans="1:8" ht="12.75">
      <c r="A149" s="90">
        <v>37033</v>
      </c>
      <c r="B149" s="4">
        <f>CONVERT(G149,"F","C")</f>
        <v>13.61111111111111</v>
      </c>
      <c r="C149" s="4">
        <f t="shared" si="4"/>
        <v>4.2561611599999996</v>
      </c>
      <c r="D149" s="4">
        <f t="shared" si="5"/>
        <v>0</v>
      </c>
      <c r="F149" s="55">
        <v>0.19</v>
      </c>
      <c r="G149" s="55">
        <v>56.5</v>
      </c>
      <c r="H149" s="55">
        <v>0</v>
      </c>
    </row>
    <row r="150" spans="1:8" ht="12.75">
      <c r="A150" s="90">
        <v>37034</v>
      </c>
      <c r="B150" s="4">
        <f>CONVERT(G150,"F","C")</f>
        <v>12.316666666666666</v>
      </c>
      <c r="C150" s="4">
        <f t="shared" si="4"/>
        <v>5.19090656</v>
      </c>
      <c r="D150" s="4">
        <f t="shared" si="5"/>
        <v>0</v>
      </c>
      <c r="F150" s="55">
        <v>0.24</v>
      </c>
      <c r="G150" s="55">
        <v>54.17</v>
      </c>
      <c r="H150" s="55">
        <v>0</v>
      </c>
    </row>
    <row r="151" spans="1:8" ht="12.75">
      <c r="A151" s="90">
        <v>37035</v>
      </c>
      <c r="B151" s="4">
        <f>CONVERT(G151,"F","C")</f>
        <v>14.405555555555555</v>
      </c>
      <c r="C151" s="4">
        <f t="shared" si="4"/>
        <v>5.368925</v>
      </c>
      <c r="D151" s="4">
        <f t="shared" si="5"/>
        <v>0</v>
      </c>
      <c r="F151" s="55">
        <v>0.25</v>
      </c>
      <c r="G151" s="55">
        <v>57.93</v>
      </c>
      <c r="H151" s="55">
        <v>0</v>
      </c>
    </row>
    <row r="152" spans="1:8" ht="12.75">
      <c r="A152" s="90">
        <v>37036</v>
      </c>
      <c r="B152" s="4">
        <f>CONVERT(G152,"F","C")</f>
        <v>19.583333333333332</v>
      </c>
      <c r="C152" s="4">
        <f t="shared" si="4"/>
        <v>5.7160312399999995</v>
      </c>
      <c r="D152" s="4">
        <f t="shared" si="5"/>
        <v>0</v>
      </c>
      <c r="F152" s="55">
        <v>0.27</v>
      </c>
      <c r="G152" s="55">
        <v>67.25</v>
      </c>
      <c r="H152" s="55">
        <v>0</v>
      </c>
    </row>
    <row r="153" spans="1:8" ht="12.75">
      <c r="A153" s="90">
        <v>37037</v>
      </c>
      <c r="B153" s="4">
        <f>CONVERT(G153,"F","C")</f>
        <v>22.73888888888889</v>
      </c>
      <c r="C153" s="4">
        <f t="shared" si="4"/>
        <v>5.7160312399999995</v>
      </c>
      <c r="D153" s="4">
        <f t="shared" si="5"/>
        <v>0</v>
      </c>
      <c r="F153" s="55">
        <v>0.27</v>
      </c>
      <c r="G153" s="55">
        <v>72.93</v>
      </c>
      <c r="H153" s="55">
        <v>0</v>
      </c>
    </row>
    <row r="154" spans="1:8" ht="12.75">
      <c r="A154" s="90">
        <v>37038</v>
      </c>
      <c r="B154" s="4">
        <f>CONVERT(G154,"F","C")</f>
        <v>23.02777777777778</v>
      </c>
      <c r="C154" s="4">
        <f t="shared" si="4"/>
        <v>5.7160312399999995</v>
      </c>
      <c r="D154" s="4">
        <f t="shared" si="5"/>
        <v>0</v>
      </c>
      <c r="F154" s="55">
        <v>0.27</v>
      </c>
      <c r="G154" s="55">
        <v>73.45</v>
      </c>
      <c r="H154" s="55">
        <v>0</v>
      </c>
    </row>
    <row r="155" spans="1:8" ht="12.75">
      <c r="A155" s="90">
        <v>37039</v>
      </c>
      <c r="B155" s="4">
        <f>CONVERT(G155,"F","C")</f>
        <v>14.894444444444446</v>
      </c>
      <c r="C155" s="4">
        <f t="shared" si="4"/>
        <v>2.82248864</v>
      </c>
      <c r="D155" s="4">
        <f t="shared" si="5"/>
        <v>12.446</v>
      </c>
      <c r="F155" s="55">
        <v>0.12</v>
      </c>
      <c r="G155" s="55">
        <v>58.81</v>
      </c>
      <c r="H155" s="55">
        <v>0.49</v>
      </c>
    </row>
    <row r="156" spans="1:8" ht="12.75">
      <c r="A156" s="90">
        <v>37040</v>
      </c>
      <c r="B156" s="4">
        <f>CONVERT(G156,"F","C")</f>
        <v>13.661111111111113</v>
      </c>
      <c r="C156" s="4">
        <f t="shared" si="4"/>
        <v>3.0362296399999997</v>
      </c>
      <c r="D156" s="4">
        <f t="shared" si="5"/>
        <v>1.778</v>
      </c>
      <c r="F156" s="55">
        <v>0.13</v>
      </c>
      <c r="G156" s="55">
        <v>56.59</v>
      </c>
      <c r="H156" s="55">
        <v>0.07</v>
      </c>
    </row>
    <row r="157" spans="1:8" ht="12.75">
      <c r="A157" s="90">
        <v>37041</v>
      </c>
      <c r="B157" s="4">
        <f>CONVERT(G157,"F","C")</f>
        <v>17.2</v>
      </c>
      <c r="C157" s="4">
        <f t="shared" si="4"/>
        <v>4.63898996</v>
      </c>
      <c r="D157" s="4">
        <f t="shared" si="5"/>
        <v>0</v>
      </c>
      <c r="F157" s="55">
        <v>0.21</v>
      </c>
      <c r="G157" s="55">
        <v>62.96</v>
      </c>
      <c r="H157" s="55">
        <v>0</v>
      </c>
    </row>
    <row r="158" spans="1:8" ht="12.75">
      <c r="A158" s="90">
        <v>37042</v>
      </c>
      <c r="B158" s="4">
        <f>CONVERT(G158,"F","C")</f>
        <v>17.133333333333336</v>
      </c>
      <c r="C158" s="4">
        <f t="shared" si="4"/>
        <v>4.2561611599999996</v>
      </c>
      <c r="D158" s="4">
        <f t="shared" si="5"/>
        <v>0</v>
      </c>
      <c r="F158" s="55">
        <v>0.19</v>
      </c>
      <c r="G158" s="55">
        <v>62.84</v>
      </c>
      <c r="H158" s="55">
        <v>0</v>
      </c>
    </row>
    <row r="159" spans="1:8" ht="12.75">
      <c r="A159" s="90">
        <v>37043</v>
      </c>
      <c r="B159" s="4">
        <f>CONVERT(G159,"F","C")</f>
        <v>14.149999999999999</v>
      </c>
      <c r="C159" s="4">
        <f t="shared" si="4"/>
        <v>5.19090656</v>
      </c>
      <c r="D159" s="4">
        <f t="shared" si="5"/>
        <v>2.794</v>
      </c>
      <c r="F159" s="55">
        <v>0.24</v>
      </c>
      <c r="G159" s="55">
        <v>57.47</v>
      </c>
      <c r="H159" s="55">
        <v>0.11</v>
      </c>
    </row>
    <row r="160" spans="1:8" ht="12.75">
      <c r="A160" s="90">
        <v>37044</v>
      </c>
      <c r="B160" s="4">
        <f>CONVERT(G160,"F","C")</f>
        <v>14.200000000000001</v>
      </c>
      <c r="C160" s="4">
        <f t="shared" si="4"/>
        <v>5.009911239999999</v>
      </c>
      <c r="D160" s="4">
        <f t="shared" si="5"/>
        <v>0</v>
      </c>
      <c r="F160" s="55">
        <v>0.23</v>
      </c>
      <c r="G160" s="55">
        <v>57.56</v>
      </c>
      <c r="H160" s="55">
        <v>0</v>
      </c>
    </row>
    <row r="161" spans="1:8" ht="12.75">
      <c r="A161" s="90">
        <v>37045</v>
      </c>
      <c r="B161" s="4">
        <f>CONVERT(G161,"F","C")</f>
        <v>14.461111111111112</v>
      </c>
      <c r="C161" s="4">
        <f t="shared" si="4"/>
        <v>5.543966559999999</v>
      </c>
      <c r="D161" s="4">
        <f t="shared" si="5"/>
        <v>0</v>
      </c>
      <c r="F161" s="55">
        <v>0.26</v>
      </c>
      <c r="G161" s="55">
        <v>58.03</v>
      </c>
      <c r="H161" s="55">
        <v>0</v>
      </c>
    </row>
    <row r="162" spans="1:8" ht="12.75">
      <c r="A162" s="90">
        <v>37046</v>
      </c>
      <c r="B162" s="4">
        <f>CONVERT(G162,"F","C")</f>
        <v>14.37222222222222</v>
      </c>
      <c r="C162" s="4">
        <f t="shared" si="4"/>
        <v>5.543966559999999</v>
      </c>
      <c r="D162" s="4">
        <f t="shared" si="5"/>
        <v>0</v>
      </c>
      <c r="F162" s="55">
        <v>0.26</v>
      </c>
      <c r="G162" s="55">
        <v>57.87</v>
      </c>
      <c r="H162" s="55">
        <v>0</v>
      </c>
    </row>
    <row r="163" spans="1:8" ht="12.75">
      <c r="A163" s="90">
        <v>37047</v>
      </c>
      <c r="B163" s="4">
        <f>CONVERT(G163,"F","C")</f>
        <v>11.855555555555558</v>
      </c>
      <c r="C163" s="4">
        <f t="shared" si="4"/>
        <v>5.009911239999999</v>
      </c>
      <c r="D163" s="4">
        <f t="shared" si="5"/>
        <v>0</v>
      </c>
      <c r="F163" s="55">
        <v>0.23</v>
      </c>
      <c r="G163" s="55">
        <v>53.34</v>
      </c>
      <c r="H163" s="55">
        <v>0</v>
      </c>
    </row>
    <row r="164" spans="1:8" ht="12.75">
      <c r="A164" s="90">
        <v>37048</v>
      </c>
      <c r="B164" s="4">
        <f>CONVERT(G164,"F","C")</f>
        <v>9.305555555555555</v>
      </c>
      <c r="C164" s="4">
        <f t="shared" si="4"/>
        <v>2.82248864</v>
      </c>
      <c r="D164" s="4">
        <f t="shared" si="5"/>
        <v>4.064</v>
      </c>
      <c r="F164" s="55">
        <v>0.12</v>
      </c>
      <c r="G164" s="55">
        <v>48.75</v>
      </c>
      <c r="H164" s="55">
        <v>0.16</v>
      </c>
    </row>
    <row r="165" spans="1:8" ht="12.75">
      <c r="A165" s="90">
        <v>37049</v>
      </c>
      <c r="B165" s="4">
        <f>CONVERT(G165,"F","C")</f>
        <v>9.616666666666667</v>
      </c>
      <c r="C165" s="4">
        <f t="shared" si="4"/>
        <v>2.82248864</v>
      </c>
      <c r="D165" s="4">
        <f t="shared" si="5"/>
        <v>0.254</v>
      </c>
      <c r="F165" s="55">
        <v>0.12</v>
      </c>
      <c r="G165" s="55">
        <v>49.31</v>
      </c>
      <c r="H165" s="55">
        <v>0.01</v>
      </c>
    </row>
    <row r="166" spans="1:8" ht="12.75">
      <c r="A166" s="90">
        <v>37050</v>
      </c>
      <c r="B166" s="4">
        <f>CONVERT(G166,"F","C")</f>
        <v>13.02222222222222</v>
      </c>
      <c r="C166" s="4">
        <f t="shared" si="4"/>
        <v>4.449063999999999</v>
      </c>
      <c r="D166" s="4">
        <f t="shared" si="5"/>
        <v>0</v>
      </c>
      <c r="F166" s="55">
        <v>0.2</v>
      </c>
      <c r="G166" s="55">
        <v>55.44</v>
      </c>
      <c r="H166" s="55">
        <v>0</v>
      </c>
    </row>
    <row r="167" spans="1:8" ht="12.75">
      <c r="A167" s="90">
        <v>37051</v>
      </c>
      <c r="B167" s="4">
        <f>CONVERT(G167,"F","C")</f>
        <v>17.844444444444445</v>
      </c>
      <c r="C167" s="4">
        <f t="shared" si="4"/>
        <v>5.009911239999999</v>
      </c>
      <c r="D167" s="4">
        <f t="shared" si="5"/>
        <v>0</v>
      </c>
      <c r="F167" s="55">
        <v>0.23</v>
      </c>
      <c r="G167" s="55">
        <v>64.12</v>
      </c>
      <c r="H167" s="55">
        <v>0</v>
      </c>
    </row>
    <row r="168" spans="1:8" ht="12.75">
      <c r="A168" s="90">
        <v>37052</v>
      </c>
      <c r="B168" s="4">
        <f>CONVERT(G168,"F","C")</f>
        <v>18.505555555555556</v>
      </c>
      <c r="C168" s="4">
        <f t="shared" si="4"/>
        <v>5.009911239999999</v>
      </c>
      <c r="D168" s="4">
        <f t="shared" si="5"/>
        <v>0</v>
      </c>
      <c r="F168" s="55">
        <v>0.23</v>
      </c>
      <c r="G168" s="55">
        <v>65.31</v>
      </c>
      <c r="H168" s="55">
        <v>0</v>
      </c>
    </row>
    <row r="169" spans="1:8" ht="12.75">
      <c r="A169" s="90">
        <v>37053</v>
      </c>
      <c r="B169" s="4">
        <f>CONVERT(G169,"F","C")</f>
        <v>14.844444444444443</v>
      </c>
      <c r="C169" s="4">
        <f t="shared" si="4"/>
        <v>4.82593904</v>
      </c>
      <c r="D169" s="4">
        <f t="shared" si="5"/>
        <v>0</v>
      </c>
      <c r="F169" s="55">
        <v>0.22</v>
      </c>
      <c r="G169" s="55">
        <v>58.72</v>
      </c>
      <c r="H169" s="55">
        <v>0</v>
      </c>
    </row>
    <row r="170" spans="1:8" ht="12.75">
      <c r="A170" s="90">
        <v>37054</v>
      </c>
      <c r="B170" s="4">
        <f>CONVERT(G170,"F","C")</f>
        <v>14.661111111111111</v>
      </c>
      <c r="C170" s="4">
        <f t="shared" si="4"/>
        <v>5.88511904</v>
      </c>
      <c r="D170" s="4">
        <f t="shared" si="5"/>
        <v>0</v>
      </c>
      <c r="F170" s="55">
        <v>0.28</v>
      </c>
      <c r="G170" s="55">
        <v>58.39</v>
      </c>
      <c r="H170" s="55">
        <v>0</v>
      </c>
    </row>
    <row r="171" spans="1:8" ht="12.75">
      <c r="A171" s="90">
        <v>37055</v>
      </c>
      <c r="B171" s="4">
        <f>CONVERT(G171,"F","C")</f>
        <v>17.366666666666664</v>
      </c>
      <c r="C171" s="4">
        <f t="shared" si="4"/>
        <v>5.543966559999999</v>
      </c>
      <c r="D171" s="4">
        <f t="shared" si="5"/>
        <v>0</v>
      </c>
      <c r="F171" s="55">
        <v>0.26</v>
      </c>
      <c r="G171" s="55">
        <v>63.26</v>
      </c>
      <c r="H171" s="55">
        <v>0</v>
      </c>
    </row>
    <row r="172" spans="1:8" ht="12.75">
      <c r="A172" s="90">
        <v>37056</v>
      </c>
      <c r="B172" s="4">
        <f>CONVERT(G172,"F","C")</f>
        <v>16.67222222222222</v>
      </c>
      <c r="C172" s="4">
        <f t="shared" si="4"/>
        <v>5.009911239999999</v>
      </c>
      <c r="D172" s="4">
        <f t="shared" si="5"/>
        <v>0</v>
      </c>
      <c r="F172" s="55">
        <v>0.23</v>
      </c>
      <c r="G172" s="55">
        <v>62.01</v>
      </c>
      <c r="H172" s="55">
        <v>0</v>
      </c>
    </row>
    <row r="173" spans="1:8" ht="12.75">
      <c r="A173" s="90">
        <v>37057</v>
      </c>
      <c r="B173" s="4">
        <f>CONVERT(G173,"F","C")</f>
        <v>16.561111111111114</v>
      </c>
      <c r="C173" s="4">
        <f t="shared" si="4"/>
        <v>5.19090656</v>
      </c>
      <c r="D173" s="4">
        <f t="shared" si="5"/>
        <v>0</v>
      </c>
      <c r="F173" s="55">
        <v>0.24</v>
      </c>
      <c r="G173" s="55">
        <v>61.81</v>
      </c>
      <c r="H173" s="55">
        <v>0</v>
      </c>
    </row>
    <row r="174" spans="1:8" ht="12.75">
      <c r="A174" s="90">
        <v>37058</v>
      </c>
      <c r="B174" s="4">
        <f>CONVERT(G174,"F","C")</f>
        <v>14.561111111111112</v>
      </c>
      <c r="C174" s="4">
        <f t="shared" si="4"/>
        <v>3.0362296399999997</v>
      </c>
      <c r="D174" s="4">
        <f t="shared" si="5"/>
        <v>4.826</v>
      </c>
      <c r="F174" s="55">
        <v>0.13</v>
      </c>
      <c r="G174" s="55">
        <v>58.21</v>
      </c>
      <c r="H174" s="55">
        <v>0.19</v>
      </c>
    </row>
    <row r="175" spans="1:8" ht="12.75">
      <c r="A175" s="90">
        <v>37059</v>
      </c>
      <c r="B175" s="4">
        <f>CONVERT(G175,"F","C")</f>
        <v>13.516666666666666</v>
      </c>
      <c r="C175" s="4">
        <f t="shared" si="4"/>
        <v>3.4547809999999997</v>
      </c>
      <c r="D175" s="4">
        <f t="shared" si="5"/>
        <v>0</v>
      </c>
      <c r="F175" s="55">
        <v>0.15</v>
      </c>
      <c r="G175" s="55">
        <v>56.33</v>
      </c>
      <c r="H175" s="55">
        <v>0</v>
      </c>
    </row>
    <row r="176" spans="1:8" ht="12.75">
      <c r="A176" s="90">
        <v>37060</v>
      </c>
      <c r="B176" s="4">
        <f>CONVERT(G176,"F","C")</f>
        <v>13.2</v>
      </c>
      <c r="C176" s="4">
        <f t="shared" si="4"/>
        <v>2.60577076</v>
      </c>
      <c r="D176" s="4">
        <f t="shared" si="5"/>
        <v>1.5239999999999998</v>
      </c>
      <c r="F176" s="55">
        <v>0.11</v>
      </c>
      <c r="G176" s="55">
        <v>55.76</v>
      </c>
      <c r="H176" s="55">
        <v>0.06</v>
      </c>
    </row>
    <row r="177" spans="1:8" ht="12.75">
      <c r="A177" s="90">
        <v>37061</v>
      </c>
      <c r="B177" s="4">
        <f>CONVERT(G177,"F","C")</f>
        <v>16.655555555555555</v>
      </c>
      <c r="C177" s="4">
        <f t="shared" si="4"/>
        <v>4.63898996</v>
      </c>
      <c r="D177" s="4">
        <f t="shared" si="5"/>
        <v>0</v>
      </c>
      <c r="F177" s="55">
        <v>0.21</v>
      </c>
      <c r="G177" s="55">
        <v>61.98</v>
      </c>
      <c r="H177" s="55">
        <v>0</v>
      </c>
    </row>
    <row r="178" spans="1:8" ht="12.75">
      <c r="A178" s="90">
        <v>37062</v>
      </c>
      <c r="B178" s="4">
        <f>CONVERT(G178,"F","C")</f>
        <v>19.761111111111106</v>
      </c>
      <c r="C178" s="4">
        <f t="shared" si="4"/>
        <v>5.543966559999999</v>
      </c>
      <c r="D178" s="4">
        <f t="shared" si="5"/>
        <v>0</v>
      </c>
      <c r="F178" s="55">
        <v>0.26</v>
      </c>
      <c r="G178" s="55">
        <v>67.57</v>
      </c>
      <c r="H178" s="55">
        <v>0</v>
      </c>
    </row>
    <row r="179" spans="1:8" ht="12.75">
      <c r="A179" s="90">
        <v>37063</v>
      </c>
      <c r="B179" s="4">
        <f>CONVERT(G179,"F","C")</f>
        <v>18.150000000000002</v>
      </c>
      <c r="C179" s="4">
        <f t="shared" si="4"/>
        <v>4.82593904</v>
      </c>
      <c r="D179" s="4">
        <f t="shared" si="5"/>
        <v>0.508</v>
      </c>
      <c r="F179" s="55">
        <v>0.22</v>
      </c>
      <c r="G179" s="55">
        <v>64.67</v>
      </c>
      <c r="H179" s="55">
        <v>0.02</v>
      </c>
    </row>
    <row r="180" spans="1:8" ht="12.75">
      <c r="A180" s="90">
        <v>37064</v>
      </c>
      <c r="B180" s="4">
        <f>CONVERT(G180,"F","C")</f>
        <v>17.744444444444444</v>
      </c>
      <c r="C180" s="4">
        <f t="shared" si="4"/>
        <v>5.368925</v>
      </c>
      <c r="D180" s="4">
        <f t="shared" si="5"/>
        <v>0</v>
      </c>
      <c r="F180" s="55">
        <v>0.25</v>
      </c>
      <c r="G180" s="55">
        <v>63.94</v>
      </c>
      <c r="H180" s="55">
        <v>0</v>
      </c>
    </row>
    <row r="181" spans="1:8" ht="12.75">
      <c r="A181" s="90">
        <v>37065</v>
      </c>
      <c r="B181" s="4">
        <f>CONVERT(G181,"F","C")</f>
        <v>18.455555555555556</v>
      </c>
      <c r="C181" s="4">
        <f t="shared" si="4"/>
        <v>6.05122996</v>
      </c>
      <c r="D181" s="4">
        <f t="shared" si="5"/>
        <v>0</v>
      </c>
      <c r="F181" s="55">
        <v>0.29</v>
      </c>
      <c r="G181" s="55">
        <v>65.22</v>
      </c>
      <c r="H181" s="55">
        <v>0</v>
      </c>
    </row>
    <row r="182" spans="1:8" ht="12.75">
      <c r="A182" s="90">
        <v>37066</v>
      </c>
      <c r="B182" s="4">
        <f>CONVERT(G182,"F","C")</f>
        <v>20.555555555555554</v>
      </c>
      <c r="C182" s="4">
        <f t="shared" si="4"/>
        <v>6.214364</v>
      </c>
      <c r="D182" s="4">
        <f t="shared" si="5"/>
        <v>0</v>
      </c>
      <c r="F182" s="55">
        <v>0.3</v>
      </c>
      <c r="G182" s="55">
        <v>69</v>
      </c>
      <c r="H182" s="55">
        <v>0</v>
      </c>
    </row>
    <row r="183" spans="1:8" ht="12.75">
      <c r="A183" s="90">
        <v>37067</v>
      </c>
      <c r="B183" s="4">
        <f>CONVERT(G183,"F","C")</f>
        <v>19.316666666666663</v>
      </c>
      <c r="C183" s="4">
        <f t="shared" si="4"/>
        <v>5.19090656</v>
      </c>
      <c r="D183" s="4">
        <f t="shared" si="5"/>
        <v>0</v>
      </c>
      <c r="F183" s="55">
        <v>0.24</v>
      </c>
      <c r="G183" s="55">
        <v>66.77</v>
      </c>
      <c r="H183" s="55">
        <v>0</v>
      </c>
    </row>
    <row r="184" spans="1:8" ht="12.75">
      <c r="A184" s="90">
        <v>37068</v>
      </c>
      <c r="B184" s="4">
        <f>CONVERT(G184,"F","C")</f>
        <v>19.061111111111114</v>
      </c>
      <c r="C184" s="4">
        <f t="shared" si="4"/>
        <v>5.009911239999999</v>
      </c>
      <c r="D184" s="4">
        <f t="shared" si="5"/>
        <v>0</v>
      </c>
      <c r="F184" s="55">
        <v>0.23</v>
      </c>
      <c r="G184" s="55">
        <v>66.31</v>
      </c>
      <c r="H184" s="55">
        <v>0</v>
      </c>
    </row>
    <row r="185" spans="1:8" ht="12.75">
      <c r="A185" s="90">
        <v>37069</v>
      </c>
      <c r="B185" s="4">
        <f>CONVERT(G185,"F","C")</f>
        <v>18.183333333333334</v>
      </c>
      <c r="C185" s="4">
        <f t="shared" si="4"/>
        <v>5.009911239999999</v>
      </c>
      <c r="D185" s="4">
        <f t="shared" si="5"/>
        <v>0</v>
      </c>
      <c r="F185" s="55">
        <v>0.23</v>
      </c>
      <c r="G185" s="55">
        <v>64.73</v>
      </c>
      <c r="H185" s="55">
        <v>0</v>
      </c>
    </row>
    <row r="186" spans="1:8" ht="12.75">
      <c r="A186" s="90">
        <v>37070</v>
      </c>
      <c r="B186" s="4">
        <f>CONVERT(G186,"F","C")</f>
        <v>19.438888888888886</v>
      </c>
      <c r="C186" s="4">
        <f t="shared" si="4"/>
        <v>5.88511904</v>
      </c>
      <c r="D186" s="4">
        <f t="shared" si="5"/>
        <v>0</v>
      </c>
      <c r="F186" s="55">
        <v>0.28</v>
      </c>
      <c r="G186" s="55">
        <v>66.99</v>
      </c>
      <c r="H186" s="55">
        <v>0</v>
      </c>
    </row>
    <row r="187" spans="1:8" ht="12.75">
      <c r="A187" s="90">
        <v>37071</v>
      </c>
      <c r="B187" s="4">
        <f>CONVERT(G187,"F","C")</f>
        <v>21.17222222222222</v>
      </c>
      <c r="C187" s="4">
        <f t="shared" si="4"/>
        <v>6.214364</v>
      </c>
      <c r="D187" s="4">
        <f t="shared" si="5"/>
        <v>0</v>
      </c>
      <c r="F187" s="55">
        <v>0.3</v>
      </c>
      <c r="G187" s="55">
        <v>70.11</v>
      </c>
      <c r="H187" s="55">
        <v>0</v>
      </c>
    </row>
    <row r="188" spans="1:8" ht="12.75">
      <c r="A188" s="90">
        <v>37072</v>
      </c>
      <c r="B188" s="4">
        <f>CONVERT(G188,"F","C")</f>
        <v>23.038888888888888</v>
      </c>
      <c r="C188" s="4">
        <f t="shared" si="4"/>
        <v>6.37452116</v>
      </c>
      <c r="D188" s="4">
        <f t="shared" si="5"/>
        <v>0</v>
      </c>
      <c r="F188" s="55">
        <v>0.31</v>
      </c>
      <c r="G188" s="55">
        <v>73.47</v>
      </c>
      <c r="H188" s="55">
        <v>0</v>
      </c>
    </row>
    <row r="189" spans="1:8" ht="12.75">
      <c r="A189" s="90">
        <v>37073</v>
      </c>
      <c r="B189" s="4">
        <f>CONVERT(G189,"F","C")</f>
        <v>21.555555555555554</v>
      </c>
      <c r="C189" s="4">
        <f t="shared" si="4"/>
        <v>6.531701439999999</v>
      </c>
      <c r="D189" s="4">
        <f t="shared" si="5"/>
        <v>0</v>
      </c>
      <c r="F189" s="55">
        <v>0.32</v>
      </c>
      <c r="G189" s="55">
        <v>70.8</v>
      </c>
      <c r="H189" s="55">
        <v>0</v>
      </c>
    </row>
    <row r="190" spans="1:8" ht="12.75">
      <c r="A190" s="90">
        <v>37074</v>
      </c>
      <c r="B190" s="4">
        <f>CONVERT(G190,"F","C")</f>
        <v>18.994444444444444</v>
      </c>
      <c r="C190" s="4">
        <f t="shared" si="4"/>
        <v>6.37452116</v>
      </c>
      <c r="D190" s="4">
        <f t="shared" si="5"/>
        <v>0</v>
      </c>
      <c r="F190" s="55">
        <v>0.31</v>
      </c>
      <c r="G190" s="55">
        <v>66.19</v>
      </c>
      <c r="H190" s="55">
        <v>0</v>
      </c>
    </row>
    <row r="191" spans="1:8" ht="12.75">
      <c r="A191" s="90">
        <v>37075</v>
      </c>
      <c r="B191" s="4">
        <f>CONVERT(G191,"F","C")</f>
        <v>19.366666666666667</v>
      </c>
      <c r="C191" s="4">
        <f t="shared" si="4"/>
        <v>6.531701439999999</v>
      </c>
      <c r="D191" s="4">
        <f t="shared" si="5"/>
        <v>0</v>
      </c>
      <c r="F191" s="55">
        <v>0.32</v>
      </c>
      <c r="G191" s="55">
        <v>66.86</v>
      </c>
      <c r="H191" s="55">
        <v>0</v>
      </c>
    </row>
    <row r="192" spans="1:8" ht="12.75">
      <c r="A192" s="90">
        <v>37076</v>
      </c>
      <c r="B192" s="4">
        <f>CONVERT(G192,"F","C")</f>
        <v>20.966666666666665</v>
      </c>
      <c r="C192" s="4">
        <f t="shared" si="4"/>
        <v>6.685904839999999</v>
      </c>
      <c r="D192" s="4">
        <f t="shared" si="5"/>
        <v>0</v>
      </c>
      <c r="F192" s="55">
        <v>0.33</v>
      </c>
      <c r="G192" s="55">
        <v>69.74</v>
      </c>
      <c r="H192" s="55">
        <v>0</v>
      </c>
    </row>
    <row r="193" spans="1:8" ht="12.75">
      <c r="A193" s="90">
        <v>37077</v>
      </c>
      <c r="B193" s="4">
        <f>CONVERT(G193,"F","C")</f>
        <v>22.049999999999997</v>
      </c>
      <c r="C193" s="4">
        <f t="shared" si="4"/>
        <v>6.531701439999999</v>
      </c>
      <c r="D193" s="4">
        <f t="shared" si="5"/>
        <v>0</v>
      </c>
      <c r="F193" s="55">
        <v>0.32</v>
      </c>
      <c r="G193" s="55">
        <v>71.69</v>
      </c>
      <c r="H193" s="55">
        <v>0</v>
      </c>
    </row>
    <row r="194" spans="1:8" ht="12.75">
      <c r="A194" s="90">
        <v>37078</v>
      </c>
      <c r="B194" s="4">
        <f>CONVERT(G194,"F","C")</f>
        <v>21.849999999999998</v>
      </c>
      <c r="C194" s="4">
        <f t="shared" si="4"/>
        <v>6.214364</v>
      </c>
      <c r="D194" s="4">
        <f t="shared" si="5"/>
        <v>0</v>
      </c>
      <c r="F194" s="55">
        <v>0.3</v>
      </c>
      <c r="G194" s="55">
        <v>71.33</v>
      </c>
      <c r="H194" s="55">
        <v>0</v>
      </c>
    </row>
    <row r="195" spans="1:8" ht="12.75">
      <c r="A195" s="90">
        <v>37079</v>
      </c>
      <c r="B195" s="4">
        <f>CONVERT(G195,"F","C")</f>
        <v>19.944444444444446</v>
      </c>
      <c r="C195" s="4">
        <f t="shared" si="4"/>
        <v>5.88511904</v>
      </c>
      <c r="D195" s="4">
        <f t="shared" si="5"/>
        <v>0</v>
      </c>
      <c r="F195" s="55">
        <v>0.28</v>
      </c>
      <c r="G195" s="55">
        <v>67.9</v>
      </c>
      <c r="H195" s="55">
        <v>0</v>
      </c>
    </row>
    <row r="196" spans="1:8" ht="12.75">
      <c r="A196" s="90">
        <v>37080</v>
      </c>
      <c r="B196" s="4">
        <f>CONVERT(G196,"F","C")</f>
        <v>18.81111111111111</v>
      </c>
      <c r="C196" s="4">
        <f t="shared" si="4"/>
        <v>5.88511904</v>
      </c>
      <c r="D196" s="4">
        <f t="shared" si="5"/>
        <v>1.016</v>
      </c>
      <c r="F196" s="55">
        <v>0.28</v>
      </c>
      <c r="G196" s="55">
        <v>65.86</v>
      </c>
      <c r="H196" s="55">
        <v>0.04</v>
      </c>
    </row>
    <row r="197" spans="1:8" ht="12.75">
      <c r="A197" s="90">
        <v>37081</v>
      </c>
      <c r="B197" s="4">
        <f>CONVERT(G197,"F","C")</f>
        <v>18.594444444444445</v>
      </c>
      <c r="C197" s="4">
        <f t="shared" si="4"/>
        <v>5.009911239999999</v>
      </c>
      <c r="D197" s="4">
        <f t="shared" si="5"/>
        <v>0.508</v>
      </c>
      <c r="F197" s="55">
        <v>0.23</v>
      </c>
      <c r="G197" s="55">
        <v>65.47</v>
      </c>
      <c r="H197" s="55">
        <v>0.02</v>
      </c>
    </row>
    <row r="198" spans="1:8" ht="12.75">
      <c r="A198" s="90">
        <v>37082</v>
      </c>
      <c r="B198" s="4">
        <f>CONVERT(G198,"F","C")</f>
        <v>18.93888888888889</v>
      </c>
      <c r="C198" s="4">
        <f t="shared" si="4"/>
        <v>5.368925</v>
      </c>
      <c r="D198" s="4">
        <f t="shared" si="5"/>
        <v>0.254</v>
      </c>
      <c r="F198" s="55">
        <v>0.25</v>
      </c>
      <c r="G198" s="55">
        <v>66.09</v>
      </c>
      <c r="H198" s="55">
        <v>0.01</v>
      </c>
    </row>
    <row r="199" spans="1:8" ht="12.75">
      <c r="A199" s="90">
        <v>37083</v>
      </c>
      <c r="B199" s="4">
        <f>CONVERT(G199,"F","C")</f>
        <v>21.088888888888885</v>
      </c>
      <c r="C199" s="4">
        <f t="shared" si="4"/>
        <v>6.05122996</v>
      </c>
      <c r="D199" s="4">
        <f t="shared" si="5"/>
        <v>0</v>
      </c>
      <c r="F199" s="55">
        <v>0.29</v>
      </c>
      <c r="G199" s="55">
        <v>69.96</v>
      </c>
      <c r="H199" s="55">
        <v>0</v>
      </c>
    </row>
    <row r="200" spans="1:8" ht="12.75">
      <c r="A200" s="90">
        <v>37084</v>
      </c>
      <c r="B200" s="4">
        <f>CONVERT(G200,"F","C")</f>
        <v>20.877777777777776</v>
      </c>
      <c r="C200" s="4">
        <f t="shared" si="4"/>
        <v>6.214364</v>
      </c>
      <c r="D200" s="4">
        <f t="shared" si="5"/>
        <v>0</v>
      </c>
      <c r="F200" s="55">
        <v>0.3</v>
      </c>
      <c r="G200" s="55">
        <v>69.58</v>
      </c>
      <c r="H200" s="55">
        <v>0</v>
      </c>
    </row>
    <row r="201" spans="1:8" ht="12.75">
      <c r="A201" s="90">
        <v>37085</v>
      </c>
      <c r="B201" s="4">
        <f>CONVERT(G201,"F","C")</f>
        <v>20.305555555555554</v>
      </c>
      <c r="C201" s="4">
        <f aca="true" t="shared" si="6" ref="C201:C264">(0.001+(0.988*F201)+(-0.586*(F201*F201)))*25.4</f>
        <v>6.05122996</v>
      </c>
      <c r="D201" s="4">
        <f aca="true" t="shared" si="7" ref="D201:D264">H201*25.4</f>
        <v>0</v>
      </c>
      <c r="F201" s="55">
        <v>0.29</v>
      </c>
      <c r="G201" s="55">
        <v>68.55</v>
      </c>
      <c r="H201" s="55">
        <v>0</v>
      </c>
    </row>
    <row r="202" spans="1:8" ht="12.75">
      <c r="A202" s="90">
        <v>37086</v>
      </c>
      <c r="B202" s="4">
        <f>CONVERT(G202,"F","C")</f>
        <v>23.86111111111111</v>
      </c>
      <c r="C202" s="4">
        <f t="shared" si="6"/>
        <v>6.531701439999999</v>
      </c>
      <c r="D202" s="4">
        <f t="shared" si="7"/>
        <v>0</v>
      </c>
      <c r="F202" s="55">
        <v>0.32</v>
      </c>
      <c r="G202" s="55">
        <v>74.95</v>
      </c>
      <c r="H202" s="55">
        <v>0</v>
      </c>
    </row>
    <row r="203" spans="1:8" ht="12.75">
      <c r="A203" s="90">
        <v>37087</v>
      </c>
      <c r="B203" s="4">
        <f>CONVERT(G203,"F","C")</f>
        <v>25.98333333333333</v>
      </c>
      <c r="C203" s="4">
        <f t="shared" si="6"/>
        <v>6.685904839999999</v>
      </c>
      <c r="D203" s="4">
        <f t="shared" si="7"/>
        <v>0</v>
      </c>
      <c r="F203" s="55">
        <v>0.33</v>
      </c>
      <c r="G203" s="55">
        <v>78.77</v>
      </c>
      <c r="H203" s="55">
        <v>0</v>
      </c>
    </row>
    <row r="204" spans="1:8" ht="12.75">
      <c r="A204" s="90">
        <v>37088</v>
      </c>
      <c r="B204" s="4">
        <f>CONVERT(G204,"F","C")</f>
        <v>24.255555555555553</v>
      </c>
      <c r="C204" s="4">
        <f t="shared" si="6"/>
        <v>6.531701439999999</v>
      </c>
      <c r="D204" s="4">
        <f t="shared" si="7"/>
        <v>0</v>
      </c>
      <c r="F204" s="55">
        <v>0.32</v>
      </c>
      <c r="G204" s="55">
        <v>75.66</v>
      </c>
      <c r="H204" s="55">
        <v>0</v>
      </c>
    </row>
    <row r="205" spans="1:8" ht="12.75">
      <c r="A205" s="90">
        <v>37089</v>
      </c>
      <c r="B205" s="4">
        <f>CONVERT(G205,"F","C")</f>
        <v>25.955555555555556</v>
      </c>
      <c r="C205" s="4">
        <f t="shared" si="6"/>
        <v>6.837131359999999</v>
      </c>
      <c r="D205" s="4">
        <f t="shared" si="7"/>
        <v>0</v>
      </c>
      <c r="F205" s="55">
        <v>0.34</v>
      </c>
      <c r="G205" s="55">
        <v>78.72</v>
      </c>
      <c r="H205" s="55">
        <v>0</v>
      </c>
    </row>
    <row r="206" spans="1:8" ht="12.75">
      <c r="A206" s="90">
        <v>37090</v>
      </c>
      <c r="B206" s="4">
        <f>CONVERT(G206,"F","C")</f>
        <v>26.933333333333334</v>
      </c>
      <c r="C206" s="4">
        <f t="shared" si="6"/>
        <v>7.1306537599999995</v>
      </c>
      <c r="D206" s="4">
        <f t="shared" si="7"/>
        <v>0</v>
      </c>
      <c r="F206" s="55">
        <v>0.36</v>
      </c>
      <c r="G206" s="55">
        <v>80.48</v>
      </c>
      <c r="H206" s="55">
        <v>0</v>
      </c>
    </row>
    <row r="207" spans="1:8" ht="12.75">
      <c r="A207" s="90">
        <v>37091</v>
      </c>
      <c r="B207" s="4">
        <f>CONVERT(G207,"F","C")</f>
        <v>26.405555555555555</v>
      </c>
      <c r="C207" s="4">
        <f t="shared" si="6"/>
        <v>6.985381</v>
      </c>
      <c r="D207" s="4">
        <f t="shared" si="7"/>
        <v>0</v>
      </c>
      <c r="F207" s="55">
        <v>0.35</v>
      </c>
      <c r="G207" s="55">
        <v>79.53</v>
      </c>
      <c r="H207" s="55">
        <v>0</v>
      </c>
    </row>
    <row r="208" spans="1:8" ht="12.75">
      <c r="A208" s="90">
        <v>37092</v>
      </c>
      <c r="B208" s="4">
        <f>CONVERT(G208,"F","C")</f>
        <v>25.544444444444444</v>
      </c>
      <c r="C208" s="4">
        <f t="shared" si="6"/>
        <v>6.985381</v>
      </c>
      <c r="D208" s="4">
        <f t="shared" si="7"/>
        <v>0</v>
      </c>
      <c r="F208" s="55">
        <v>0.35</v>
      </c>
      <c r="G208" s="55">
        <v>77.98</v>
      </c>
      <c r="H208" s="55">
        <v>0</v>
      </c>
    </row>
    <row r="209" spans="1:8" ht="12.75">
      <c r="A209" s="90">
        <v>37093</v>
      </c>
      <c r="B209" s="4">
        <f>CONVERT(G209,"F","C")</f>
        <v>25.77777777777778</v>
      </c>
      <c r="C209" s="4">
        <f t="shared" si="6"/>
        <v>5.543966559999999</v>
      </c>
      <c r="D209" s="4">
        <f t="shared" si="7"/>
        <v>0</v>
      </c>
      <c r="F209" s="55">
        <v>0.26</v>
      </c>
      <c r="G209" s="55">
        <v>78.4</v>
      </c>
      <c r="H209" s="55">
        <v>0</v>
      </c>
    </row>
    <row r="210" spans="1:8" ht="12.75">
      <c r="A210" s="90">
        <v>37094</v>
      </c>
      <c r="B210" s="4">
        <f>CONVERT(G210,"F","C")</f>
        <v>25.38888888888889</v>
      </c>
      <c r="C210" s="4">
        <f t="shared" si="6"/>
        <v>6.685904839999999</v>
      </c>
      <c r="D210" s="4">
        <f t="shared" si="7"/>
        <v>0</v>
      </c>
      <c r="F210" s="55">
        <v>0.33</v>
      </c>
      <c r="G210" s="55">
        <v>77.7</v>
      </c>
      <c r="H210" s="55">
        <v>0</v>
      </c>
    </row>
    <row r="211" spans="1:8" ht="12.75">
      <c r="A211" s="90">
        <v>37095</v>
      </c>
      <c r="B211" s="4">
        <f>CONVERT(G211,"F","C")</f>
        <v>23.56111111111111</v>
      </c>
      <c r="C211" s="4">
        <f t="shared" si="6"/>
        <v>6.685904839999999</v>
      </c>
      <c r="D211" s="4">
        <f t="shared" si="7"/>
        <v>0</v>
      </c>
      <c r="F211" s="55">
        <v>0.33</v>
      </c>
      <c r="G211" s="55">
        <v>74.41</v>
      </c>
      <c r="H211" s="55">
        <v>0</v>
      </c>
    </row>
    <row r="212" spans="1:8" ht="12.75">
      <c r="A212" s="90">
        <v>37096</v>
      </c>
      <c r="B212" s="4">
        <f>CONVERT(G212,"F","C")</f>
        <v>21.788888888888888</v>
      </c>
      <c r="C212" s="4">
        <f t="shared" si="6"/>
        <v>6.531701439999999</v>
      </c>
      <c r="D212" s="4">
        <f t="shared" si="7"/>
        <v>0</v>
      </c>
      <c r="F212" s="55">
        <v>0.32</v>
      </c>
      <c r="G212" s="55">
        <v>71.22</v>
      </c>
      <c r="H212" s="55">
        <v>0</v>
      </c>
    </row>
    <row r="213" spans="1:8" ht="12.75">
      <c r="A213" s="90">
        <v>37097</v>
      </c>
      <c r="B213" s="4">
        <f>CONVERT(G213,"F","C")</f>
        <v>21.155555555555555</v>
      </c>
      <c r="C213" s="4">
        <f t="shared" si="6"/>
        <v>6.531701439999999</v>
      </c>
      <c r="D213" s="4">
        <f t="shared" si="7"/>
        <v>0</v>
      </c>
      <c r="F213" s="55">
        <v>0.32</v>
      </c>
      <c r="G213" s="55">
        <v>70.08</v>
      </c>
      <c r="H213" s="55">
        <v>0</v>
      </c>
    </row>
    <row r="214" spans="1:8" ht="12.75">
      <c r="A214" s="90">
        <v>37098</v>
      </c>
      <c r="B214" s="4">
        <f>CONVERT(G214,"F","C")</f>
        <v>24.555555555555557</v>
      </c>
      <c r="C214" s="4">
        <f t="shared" si="6"/>
        <v>6.531701439999999</v>
      </c>
      <c r="D214" s="4">
        <f t="shared" si="7"/>
        <v>0</v>
      </c>
      <c r="F214" s="55">
        <v>0.32</v>
      </c>
      <c r="G214" s="55">
        <v>76.2</v>
      </c>
      <c r="H214" s="55">
        <v>0</v>
      </c>
    </row>
    <row r="215" spans="1:8" ht="12.75">
      <c r="A215" s="90">
        <v>37099</v>
      </c>
      <c r="B215" s="4">
        <f>CONVERT(G215,"F","C")</f>
        <v>26.43888888888889</v>
      </c>
      <c r="C215" s="4">
        <f t="shared" si="6"/>
        <v>6.685904839999999</v>
      </c>
      <c r="D215" s="4">
        <f t="shared" si="7"/>
        <v>0</v>
      </c>
      <c r="F215" s="55">
        <v>0.33</v>
      </c>
      <c r="G215" s="55">
        <v>79.59</v>
      </c>
      <c r="H215" s="55">
        <v>0</v>
      </c>
    </row>
    <row r="216" spans="1:8" ht="12.75">
      <c r="A216" s="90">
        <v>37100</v>
      </c>
      <c r="B216" s="4">
        <f>CONVERT(G216,"F","C")</f>
        <v>25.644444444444442</v>
      </c>
      <c r="C216" s="4">
        <f t="shared" si="6"/>
        <v>6.531701439999999</v>
      </c>
      <c r="D216" s="4">
        <f t="shared" si="7"/>
        <v>0</v>
      </c>
      <c r="F216" s="55">
        <v>0.32</v>
      </c>
      <c r="G216" s="55">
        <v>78.16</v>
      </c>
      <c r="H216" s="55">
        <v>0</v>
      </c>
    </row>
    <row r="217" spans="1:8" ht="12.75">
      <c r="A217" s="90">
        <v>37101</v>
      </c>
      <c r="B217" s="4">
        <f>CONVERT(G217,"F","C")</f>
        <v>24.6</v>
      </c>
      <c r="C217" s="4">
        <f t="shared" si="6"/>
        <v>6.685904839999999</v>
      </c>
      <c r="D217" s="4">
        <f t="shared" si="7"/>
        <v>0</v>
      </c>
      <c r="F217" s="55">
        <v>0.33</v>
      </c>
      <c r="G217" s="55">
        <v>76.28</v>
      </c>
      <c r="H217" s="55">
        <v>0</v>
      </c>
    </row>
    <row r="218" spans="1:8" ht="12.75">
      <c r="A218" s="90">
        <v>37102</v>
      </c>
      <c r="B218" s="4">
        <f>CONVERT(G218,"F","C")</f>
        <v>25.366666666666664</v>
      </c>
      <c r="C218" s="4">
        <f t="shared" si="6"/>
        <v>6.685904839999999</v>
      </c>
      <c r="D218" s="4">
        <f t="shared" si="7"/>
        <v>0</v>
      </c>
      <c r="F218" s="55">
        <v>0.33</v>
      </c>
      <c r="G218" s="55">
        <v>77.66</v>
      </c>
      <c r="H218" s="55">
        <v>0</v>
      </c>
    </row>
    <row r="219" spans="1:8" ht="12.75">
      <c r="A219" s="90">
        <v>37103</v>
      </c>
      <c r="B219" s="4">
        <f>CONVERT(G219,"F","C")</f>
        <v>25.98333333333333</v>
      </c>
      <c r="C219" s="4">
        <f t="shared" si="6"/>
        <v>6.531701439999999</v>
      </c>
      <c r="D219" s="4">
        <f t="shared" si="7"/>
        <v>0</v>
      </c>
      <c r="F219" s="55">
        <v>0.32</v>
      </c>
      <c r="G219" s="55">
        <v>78.77</v>
      </c>
      <c r="H219" s="55">
        <v>0</v>
      </c>
    </row>
    <row r="220" spans="1:8" ht="12.75">
      <c r="A220" s="90">
        <v>37104</v>
      </c>
      <c r="B220" s="4">
        <f>CONVERT(G220,"F","C")</f>
        <v>23.55</v>
      </c>
      <c r="C220" s="4">
        <f t="shared" si="6"/>
        <v>6.05122996</v>
      </c>
      <c r="D220" s="4">
        <f t="shared" si="7"/>
        <v>0</v>
      </c>
      <c r="F220" s="55">
        <v>0.29</v>
      </c>
      <c r="G220" s="55">
        <v>74.39</v>
      </c>
      <c r="H220" s="55">
        <v>0</v>
      </c>
    </row>
    <row r="221" spans="1:8" ht="12.75">
      <c r="A221" s="90">
        <v>37105</v>
      </c>
      <c r="B221" s="4">
        <f>CONVERT(G221,"F","C")</f>
        <v>22.344444444444445</v>
      </c>
      <c r="C221" s="4">
        <f t="shared" si="6"/>
        <v>6.214364</v>
      </c>
      <c r="D221" s="4">
        <f t="shared" si="7"/>
        <v>0</v>
      </c>
      <c r="F221" s="55">
        <v>0.3</v>
      </c>
      <c r="G221" s="55">
        <v>72.22</v>
      </c>
      <c r="H221" s="55">
        <v>0</v>
      </c>
    </row>
    <row r="222" spans="1:8" ht="12.75">
      <c r="A222" s="90">
        <v>37106</v>
      </c>
      <c r="B222" s="4">
        <f>CONVERT(G222,"F","C")</f>
        <v>23.76111111111111</v>
      </c>
      <c r="C222" s="4">
        <f t="shared" si="6"/>
        <v>6.37452116</v>
      </c>
      <c r="D222" s="4">
        <f t="shared" si="7"/>
        <v>0</v>
      </c>
      <c r="F222" s="55">
        <v>0.31</v>
      </c>
      <c r="G222" s="55">
        <v>74.77</v>
      </c>
      <c r="H222" s="55">
        <v>0</v>
      </c>
    </row>
    <row r="223" spans="1:8" ht="12.75">
      <c r="A223" s="90">
        <v>37107</v>
      </c>
      <c r="B223" s="4">
        <f>CONVERT(G223,"F","C")</f>
        <v>26.4</v>
      </c>
      <c r="C223" s="4">
        <f t="shared" si="6"/>
        <v>6.37452116</v>
      </c>
      <c r="D223" s="4">
        <f t="shared" si="7"/>
        <v>0</v>
      </c>
      <c r="F223" s="55">
        <v>0.31</v>
      </c>
      <c r="G223" s="55">
        <v>79.52</v>
      </c>
      <c r="H223" s="55">
        <v>0</v>
      </c>
    </row>
    <row r="224" spans="1:8" ht="12.75">
      <c r="A224" s="90">
        <v>37108</v>
      </c>
      <c r="B224" s="4">
        <f>CONVERT(G224,"F","C")</f>
        <v>26.405555555555555</v>
      </c>
      <c r="C224" s="4">
        <f t="shared" si="6"/>
        <v>6.37452116</v>
      </c>
      <c r="D224" s="4">
        <f t="shared" si="7"/>
        <v>0</v>
      </c>
      <c r="F224" s="55">
        <v>0.31</v>
      </c>
      <c r="G224" s="55">
        <v>79.53</v>
      </c>
      <c r="H224" s="55">
        <v>0</v>
      </c>
    </row>
    <row r="225" spans="1:8" ht="12.75">
      <c r="A225" s="90">
        <v>37109</v>
      </c>
      <c r="B225" s="4">
        <f>CONVERT(G225,"F","C")</f>
        <v>25.766666666666662</v>
      </c>
      <c r="C225" s="4">
        <f t="shared" si="6"/>
        <v>6.531701439999999</v>
      </c>
      <c r="D225" s="4">
        <f t="shared" si="7"/>
        <v>0</v>
      </c>
      <c r="F225" s="55">
        <v>0.32</v>
      </c>
      <c r="G225" s="55">
        <v>78.38</v>
      </c>
      <c r="H225" s="55">
        <v>0</v>
      </c>
    </row>
    <row r="226" spans="1:8" ht="12.75">
      <c r="A226" s="90">
        <v>37110</v>
      </c>
      <c r="B226" s="4">
        <f>CONVERT(G226,"F","C")</f>
        <v>25.33888888888889</v>
      </c>
      <c r="C226" s="4">
        <f t="shared" si="6"/>
        <v>6.37452116</v>
      </c>
      <c r="D226" s="4">
        <f t="shared" si="7"/>
        <v>0</v>
      </c>
      <c r="F226" s="55">
        <v>0.31</v>
      </c>
      <c r="G226" s="55">
        <v>77.61</v>
      </c>
      <c r="H226" s="55">
        <v>0</v>
      </c>
    </row>
    <row r="227" spans="1:8" ht="12.75">
      <c r="A227" s="90">
        <v>37111</v>
      </c>
      <c r="B227" s="4">
        <f>CONVERT(G227,"F","C")</f>
        <v>24.644444444444442</v>
      </c>
      <c r="C227" s="4">
        <f t="shared" si="6"/>
        <v>6.37452116</v>
      </c>
      <c r="D227" s="4">
        <f t="shared" si="7"/>
        <v>0</v>
      </c>
      <c r="F227" s="55">
        <v>0.31</v>
      </c>
      <c r="G227" s="55">
        <v>76.36</v>
      </c>
      <c r="H227" s="55">
        <v>0</v>
      </c>
    </row>
    <row r="228" spans="1:8" ht="12.75">
      <c r="A228" s="90">
        <v>37112</v>
      </c>
      <c r="B228" s="4">
        <f>CONVERT(G228,"F","C")</f>
        <v>24.033333333333335</v>
      </c>
      <c r="C228" s="4">
        <f t="shared" si="6"/>
        <v>6.37452116</v>
      </c>
      <c r="D228" s="4">
        <f t="shared" si="7"/>
        <v>0</v>
      </c>
      <c r="F228" s="55">
        <v>0.31</v>
      </c>
      <c r="G228" s="55">
        <v>75.26</v>
      </c>
      <c r="H228" s="55">
        <v>0</v>
      </c>
    </row>
    <row r="229" spans="1:8" ht="12.75">
      <c r="A229" s="90">
        <v>37113</v>
      </c>
      <c r="B229" s="4">
        <f>CONVERT(G229,"F","C")</f>
        <v>22.616666666666664</v>
      </c>
      <c r="C229" s="4">
        <f t="shared" si="6"/>
        <v>6.214364</v>
      </c>
      <c r="D229" s="4">
        <f t="shared" si="7"/>
        <v>0</v>
      </c>
      <c r="F229" s="55">
        <v>0.3</v>
      </c>
      <c r="G229" s="55">
        <v>72.71</v>
      </c>
      <c r="H229" s="55">
        <v>0</v>
      </c>
    </row>
    <row r="230" spans="1:8" ht="12.75">
      <c r="A230" s="90">
        <v>37114</v>
      </c>
      <c r="B230" s="4">
        <f>CONVERT(G230,"F","C")</f>
        <v>21.072222222222226</v>
      </c>
      <c r="C230" s="4">
        <f t="shared" si="6"/>
        <v>6.214364</v>
      </c>
      <c r="D230" s="4">
        <f t="shared" si="7"/>
        <v>0</v>
      </c>
      <c r="F230" s="55">
        <v>0.3</v>
      </c>
      <c r="G230" s="55">
        <v>69.93</v>
      </c>
      <c r="H230" s="55">
        <v>0</v>
      </c>
    </row>
    <row r="231" spans="1:8" ht="12.75">
      <c r="A231" s="90">
        <v>37115</v>
      </c>
      <c r="B231" s="4">
        <f>CONVERT(G231,"F","C")</f>
        <v>21.016666666666666</v>
      </c>
      <c r="C231" s="4">
        <f t="shared" si="6"/>
        <v>5.7160312399999995</v>
      </c>
      <c r="D231" s="4">
        <f t="shared" si="7"/>
        <v>0</v>
      </c>
      <c r="F231" s="55">
        <v>0.27</v>
      </c>
      <c r="G231" s="55">
        <v>69.83</v>
      </c>
      <c r="H231" s="55">
        <v>0</v>
      </c>
    </row>
    <row r="232" spans="1:8" ht="12.75">
      <c r="A232" s="90">
        <v>37116</v>
      </c>
      <c r="B232" s="4">
        <f>CONVERT(G232,"F","C")</f>
        <v>23.288888888888888</v>
      </c>
      <c r="C232" s="4">
        <f t="shared" si="6"/>
        <v>5.7160312399999995</v>
      </c>
      <c r="D232" s="4">
        <f t="shared" si="7"/>
        <v>0</v>
      </c>
      <c r="F232" s="55">
        <v>0.27</v>
      </c>
      <c r="G232" s="55">
        <v>73.92</v>
      </c>
      <c r="H232" s="55">
        <v>0</v>
      </c>
    </row>
    <row r="233" spans="1:8" ht="12.75">
      <c r="A233" s="90">
        <v>37117</v>
      </c>
      <c r="B233" s="4">
        <f>CONVERT(G233,"F","C")</f>
        <v>24.738888888888887</v>
      </c>
      <c r="C233" s="4">
        <f t="shared" si="6"/>
        <v>6.05122996</v>
      </c>
      <c r="D233" s="4">
        <f t="shared" si="7"/>
        <v>0</v>
      </c>
      <c r="F233" s="55">
        <v>0.29</v>
      </c>
      <c r="G233" s="55">
        <v>76.53</v>
      </c>
      <c r="H233" s="55">
        <v>0</v>
      </c>
    </row>
    <row r="234" spans="1:8" ht="12.75">
      <c r="A234" s="90">
        <v>37118</v>
      </c>
      <c r="B234" s="4">
        <f>CONVERT(G234,"F","C")</f>
        <v>23.705555555555556</v>
      </c>
      <c r="C234" s="4">
        <f t="shared" si="6"/>
        <v>6.05122996</v>
      </c>
      <c r="D234" s="4">
        <f t="shared" si="7"/>
        <v>0</v>
      </c>
      <c r="F234" s="55">
        <v>0.29</v>
      </c>
      <c r="G234" s="55">
        <v>74.67</v>
      </c>
      <c r="H234" s="55">
        <v>0</v>
      </c>
    </row>
    <row r="235" spans="1:8" ht="12.75">
      <c r="A235" s="90">
        <v>37119</v>
      </c>
      <c r="B235" s="4">
        <f>CONVERT(G235,"F","C")</f>
        <v>22.96666666666667</v>
      </c>
      <c r="C235" s="4">
        <f t="shared" si="6"/>
        <v>5.88511904</v>
      </c>
      <c r="D235" s="4">
        <f t="shared" si="7"/>
        <v>0</v>
      </c>
      <c r="F235" s="55">
        <v>0.28</v>
      </c>
      <c r="G235" s="55">
        <v>73.34</v>
      </c>
      <c r="H235" s="55">
        <v>0</v>
      </c>
    </row>
    <row r="236" spans="1:8" ht="12.75">
      <c r="A236" s="90">
        <v>37120</v>
      </c>
      <c r="B236" s="4">
        <f>CONVERT(G236,"F","C")</f>
        <v>21.022222222222222</v>
      </c>
      <c r="C236" s="4">
        <f t="shared" si="6"/>
        <v>5.7160312399999995</v>
      </c>
      <c r="D236" s="4">
        <f t="shared" si="7"/>
        <v>0</v>
      </c>
      <c r="F236" s="55">
        <v>0.27</v>
      </c>
      <c r="G236" s="55">
        <v>69.84</v>
      </c>
      <c r="H236" s="55">
        <v>0</v>
      </c>
    </row>
    <row r="237" spans="1:8" ht="12.75">
      <c r="A237" s="90">
        <v>37121</v>
      </c>
      <c r="B237" s="4">
        <f>CONVERT(G237,"F","C")</f>
        <v>21.894444444444442</v>
      </c>
      <c r="C237" s="4">
        <f t="shared" si="6"/>
        <v>5.543966559999999</v>
      </c>
      <c r="D237" s="4">
        <f t="shared" si="7"/>
        <v>0</v>
      </c>
      <c r="F237" s="55">
        <v>0.26</v>
      </c>
      <c r="G237" s="55">
        <v>71.41</v>
      </c>
      <c r="H237" s="55">
        <v>0</v>
      </c>
    </row>
    <row r="238" spans="1:8" ht="12.75">
      <c r="A238" s="90">
        <v>37122</v>
      </c>
      <c r="B238" s="4">
        <f>CONVERT(G238,"F","C")</f>
        <v>22.944444444444443</v>
      </c>
      <c r="C238" s="4">
        <f t="shared" si="6"/>
        <v>5.543966559999999</v>
      </c>
      <c r="D238" s="4">
        <f t="shared" si="7"/>
        <v>0</v>
      </c>
      <c r="F238" s="55">
        <v>0.26</v>
      </c>
      <c r="G238" s="55">
        <v>73.3</v>
      </c>
      <c r="H238" s="55">
        <v>0</v>
      </c>
    </row>
    <row r="239" spans="1:8" ht="12.75">
      <c r="A239" s="90">
        <v>37123</v>
      </c>
      <c r="B239" s="4">
        <f>CONVERT(G239,"F","C")</f>
        <v>24.761111111111106</v>
      </c>
      <c r="C239" s="4">
        <f t="shared" si="6"/>
        <v>5.543966559999999</v>
      </c>
      <c r="D239" s="4">
        <f t="shared" si="7"/>
        <v>0</v>
      </c>
      <c r="F239" s="55">
        <v>0.26</v>
      </c>
      <c r="G239" s="55">
        <v>76.57</v>
      </c>
      <c r="H239" s="55">
        <v>0</v>
      </c>
    </row>
    <row r="240" spans="1:8" ht="12.75">
      <c r="A240" s="90">
        <v>37124</v>
      </c>
      <c r="B240" s="4">
        <f>CONVERT(G240,"F","C")</f>
        <v>23.81111111111111</v>
      </c>
      <c r="C240" s="4">
        <f t="shared" si="6"/>
        <v>5.7160312399999995</v>
      </c>
      <c r="D240" s="4">
        <f t="shared" si="7"/>
        <v>0</v>
      </c>
      <c r="F240" s="55">
        <v>0.27</v>
      </c>
      <c r="G240" s="55">
        <v>74.86</v>
      </c>
      <c r="H240" s="55">
        <v>0</v>
      </c>
    </row>
    <row r="241" spans="1:8" ht="12.75">
      <c r="A241" s="90">
        <v>37125</v>
      </c>
      <c r="B241" s="4">
        <f>CONVERT(G241,"F","C")</f>
        <v>22.616666666666664</v>
      </c>
      <c r="C241" s="4">
        <f t="shared" si="6"/>
        <v>5.543966559999999</v>
      </c>
      <c r="D241" s="4">
        <f t="shared" si="7"/>
        <v>0</v>
      </c>
      <c r="F241" s="55">
        <v>0.26</v>
      </c>
      <c r="G241" s="55">
        <v>72.71</v>
      </c>
      <c r="H241" s="55">
        <v>0</v>
      </c>
    </row>
    <row r="242" spans="1:8" ht="12.75">
      <c r="A242" s="90">
        <v>37126</v>
      </c>
      <c r="B242" s="4">
        <f>CONVERT(G242,"F","C")</f>
        <v>19.494444444444447</v>
      </c>
      <c r="C242" s="4">
        <f t="shared" si="6"/>
        <v>5.543966559999999</v>
      </c>
      <c r="D242" s="4">
        <f t="shared" si="7"/>
        <v>0</v>
      </c>
      <c r="F242" s="55">
        <v>0.26</v>
      </c>
      <c r="G242" s="55">
        <v>67.09</v>
      </c>
      <c r="H242" s="55">
        <v>0</v>
      </c>
    </row>
    <row r="243" spans="1:8" ht="12.75">
      <c r="A243" s="90">
        <v>37127</v>
      </c>
      <c r="B243" s="4">
        <f>CONVERT(G243,"F","C")</f>
        <v>19.438888888888886</v>
      </c>
      <c r="C243" s="4">
        <f t="shared" si="6"/>
        <v>5.19090656</v>
      </c>
      <c r="D243" s="4">
        <f t="shared" si="7"/>
        <v>0</v>
      </c>
      <c r="F243" s="55">
        <v>0.24</v>
      </c>
      <c r="G243" s="55">
        <v>66.99</v>
      </c>
      <c r="H243" s="55">
        <v>0</v>
      </c>
    </row>
    <row r="244" spans="1:8" ht="12.75">
      <c r="A244" s="90">
        <v>37128</v>
      </c>
      <c r="B244" s="4">
        <f>CONVERT(G244,"F","C")</f>
        <v>23.122222222222224</v>
      </c>
      <c r="C244" s="4">
        <f t="shared" si="6"/>
        <v>5.368925</v>
      </c>
      <c r="D244" s="4">
        <f t="shared" si="7"/>
        <v>0</v>
      </c>
      <c r="F244" s="55">
        <v>0.25</v>
      </c>
      <c r="G244" s="55">
        <v>73.62</v>
      </c>
      <c r="H244" s="55">
        <v>0</v>
      </c>
    </row>
    <row r="245" spans="1:8" ht="12.75">
      <c r="A245" s="90">
        <v>37129</v>
      </c>
      <c r="B245" s="4">
        <f>CONVERT(G245,"F","C")</f>
        <v>22.76111111111111</v>
      </c>
      <c r="C245" s="4">
        <f t="shared" si="6"/>
        <v>5.19090656</v>
      </c>
      <c r="D245" s="4">
        <f t="shared" si="7"/>
        <v>0</v>
      </c>
      <c r="F245" s="55">
        <v>0.24</v>
      </c>
      <c r="G245" s="55">
        <v>72.97</v>
      </c>
      <c r="H245" s="55">
        <v>0</v>
      </c>
    </row>
    <row r="246" spans="1:8" ht="12.75">
      <c r="A246" s="90">
        <v>37130</v>
      </c>
      <c r="B246" s="4">
        <f>CONVERT(G246,"F","C")</f>
        <v>22.277777777777775</v>
      </c>
      <c r="C246" s="4">
        <f t="shared" si="6"/>
        <v>5.543966559999999</v>
      </c>
      <c r="D246" s="4">
        <f t="shared" si="7"/>
        <v>0</v>
      </c>
      <c r="F246" s="55">
        <v>0.26</v>
      </c>
      <c r="G246" s="55">
        <v>72.1</v>
      </c>
      <c r="H246" s="55">
        <v>0</v>
      </c>
    </row>
    <row r="247" spans="1:8" ht="12.75">
      <c r="A247" s="90">
        <v>37131</v>
      </c>
      <c r="B247" s="4">
        <f>CONVERT(G247,"F","C")</f>
        <v>21.350000000000005</v>
      </c>
      <c r="C247" s="4">
        <f t="shared" si="6"/>
        <v>5.7160312399999995</v>
      </c>
      <c r="D247" s="4">
        <f t="shared" si="7"/>
        <v>0</v>
      </c>
      <c r="F247" s="55">
        <v>0.27</v>
      </c>
      <c r="G247" s="55">
        <v>70.43</v>
      </c>
      <c r="H247" s="55">
        <v>0</v>
      </c>
    </row>
    <row r="248" spans="1:8" ht="12.75">
      <c r="A248" s="90">
        <v>37132</v>
      </c>
      <c r="B248" s="4">
        <f>CONVERT(G248,"F","C")</f>
        <v>17.377777777777776</v>
      </c>
      <c r="C248" s="4">
        <f t="shared" si="6"/>
        <v>5.009911239999999</v>
      </c>
      <c r="D248" s="4">
        <f t="shared" si="7"/>
        <v>0</v>
      </c>
      <c r="F248" s="55">
        <v>0.23</v>
      </c>
      <c r="G248" s="55">
        <v>63.28</v>
      </c>
      <c r="H248" s="55">
        <v>0</v>
      </c>
    </row>
    <row r="249" spans="1:8" ht="12.75">
      <c r="A249" s="90">
        <v>37133</v>
      </c>
      <c r="B249" s="4">
        <f>CONVERT(G249,"F","C")</f>
        <v>17.427777777777777</v>
      </c>
      <c r="C249" s="4">
        <f t="shared" si="6"/>
        <v>5.009911239999999</v>
      </c>
      <c r="D249" s="4">
        <f t="shared" si="7"/>
        <v>0</v>
      </c>
      <c r="F249" s="55">
        <v>0.23</v>
      </c>
      <c r="G249" s="55">
        <v>63.37</v>
      </c>
      <c r="H249" s="55">
        <v>0</v>
      </c>
    </row>
    <row r="250" spans="1:8" ht="12.75">
      <c r="A250" s="90">
        <v>37134</v>
      </c>
      <c r="B250" s="4">
        <f>CONVERT(G250,"F","C")</f>
        <v>19.827777777777776</v>
      </c>
      <c r="C250" s="4">
        <f t="shared" si="6"/>
        <v>4.82593904</v>
      </c>
      <c r="D250" s="4">
        <f t="shared" si="7"/>
        <v>0</v>
      </c>
      <c r="F250" s="55">
        <v>0.22</v>
      </c>
      <c r="G250" s="55">
        <v>67.69</v>
      </c>
      <c r="H250" s="55">
        <v>0</v>
      </c>
    </row>
    <row r="251" spans="1:8" ht="12.75">
      <c r="A251" s="90">
        <v>37135</v>
      </c>
      <c r="B251" s="4">
        <f>CONVERT(G251,"F","C")</f>
        <v>20.994444444444447</v>
      </c>
      <c r="C251" s="4">
        <f t="shared" si="6"/>
        <v>4.82593904</v>
      </c>
      <c r="D251" s="4">
        <f t="shared" si="7"/>
        <v>0</v>
      </c>
      <c r="F251" s="55">
        <v>0.22</v>
      </c>
      <c r="G251" s="55">
        <v>69.79</v>
      </c>
      <c r="H251" s="55">
        <v>0</v>
      </c>
    </row>
    <row r="252" spans="1:8" ht="12.75">
      <c r="A252" s="90">
        <v>37136</v>
      </c>
      <c r="B252" s="4">
        <f>CONVERT(G252,"F","C")</f>
        <v>20.955555555555556</v>
      </c>
      <c r="C252" s="4">
        <f t="shared" si="6"/>
        <v>4.82593904</v>
      </c>
      <c r="D252" s="4">
        <f t="shared" si="7"/>
        <v>0</v>
      </c>
      <c r="F252" s="55">
        <v>0.22</v>
      </c>
      <c r="G252" s="55">
        <v>69.72</v>
      </c>
      <c r="H252" s="55">
        <v>0</v>
      </c>
    </row>
    <row r="253" spans="1:8" ht="12.75">
      <c r="A253" s="90">
        <v>37137</v>
      </c>
      <c r="B253" s="4">
        <f>CONVERT(G253,"F","C")</f>
        <v>17.744444444444444</v>
      </c>
      <c r="C253" s="4">
        <f t="shared" si="6"/>
        <v>2.82248864</v>
      </c>
      <c r="D253" s="4">
        <f t="shared" si="7"/>
        <v>0</v>
      </c>
      <c r="F253" s="55">
        <v>0.12</v>
      </c>
      <c r="G253" s="55">
        <v>63.94</v>
      </c>
      <c r="H253" s="55">
        <v>0</v>
      </c>
    </row>
    <row r="254" spans="1:8" ht="12.75">
      <c r="A254" s="90">
        <v>37138</v>
      </c>
      <c r="B254" s="4">
        <f>CONVERT(G254,"F","C")</f>
        <v>17.1</v>
      </c>
      <c r="C254" s="4">
        <f t="shared" si="6"/>
        <v>4.63898996</v>
      </c>
      <c r="D254" s="4">
        <f t="shared" si="7"/>
        <v>0</v>
      </c>
      <c r="F254" s="55">
        <v>0.21</v>
      </c>
      <c r="G254" s="55">
        <v>62.78</v>
      </c>
      <c r="H254" s="55">
        <v>0</v>
      </c>
    </row>
    <row r="255" spans="1:8" ht="12.75">
      <c r="A255" s="90">
        <v>37139</v>
      </c>
      <c r="B255" s="4">
        <f>CONVERT(G255,"F","C")</f>
        <v>16.983333333333334</v>
      </c>
      <c r="C255" s="4">
        <f t="shared" si="6"/>
        <v>4.63898996</v>
      </c>
      <c r="D255" s="4">
        <f t="shared" si="7"/>
        <v>0</v>
      </c>
      <c r="F255" s="55">
        <v>0.21</v>
      </c>
      <c r="G255" s="55">
        <v>62.57</v>
      </c>
      <c r="H255" s="55">
        <v>0</v>
      </c>
    </row>
    <row r="256" spans="1:8" ht="12.75">
      <c r="A256" s="90">
        <v>37140</v>
      </c>
      <c r="B256" s="4">
        <f>CONVERT(G256,"F","C")</f>
        <v>17.933333333333334</v>
      </c>
      <c r="C256" s="4">
        <f t="shared" si="6"/>
        <v>4.449063999999999</v>
      </c>
      <c r="D256" s="4">
        <f t="shared" si="7"/>
        <v>0</v>
      </c>
      <c r="F256" s="55">
        <v>0.2</v>
      </c>
      <c r="G256" s="55">
        <v>64.28</v>
      </c>
      <c r="H256" s="55">
        <v>0</v>
      </c>
    </row>
    <row r="257" spans="1:8" ht="12.75">
      <c r="A257" s="90">
        <v>37141</v>
      </c>
      <c r="B257" s="4">
        <f>CONVERT(G257,"F","C")</f>
        <v>19.21111111111111</v>
      </c>
      <c r="C257" s="4">
        <f t="shared" si="6"/>
        <v>4.2561611599999996</v>
      </c>
      <c r="D257" s="4">
        <f t="shared" si="7"/>
        <v>0</v>
      </c>
      <c r="F257" s="55">
        <v>0.19</v>
      </c>
      <c r="G257" s="55">
        <v>66.58</v>
      </c>
      <c r="H257" s="55">
        <v>0</v>
      </c>
    </row>
    <row r="258" spans="1:8" ht="12.75">
      <c r="A258" s="90">
        <v>37142</v>
      </c>
      <c r="B258" s="4">
        <f>CONVERT(G258,"F","C")</f>
        <v>19.772222222222222</v>
      </c>
      <c r="C258" s="4">
        <f t="shared" si="6"/>
        <v>3.0362296399999997</v>
      </c>
      <c r="D258" s="4">
        <f t="shared" si="7"/>
        <v>0</v>
      </c>
      <c r="F258" s="55">
        <v>0.13</v>
      </c>
      <c r="G258" s="55">
        <v>67.59</v>
      </c>
      <c r="H258" s="55">
        <v>0</v>
      </c>
    </row>
    <row r="259" spans="1:8" ht="12.75">
      <c r="A259" s="90">
        <v>37143</v>
      </c>
      <c r="B259" s="4">
        <f>CONVERT(G259,"F","C")</f>
        <v>16.077777777777776</v>
      </c>
      <c r="C259" s="4">
        <f t="shared" si="6"/>
        <v>4.06028144</v>
      </c>
      <c r="D259" s="4">
        <f t="shared" si="7"/>
        <v>0</v>
      </c>
      <c r="F259" s="55">
        <v>0.18</v>
      </c>
      <c r="G259" s="55">
        <v>60.94</v>
      </c>
      <c r="H259" s="55">
        <v>0</v>
      </c>
    </row>
    <row r="260" spans="1:8" ht="12.75">
      <c r="A260" s="90">
        <v>37144</v>
      </c>
      <c r="B260" s="4">
        <f>CONVERT(G260,"F","C")</f>
        <v>12.583333333333332</v>
      </c>
      <c r="C260" s="4">
        <f t="shared" si="6"/>
        <v>2.60577076</v>
      </c>
      <c r="D260" s="4">
        <f t="shared" si="7"/>
        <v>6.095999999999999</v>
      </c>
      <c r="F260" s="55">
        <v>0.11</v>
      </c>
      <c r="G260" s="55">
        <v>54.65</v>
      </c>
      <c r="H260" s="55">
        <v>0.24</v>
      </c>
    </row>
    <row r="261" spans="1:8" ht="12.75">
      <c r="A261" s="90">
        <v>37145</v>
      </c>
      <c r="B261" s="4">
        <f>CONVERT(G261,"F","C")</f>
        <v>13.772222222222222</v>
      </c>
      <c r="C261" s="4">
        <f t="shared" si="6"/>
        <v>3.65959136</v>
      </c>
      <c r="D261" s="4">
        <f t="shared" si="7"/>
        <v>0</v>
      </c>
      <c r="F261" s="55">
        <v>0.16</v>
      </c>
      <c r="G261" s="55">
        <v>56.79</v>
      </c>
      <c r="H261" s="55">
        <v>0</v>
      </c>
    </row>
    <row r="262" spans="1:8" ht="12.75">
      <c r="A262" s="90">
        <v>37146</v>
      </c>
      <c r="B262" s="4">
        <f>CONVERT(G262,"F","C")</f>
        <v>14.227777777777778</v>
      </c>
      <c r="C262" s="4">
        <f t="shared" si="6"/>
        <v>3.86142484</v>
      </c>
      <c r="D262" s="4">
        <f t="shared" si="7"/>
        <v>0</v>
      </c>
      <c r="F262" s="55">
        <v>0.17</v>
      </c>
      <c r="G262" s="55">
        <v>57.61</v>
      </c>
      <c r="H262" s="55">
        <v>0</v>
      </c>
    </row>
    <row r="263" spans="1:8" ht="12.75">
      <c r="A263" s="90">
        <v>37147</v>
      </c>
      <c r="B263" s="4">
        <f>CONVERT(G263,"F","C")</f>
        <v>15.833333333333332</v>
      </c>
      <c r="C263" s="4">
        <f t="shared" si="6"/>
        <v>3.86142484</v>
      </c>
      <c r="D263" s="4">
        <f t="shared" si="7"/>
        <v>0</v>
      </c>
      <c r="F263" s="55">
        <v>0.17</v>
      </c>
      <c r="G263" s="55">
        <v>60.5</v>
      </c>
      <c r="H263" s="55">
        <v>0</v>
      </c>
    </row>
    <row r="264" spans="1:8" ht="12.75">
      <c r="A264" s="90">
        <v>37148</v>
      </c>
      <c r="B264" s="4">
        <f>CONVERT(G264,"F","C")</f>
        <v>16.666666666666668</v>
      </c>
      <c r="C264" s="4">
        <f t="shared" si="6"/>
        <v>4.06028144</v>
      </c>
      <c r="D264" s="4">
        <f t="shared" si="7"/>
        <v>0</v>
      </c>
      <c r="F264" s="55">
        <v>0.18</v>
      </c>
      <c r="G264" s="55">
        <v>62</v>
      </c>
      <c r="H264" s="55">
        <v>0</v>
      </c>
    </row>
    <row r="265" spans="1:8" ht="12.75">
      <c r="A265" s="90">
        <v>37149</v>
      </c>
      <c r="B265" s="4">
        <f>CONVERT(G265,"F","C")</f>
        <v>16.383333333333333</v>
      </c>
      <c r="C265" s="4">
        <f aca="true" t="shared" si="8" ref="C265:C328">(0.001+(0.988*F265)+(-0.586*(F265*F265)))*25.4</f>
        <v>4.06028144</v>
      </c>
      <c r="D265" s="4">
        <f aca="true" t="shared" si="9" ref="D265:D328">H265*25.4</f>
        <v>0</v>
      </c>
      <c r="F265" s="55">
        <v>0.18</v>
      </c>
      <c r="G265" s="55">
        <v>61.49</v>
      </c>
      <c r="H265" s="55">
        <v>0</v>
      </c>
    </row>
    <row r="266" spans="1:8" ht="12.75">
      <c r="A266" s="90">
        <v>37150</v>
      </c>
      <c r="B266" s="4">
        <f>CONVERT(G266,"F","C")</f>
        <v>14.51111111111111</v>
      </c>
      <c r="C266" s="4">
        <f t="shared" si="8"/>
        <v>3.2469937599999996</v>
      </c>
      <c r="D266" s="4">
        <f t="shared" si="9"/>
        <v>0</v>
      </c>
      <c r="F266" s="55">
        <v>0.14</v>
      </c>
      <c r="G266" s="55">
        <v>58.12</v>
      </c>
      <c r="H266" s="55">
        <v>0</v>
      </c>
    </row>
    <row r="267" spans="1:8" ht="12.75">
      <c r="A267" s="90">
        <v>37151</v>
      </c>
      <c r="B267" s="4">
        <f>CONVERT(G267,"F","C")</f>
        <v>14.427777777777777</v>
      </c>
      <c r="C267" s="4">
        <f t="shared" si="8"/>
        <v>3.2469937599999996</v>
      </c>
      <c r="D267" s="4">
        <f t="shared" si="9"/>
        <v>1.778</v>
      </c>
      <c r="F267" s="55">
        <v>0.14</v>
      </c>
      <c r="G267" s="55">
        <v>57.97</v>
      </c>
      <c r="H267" s="55">
        <v>0.07</v>
      </c>
    </row>
    <row r="268" spans="1:8" ht="12.75">
      <c r="A268" s="90">
        <v>37152</v>
      </c>
      <c r="B268" s="4">
        <f>CONVERT(G268,"F","C")</f>
        <v>14.33888888888889</v>
      </c>
      <c r="C268" s="4">
        <f t="shared" si="8"/>
        <v>3.65959136</v>
      </c>
      <c r="D268" s="4">
        <f t="shared" si="9"/>
        <v>0</v>
      </c>
      <c r="F268" s="55">
        <v>0.16</v>
      </c>
      <c r="G268" s="55">
        <v>57.81</v>
      </c>
      <c r="H268" s="55">
        <v>0</v>
      </c>
    </row>
    <row r="269" spans="1:8" ht="12.75">
      <c r="A269" s="90">
        <v>37153</v>
      </c>
      <c r="B269" s="4">
        <f>CONVERT(G269,"F","C")</f>
        <v>16.566666666666666</v>
      </c>
      <c r="C269" s="4">
        <f t="shared" si="8"/>
        <v>3.65959136</v>
      </c>
      <c r="D269" s="4">
        <f t="shared" si="9"/>
        <v>0</v>
      </c>
      <c r="F269" s="55">
        <v>0.16</v>
      </c>
      <c r="G269" s="55">
        <v>61.82</v>
      </c>
      <c r="H269" s="55">
        <v>0</v>
      </c>
    </row>
    <row r="270" spans="1:8" ht="12.75">
      <c r="A270" s="90">
        <v>37154</v>
      </c>
      <c r="B270" s="4">
        <f>CONVERT(G270,"F","C")</f>
        <v>17.672222222222224</v>
      </c>
      <c r="C270" s="4">
        <f t="shared" si="8"/>
        <v>3.65959136</v>
      </c>
      <c r="D270" s="4">
        <f t="shared" si="9"/>
        <v>0</v>
      </c>
      <c r="F270" s="55">
        <v>0.16</v>
      </c>
      <c r="G270" s="55">
        <v>63.81</v>
      </c>
      <c r="H270" s="55">
        <v>0</v>
      </c>
    </row>
    <row r="271" spans="1:8" ht="12.75">
      <c r="A271" s="90">
        <v>37155</v>
      </c>
      <c r="B271" s="4">
        <f>CONVERT(G271,"F","C")</f>
        <v>16.705555555555556</v>
      </c>
      <c r="C271" s="4">
        <f t="shared" si="8"/>
        <v>3.86142484</v>
      </c>
      <c r="D271" s="4">
        <f t="shared" si="9"/>
        <v>0</v>
      </c>
      <c r="F271" s="55">
        <v>0.17</v>
      </c>
      <c r="G271" s="55">
        <v>62.07</v>
      </c>
      <c r="H271" s="55">
        <v>0</v>
      </c>
    </row>
    <row r="272" spans="1:8" ht="12.75">
      <c r="A272" s="90">
        <v>37156</v>
      </c>
      <c r="B272" s="4">
        <f>CONVERT(G272,"F","C")</f>
        <v>14.044444444444444</v>
      </c>
      <c r="C272" s="4">
        <f t="shared" si="8"/>
        <v>3.65959136</v>
      </c>
      <c r="D272" s="4">
        <f t="shared" si="9"/>
        <v>0</v>
      </c>
      <c r="F272" s="55">
        <v>0.16</v>
      </c>
      <c r="G272" s="55">
        <v>57.28</v>
      </c>
      <c r="H272" s="55">
        <v>0</v>
      </c>
    </row>
    <row r="273" spans="1:8" ht="12.75">
      <c r="A273" s="90">
        <v>37157</v>
      </c>
      <c r="B273" s="4">
        <f>CONVERT(G273,"F","C")</f>
        <v>11.994444444444445</v>
      </c>
      <c r="C273" s="4">
        <f t="shared" si="8"/>
        <v>2.60577076</v>
      </c>
      <c r="D273" s="4">
        <f t="shared" si="9"/>
        <v>3.556</v>
      </c>
      <c r="F273" s="55">
        <v>0.11</v>
      </c>
      <c r="G273" s="55">
        <v>53.59</v>
      </c>
      <c r="H273" s="55">
        <v>0.14</v>
      </c>
    </row>
    <row r="274" spans="1:8" ht="12.75">
      <c r="A274" s="90">
        <v>37158</v>
      </c>
      <c r="B274" s="4">
        <f>CONVERT(G274,"F","C")</f>
        <v>10.472222222222223</v>
      </c>
      <c r="C274" s="4">
        <f t="shared" si="8"/>
        <v>3.0362296399999997</v>
      </c>
      <c r="D274" s="4">
        <f t="shared" si="9"/>
        <v>0</v>
      </c>
      <c r="F274" s="55">
        <v>0.13</v>
      </c>
      <c r="G274" s="55">
        <v>50.85</v>
      </c>
      <c r="H274" s="55">
        <v>0</v>
      </c>
    </row>
    <row r="275" spans="1:8" ht="12.75">
      <c r="A275" s="90">
        <v>37159</v>
      </c>
      <c r="B275" s="4">
        <f>CONVERT(G275,"F","C")</f>
        <v>12.588888888888887</v>
      </c>
      <c r="C275" s="4">
        <f t="shared" si="8"/>
        <v>3.65959136</v>
      </c>
      <c r="D275" s="4">
        <f t="shared" si="9"/>
        <v>0</v>
      </c>
      <c r="F275" s="55">
        <v>0.16</v>
      </c>
      <c r="G275" s="55">
        <v>54.66</v>
      </c>
      <c r="H275" s="55">
        <v>0</v>
      </c>
    </row>
    <row r="276" spans="1:8" ht="12.75">
      <c r="A276" s="90">
        <v>37160</v>
      </c>
      <c r="B276" s="4">
        <f>CONVERT(G276,"F","C")</f>
        <v>13.944444444444445</v>
      </c>
      <c r="C276" s="4">
        <f t="shared" si="8"/>
        <v>2.16340436</v>
      </c>
      <c r="D276" s="4">
        <f t="shared" si="9"/>
        <v>0</v>
      </c>
      <c r="F276" s="55">
        <v>0.09</v>
      </c>
      <c r="G276" s="55">
        <v>57.1</v>
      </c>
      <c r="H276" s="55">
        <v>0</v>
      </c>
    </row>
    <row r="277" spans="1:8" ht="12.75">
      <c r="A277" s="90">
        <v>37161</v>
      </c>
      <c r="B277" s="4">
        <f>CONVERT(G277,"F","C")</f>
        <v>17.511111111111113</v>
      </c>
      <c r="C277" s="4">
        <f t="shared" si="8"/>
        <v>3.2469937599999996</v>
      </c>
      <c r="D277" s="4">
        <f t="shared" si="9"/>
        <v>0</v>
      </c>
      <c r="F277" s="55">
        <v>0.14</v>
      </c>
      <c r="G277" s="55">
        <v>63.52</v>
      </c>
      <c r="H277" s="55">
        <v>0</v>
      </c>
    </row>
    <row r="278" spans="1:8" ht="12.75">
      <c r="A278" s="90">
        <v>37162</v>
      </c>
      <c r="B278" s="4">
        <f>CONVERT(G278,"F","C")</f>
        <v>15.811111111111112</v>
      </c>
      <c r="C278" s="4">
        <f t="shared" si="8"/>
        <v>3.2469937599999996</v>
      </c>
      <c r="D278" s="4">
        <f t="shared" si="9"/>
        <v>0</v>
      </c>
      <c r="F278" s="55">
        <v>0.14</v>
      </c>
      <c r="G278" s="55">
        <v>60.46</v>
      </c>
      <c r="H278" s="55">
        <v>0</v>
      </c>
    </row>
    <row r="279" spans="1:8" ht="12.75">
      <c r="A279" s="90">
        <v>37163</v>
      </c>
      <c r="B279" s="4">
        <f>CONVERT(G279,"F","C")</f>
        <v>16.59444444444444</v>
      </c>
      <c r="C279" s="4">
        <f t="shared" si="8"/>
        <v>3.4547809999999997</v>
      </c>
      <c r="D279" s="4">
        <f t="shared" si="9"/>
        <v>0</v>
      </c>
      <c r="F279" s="55">
        <v>0.15</v>
      </c>
      <c r="G279" s="55">
        <v>61.87</v>
      </c>
      <c r="H279" s="55">
        <v>0</v>
      </c>
    </row>
    <row r="280" spans="1:8" ht="12.75">
      <c r="A280" s="90">
        <v>37164</v>
      </c>
      <c r="B280" s="4">
        <f>CONVERT(G280,"F","C")</f>
        <v>18.588888888888885</v>
      </c>
      <c r="C280" s="4">
        <f t="shared" si="8"/>
        <v>3.4547809999999997</v>
      </c>
      <c r="D280" s="4">
        <f t="shared" si="9"/>
        <v>0</v>
      </c>
      <c r="F280" s="55">
        <v>0.15</v>
      </c>
      <c r="G280" s="55">
        <v>65.46</v>
      </c>
      <c r="H280" s="55">
        <v>0</v>
      </c>
    </row>
    <row r="281" spans="1:8" ht="12.75">
      <c r="A281" s="90">
        <v>37165</v>
      </c>
      <c r="B281" s="4">
        <f>CONVERT(G281,"F","C")</f>
        <v>13.25</v>
      </c>
      <c r="C281" s="4">
        <f t="shared" si="8"/>
        <v>1.4775281599999999</v>
      </c>
      <c r="D281" s="4">
        <f t="shared" si="9"/>
        <v>1.5239999999999998</v>
      </c>
      <c r="F281" s="55">
        <v>0.06</v>
      </c>
      <c r="G281" s="55">
        <v>55.85</v>
      </c>
      <c r="H281" s="55">
        <v>0.06</v>
      </c>
    </row>
    <row r="282" spans="1:8" ht="12.75">
      <c r="A282" s="90">
        <v>37166</v>
      </c>
      <c r="B282" s="4">
        <f>CONVERT(G282,"F","C")</f>
        <v>7.7888888888888905</v>
      </c>
      <c r="C282" s="4">
        <f t="shared" si="8"/>
        <v>1.4775281599999999</v>
      </c>
      <c r="D282" s="4">
        <f t="shared" si="9"/>
        <v>1.016</v>
      </c>
      <c r="F282" s="55">
        <v>0.06</v>
      </c>
      <c r="G282" s="55">
        <v>46.02</v>
      </c>
      <c r="H282" s="55">
        <v>0.04</v>
      </c>
    </row>
    <row r="283" spans="1:8" ht="12.75">
      <c r="A283" s="90">
        <v>37167</v>
      </c>
      <c r="B283" s="4">
        <f>CONVERT(G283,"F","C")</f>
        <v>9.327777777777778</v>
      </c>
      <c r="C283" s="4">
        <f t="shared" si="8"/>
        <v>2.16340436</v>
      </c>
      <c r="D283" s="4">
        <f t="shared" si="9"/>
        <v>0.7619999999999999</v>
      </c>
      <c r="F283" s="55">
        <v>0.09</v>
      </c>
      <c r="G283" s="55">
        <v>48.79</v>
      </c>
      <c r="H283" s="55">
        <v>0.03</v>
      </c>
    </row>
    <row r="284" spans="1:8" ht="12.75">
      <c r="A284" s="90">
        <v>37168</v>
      </c>
      <c r="B284" s="4">
        <f>CONVERT(G284,"F","C")</f>
        <v>10.016666666666667</v>
      </c>
      <c r="C284" s="4">
        <f t="shared" si="8"/>
        <v>1.93775584</v>
      </c>
      <c r="D284" s="4">
        <f t="shared" si="9"/>
        <v>0</v>
      </c>
      <c r="F284" s="55">
        <v>0.08</v>
      </c>
      <c r="G284" s="55">
        <v>50.03</v>
      </c>
      <c r="H284" s="55">
        <v>0</v>
      </c>
    </row>
    <row r="285" spans="1:8" ht="12.75">
      <c r="A285" s="90">
        <v>37169</v>
      </c>
      <c r="B285" s="4">
        <f>CONVERT(G285,"F","C")</f>
        <v>12.5</v>
      </c>
      <c r="C285" s="4">
        <f t="shared" si="8"/>
        <v>2.16340436</v>
      </c>
      <c r="D285" s="4">
        <f t="shared" si="9"/>
        <v>0</v>
      </c>
      <c r="F285" s="55">
        <v>0.09</v>
      </c>
      <c r="G285" s="55">
        <v>54.5</v>
      </c>
      <c r="H285" s="55">
        <v>0</v>
      </c>
    </row>
    <row r="286" spans="1:8" ht="12.75">
      <c r="A286" s="90">
        <v>37170</v>
      </c>
      <c r="B286" s="4">
        <f>CONVERT(G286,"F","C")</f>
        <v>13.933333333333332</v>
      </c>
      <c r="C286" s="4">
        <f t="shared" si="8"/>
        <v>2.3860759999999996</v>
      </c>
      <c r="D286" s="4">
        <f t="shared" si="9"/>
        <v>0</v>
      </c>
      <c r="F286" s="55">
        <v>0.1</v>
      </c>
      <c r="G286" s="55">
        <v>57.08</v>
      </c>
      <c r="H286" s="55">
        <v>0</v>
      </c>
    </row>
    <row r="287" spans="1:8" ht="12.75">
      <c r="A287" s="90">
        <v>37171</v>
      </c>
      <c r="B287" s="4">
        <f>CONVERT(G287,"F","C")</f>
        <v>12.36111111111111</v>
      </c>
      <c r="C287" s="4">
        <f t="shared" si="8"/>
        <v>1.70913044</v>
      </c>
      <c r="D287" s="4">
        <f t="shared" si="9"/>
        <v>0</v>
      </c>
      <c r="F287" s="55">
        <v>0.07</v>
      </c>
      <c r="G287" s="55">
        <v>54.25</v>
      </c>
      <c r="H287" s="55">
        <v>0</v>
      </c>
    </row>
    <row r="288" spans="1:8" ht="12.75">
      <c r="A288" s="90">
        <v>37172</v>
      </c>
      <c r="B288" s="4">
        <f>CONVERT(G288,"F","C")</f>
        <v>13.666666666666668</v>
      </c>
      <c r="C288" s="4">
        <f t="shared" si="8"/>
        <v>2.3860759999999996</v>
      </c>
      <c r="D288" s="4">
        <f t="shared" si="9"/>
        <v>0</v>
      </c>
      <c r="F288" s="55">
        <v>0.1</v>
      </c>
      <c r="G288" s="55">
        <v>56.6</v>
      </c>
      <c r="H288" s="55">
        <v>0</v>
      </c>
    </row>
    <row r="289" spans="1:8" ht="12.75">
      <c r="A289" s="90">
        <v>37173</v>
      </c>
      <c r="B289" s="4">
        <f>CONVERT(G289,"F","C")</f>
        <v>13.105555555555558</v>
      </c>
      <c r="C289" s="4">
        <f t="shared" si="8"/>
        <v>2.3860759999999996</v>
      </c>
      <c r="D289" s="4">
        <f t="shared" si="9"/>
        <v>0</v>
      </c>
      <c r="F289" s="55">
        <v>0.1</v>
      </c>
      <c r="G289" s="55">
        <v>55.59</v>
      </c>
      <c r="H289" s="55">
        <v>0</v>
      </c>
    </row>
    <row r="290" spans="1:8" ht="12.75">
      <c r="A290" s="90">
        <v>37174</v>
      </c>
      <c r="B290" s="4">
        <f>CONVERT(G290,"F","C")</f>
        <v>13.18888888888889</v>
      </c>
      <c r="C290" s="4">
        <f t="shared" si="8"/>
        <v>2.3860759999999996</v>
      </c>
      <c r="D290" s="4">
        <f t="shared" si="9"/>
        <v>0</v>
      </c>
      <c r="F290" s="55">
        <v>0.1</v>
      </c>
      <c r="G290" s="55">
        <v>55.74</v>
      </c>
      <c r="H290" s="55">
        <v>0</v>
      </c>
    </row>
    <row r="291" spans="1:8" ht="12.75">
      <c r="A291" s="90">
        <v>37175</v>
      </c>
      <c r="B291" s="4">
        <f>CONVERT(G291,"F","C")</f>
        <v>14.777777777777779</v>
      </c>
      <c r="C291" s="4">
        <f t="shared" si="8"/>
        <v>1.70913044</v>
      </c>
      <c r="D291" s="4">
        <f t="shared" si="9"/>
        <v>0</v>
      </c>
      <c r="F291" s="55">
        <v>0.07</v>
      </c>
      <c r="G291" s="55">
        <v>58.6</v>
      </c>
      <c r="H291" s="55">
        <v>0</v>
      </c>
    </row>
    <row r="292" spans="1:8" ht="12.75">
      <c r="A292" s="90">
        <v>37176</v>
      </c>
      <c r="B292" s="4">
        <f>CONVERT(G292,"F","C")</f>
        <v>12.216666666666667</v>
      </c>
      <c r="C292" s="4">
        <f t="shared" si="8"/>
        <v>2.16340436</v>
      </c>
      <c r="D292" s="4">
        <f t="shared" si="9"/>
        <v>0</v>
      </c>
      <c r="F292" s="55">
        <v>0.09</v>
      </c>
      <c r="G292" s="55">
        <v>53.99</v>
      </c>
      <c r="H292" s="55">
        <v>0</v>
      </c>
    </row>
    <row r="293" spans="1:8" ht="12.75">
      <c r="A293" s="90">
        <v>37177</v>
      </c>
      <c r="B293" s="4">
        <f>CONVERT(G293,"F","C")</f>
        <v>13.55</v>
      </c>
      <c r="C293" s="4">
        <f t="shared" si="8"/>
        <v>2.3860759999999996</v>
      </c>
      <c r="D293" s="4">
        <f t="shared" si="9"/>
        <v>0</v>
      </c>
      <c r="F293" s="55">
        <v>0.1</v>
      </c>
      <c r="G293" s="55">
        <v>56.39</v>
      </c>
      <c r="H293" s="55">
        <v>0</v>
      </c>
    </row>
    <row r="294" spans="1:8" ht="12.75">
      <c r="A294" s="90">
        <v>37178</v>
      </c>
      <c r="B294" s="4">
        <f>CONVERT(G294,"F","C")</f>
        <v>13.355555555555554</v>
      </c>
      <c r="C294" s="4">
        <f t="shared" si="8"/>
        <v>2.82248864</v>
      </c>
      <c r="D294" s="4">
        <f t="shared" si="9"/>
        <v>2.032</v>
      </c>
      <c r="F294" s="55">
        <v>0.12</v>
      </c>
      <c r="G294" s="55">
        <v>56.04</v>
      </c>
      <c r="H294" s="55">
        <v>0.08</v>
      </c>
    </row>
    <row r="295" spans="1:8" ht="12.75">
      <c r="A295" s="90">
        <v>37179</v>
      </c>
      <c r="B295" s="4">
        <f>CONVERT(G295,"F","C")</f>
        <v>11.005555555555556</v>
      </c>
      <c r="C295" s="4">
        <f t="shared" si="8"/>
        <v>1.2429489999999999</v>
      </c>
      <c r="D295" s="4">
        <f t="shared" si="9"/>
        <v>0.254</v>
      </c>
      <c r="F295" s="55">
        <v>0.05</v>
      </c>
      <c r="G295" s="55">
        <v>51.81</v>
      </c>
      <c r="H295" s="55">
        <v>0.01</v>
      </c>
    </row>
    <row r="296" spans="1:8" ht="12.75">
      <c r="A296" s="90">
        <v>37180</v>
      </c>
      <c r="B296" s="4">
        <f>CONVERT(G296,"F","C")</f>
        <v>12.511111111111113</v>
      </c>
      <c r="C296" s="4">
        <f t="shared" si="8"/>
        <v>1.93775584</v>
      </c>
      <c r="D296" s="4">
        <f t="shared" si="9"/>
        <v>0</v>
      </c>
      <c r="F296" s="55">
        <v>0.08</v>
      </c>
      <c r="G296" s="55">
        <v>54.52</v>
      </c>
      <c r="H296" s="55">
        <v>0</v>
      </c>
    </row>
    <row r="297" spans="1:8" ht="12.75">
      <c r="A297" s="90">
        <v>37181</v>
      </c>
      <c r="B297" s="4">
        <f>CONVERT(G297,"F","C")</f>
        <v>13.06111111111111</v>
      </c>
      <c r="C297" s="4">
        <f t="shared" si="8"/>
        <v>1.93775584</v>
      </c>
      <c r="D297" s="4">
        <f t="shared" si="9"/>
        <v>0</v>
      </c>
      <c r="F297" s="55">
        <v>0.08</v>
      </c>
      <c r="G297" s="55">
        <v>55.51</v>
      </c>
      <c r="H297" s="55">
        <v>0</v>
      </c>
    </row>
    <row r="298" spans="1:8" ht="12.75">
      <c r="A298" s="90">
        <v>37182</v>
      </c>
      <c r="B298" s="4">
        <f>CONVERT(G298,"F","C")</f>
        <v>14.43888888888889</v>
      </c>
      <c r="C298" s="4">
        <f t="shared" si="8"/>
        <v>1.93775584</v>
      </c>
      <c r="D298" s="4">
        <f t="shared" si="9"/>
        <v>0</v>
      </c>
      <c r="F298" s="55">
        <v>0.08</v>
      </c>
      <c r="G298" s="55">
        <v>57.99</v>
      </c>
      <c r="H298" s="55">
        <v>0</v>
      </c>
    </row>
    <row r="299" spans="1:8" ht="12.75">
      <c r="A299" s="90">
        <v>37183</v>
      </c>
      <c r="B299" s="4">
        <f>CONVERT(G299,"F","C")</f>
        <v>13.355555555555554</v>
      </c>
      <c r="C299" s="4">
        <f t="shared" si="8"/>
        <v>1.70913044</v>
      </c>
      <c r="D299" s="4">
        <f t="shared" si="9"/>
        <v>0</v>
      </c>
      <c r="F299" s="55">
        <v>0.07</v>
      </c>
      <c r="G299" s="55">
        <v>56.04</v>
      </c>
      <c r="H299" s="55">
        <v>0</v>
      </c>
    </row>
    <row r="300" spans="1:8" ht="12.75">
      <c r="A300" s="90">
        <v>37184</v>
      </c>
      <c r="B300" s="4">
        <f>CONVERT(G300,"F","C")</f>
        <v>11.488888888888889</v>
      </c>
      <c r="C300" s="4">
        <f t="shared" si="8"/>
        <v>1.93775584</v>
      </c>
      <c r="D300" s="4">
        <f t="shared" si="9"/>
        <v>0</v>
      </c>
      <c r="F300" s="55">
        <v>0.08</v>
      </c>
      <c r="G300" s="55">
        <v>52.68</v>
      </c>
      <c r="H300" s="55">
        <v>0</v>
      </c>
    </row>
    <row r="301" spans="1:8" ht="12.75">
      <c r="A301" s="90">
        <v>37185</v>
      </c>
      <c r="B301" s="4">
        <f>CONVERT(G301,"F","C")</f>
        <v>12.149999999999999</v>
      </c>
      <c r="C301" s="4">
        <f t="shared" si="8"/>
        <v>2.16340436</v>
      </c>
      <c r="D301" s="4">
        <f t="shared" si="9"/>
        <v>0</v>
      </c>
      <c r="F301" s="55">
        <v>0.09</v>
      </c>
      <c r="G301" s="55">
        <v>53.87</v>
      </c>
      <c r="H301" s="55">
        <v>0</v>
      </c>
    </row>
    <row r="302" spans="1:8" ht="12.75">
      <c r="A302" s="90">
        <v>37186</v>
      </c>
      <c r="B302" s="4">
        <f>CONVERT(G302,"F","C")</f>
        <v>12.505555555555555</v>
      </c>
      <c r="C302" s="4">
        <f t="shared" si="8"/>
        <v>1.93775584</v>
      </c>
      <c r="D302" s="4">
        <f t="shared" si="9"/>
        <v>0</v>
      </c>
      <c r="F302" s="55">
        <v>0.08</v>
      </c>
      <c r="G302" s="55">
        <v>54.51</v>
      </c>
      <c r="H302" s="55">
        <v>0</v>
      </c>
    </row>
    <row r="303" spans="1:8" ht="12.75">
      <c r="A303" s="90">
        <v>37187</v>
      </c>
      <c r="B303" s="4">
        <f>CONVERT(G303,"F","C")</f>
        <v>12.355555555555556</v>
      </c>
      <c r="C303" s="4">
        <f t="shared" si="8"/>
        <v>1.70913044</v>
      </c>
      <c r="D303" s="4">
        <f t="shared" si="9"/>
        <v>0</v>
      </c>
      <c r="F303" s="55">
        <v>0.07</v>
      </c>
      <c r="G303" s="55">
        <v>54.24</v>
      </c>
      <c r="H303" s="55">
        <v>0</v>
      </c>
    </row>
    <row r="304" spans="1:8" ht="12.75">
      <c r="A304" s="90">
        <v>37188</v>
      </c>
      <c r="B304" s="4">
        <f>CONVERT(G304,"F","C")</f>
        <v>12.527777777777775</v>
      </c>
      <c r="C304" s="4">
        <f t="shared" si="8"/>
        <v>1.93775584</v>
      </c>
      <c r="D304" s="4">
        <f t="shared" si="9"/>
        <v>0</v>
      </c>
      <c r="F304" s="55">
        <v>0.08</v>
      </c>
      <c r="G304" s="55">
        <v>54.55</v>
      </c>
      <c r="H304" s="55">
        <v>0</v>
      </c>
    </row>
    <row r="305" spans="1:8" ht="12.75">
      <c r="A305" s="90">
        <v>37189</v>
      </c>
      <c r="B305" s="4">
        <f>CONVERT(G305,"F","C")</f>
        <v>12.416666666666668</v>
      </c>
      <c r="C305" s="4">
        <f t="shared" si="8"/>
        <v>1.93775584</v>
      </c>
      <c r="D305" s="4">
        <f t="shared" si="9"/>
        <v>0.254</v>
      </c>
      <c r="F305" s="55">
        <v>0.08</v>
      </c>
      <c r="G305" s="55">
        <v>54.35</v>
      </c>
      <c r="H305" s="55">
        <v>0.01</v>
      </c>
    </row>
    <row r="306" spans="1:8" ht="12.75">
      <c r="A306" s="90">
        <v>37190</v>
      </c>
      <c r="B306" s="4">
        <f>CONVERT(G306,"F","C")</f>
        <v>8.916666666666664</v>
      </c>
      <c r="C306" s="4">
        <f t="shared" si="8"/>
        <v>1.4775281599999999</v>
      </c>
      <c r="D306" s="4">
        <f t="shared" si="9"/>
        <v>2.54</v>
      </c>
      <c r="F306" s="55">
        <v>0.06</v>
      </c>
      <c r="G306" s="55">
        <v>48.05</v>
      </c>
      <c r="H306" s="55">
        <v>0.1</v>
      </c>
    </row>
    <row r="307" spans="1:8" ht="12.75">
      <c r="A307" s="90">
        <v>37191</v>
      </c>
      <c r="B307" s="4">
        <f>CONVERT(G307,"F","C")</f>
        <v>5.650000000000001</v>
      </c>
      <c r="C307" s="4">
        <f t="shared" si="8"/>
        <v>1.2429489999999999</v>
      </c>
      <c r="D307" s="4">
        <f t="shared" si="9"/>
        <v>0.254</v>
      </c>
      <c r="F307" s="55">
        <v>0.05</v>
      </c>
      <c r="G307" s="55">
        <v>42.17</v>
      </c>
      <c r="H307" s="55">
        <v>0.01</v>
      </c>
    </row>
    <row r="308" spans="1:8" ht="12.75">
      <c r="A308" s="90">
        <v>37192</v>
      </c>
      <c r="B308" s="4">
        <f>CONVERT(G308,"F","C")</f>
        <v>8.455555555555554</v>
      </c>
      <c r="C308" s="4">
        <f t="shared" si="8"/>
        <v>0.52135024</v>
      </c>
      <c r="D308" s="4">
        <f t="shared" si="9"/>
        <v>3.0479999999999996</v>
      </c>
      <c r="F308" s="55">
        <v>0.02</v>
      </c>
      <c r="G308" s="55">
        <v>47.22</v>
      </c>
      <c r="H308" s="55">
        <v>0.12</v>
      </c>
    </row>
    <row r="309" spans="1:8" ht="12.75">
      <c r="A309" s="90">
        <v>37193</v>
      </c>
      <c r="B309" s="4">
        <f>CONVERT(G309,"F","C")</f>
        <v>8.427777777777779</v>
      </c>
      <c r="C309" s="4">
        <f t="shared" si="8"/>
        <v>1.2429489999999999</v>
      </c>
      <c r="D309" s="4">
        <f t="shared" si="9"/>
        <v>0.254</v>
      </c>
      <c r="F309" s="55">
        <v>0.05</v>
      </c>
      <c r="G309" s="55">
        <v>47.17</v>
      </c>
      <c r="H309" s="55">
        <v>0.01</v>
      </c>
    </row>
    <row r="310" spans="1:8" ht="12.75">
      <c r="A310" s="90">
        <v>37194</v>
      </c>
      <c r="B310" s="4">
        <f>CONVERT(G310,"F","C")</f>
        <v>6.7944444444444425</v>
      </c>
      <c r="C310" s="4">
        <f t="shared" si="8"/>
        <v>1.2429489999999999</v>
      </c>
      <c r="D310" s="4">
        <f t="shared" si="9"/>
        <v>0</v>
      </c>
      <c r="F310" s="55">
        <v>0.05</v>
      </c>
      <c r="G310" s="55">
        <v>44.23</v>
      </c>
      <c r="H310" s="55">
        <v>0</v>
      </c>
    </row>
    <row r="311" spans="1:8" ht="12.75">
      <c r="A311" s="90">
        <v>37195</v>
      </c>
      <c r="B311" s="4">
        <f>CONVERT(G311,"F","C")</f>
        <v>11.161111111111113</v>
      </c>
      <c r="C311" s="4">
        <f t="shared" si="8"/>
        <v>1.4775281599999999</v>
      </c>
      <c r="D311" s="4">
        <f t="shared" si="9"/>
        <v>0</v>
      </c>
      <c r="F311" s="55">
        <v>0.06</v>
      </c>
      <c r="G311" s="55">
        <v>52.09</v>
      </c>
      <c r="H311" s="55">
        <v>0</v>
      </c>
    </row>
    <row r="312" spans="1:8" ht="12.75">
      <c r="A312" s="90">
        <v>37196</v>
      </c>
      <c r="B312" s="4">
        <f>CONVERT(G312,"F","C")</f>
        <v>7.005555555555555</v>
      </c>
      <c r="C312" s="4">
        <f t="shared" si="8"/>
        <v>0.52135024</v>
      </c>
      <c r="D312" s="4">
        <f t="shared" si="9"/>
        <v>3.8099999999999996</v>
      </c>
      <c r="F312" s="55">
        <v>0.02</v>
      </c>
      <c r="G312" s="55">
        <v>44.61</v>
      </c>
      <c r="H312" s="55">
        <v>0.15</v>
      </c>
    </row>
    <row r="313" spans="1:8" ht="12.75">
      <c r="A313" s="90">
        <v>37197</v>
      </c>
      <c r="B313" s="4">
        <f>CONVERT(G313,"F","C")</f>
        <v>6.166666666666667</v>
      </c>
      <c r="C313" s="4">
        <f t="shared" si="8"/>
        <v>1.00539296</v>
      </c>
      <c r="D313" s="4">
        <f t="shared" si="9"/>
        <v>0</v>
      </c>
      <c r="F313" s="55">
        <v>0.04</v>
      </c>
      <c r="G313" s="55">
        <v>43.1</v>
      </c>
      <c r="H313" s="55">
        <v>0</v>
      </c>
    </row>
    <row r="314" spans="1:8" ht="12.75">
      <c r="A314" s="90">
        <v>37198</v>
      </c>
      <c r="B314" s="4">
        <f>CONVERT(G314,"F","C")</f>
        <v>6.238888888888887</v>
      </c>
      <c r="C314" s="4">
        <f t="shared" si="8"/>
        <v>0.76486004</v>
      </c>
      <c r="D314" s="4">
        <f t="shared" si="9"/>
        <v>17.525999999999996</v>
      </c>
      <c r="F314" s="55">
        <v>0.03</v>
      </c>
      <c r="G314" s="55">
        <v>43.23</v>
      </c>
      <c r="H314" s="55">
        <v>0.69</v>
      </c>
    </row>
    <row r="315" spans="1:8" ht="12.75">
      <c r="A315" s="90">
        <v>37199</v>
      </c>
      <c r="B315" s="4">
        <f>CONVERT(G315,"F","C")</f>
        <v>6.816666666666668</v>
      </c>
      <c r="C315" s="4">
        <f t="shared" si="8"/>
        <v>0.52135024</v>
      </c>
      <c r="D315" s="4">
        <f t="shared" si="9"/>
        <v>3.556</v>
      </c>
      <c r="F315" s="55">
        <v>0.02</v>
      </c>
      <c r="G315" s="55">
        <v>44.27</v>
      </c>
      <c r="H315" s="55">
        <v>0.14</v>
      </c>
    </row>
    <row r="316" spans="1:8" ht="12.75">
      <c r="A316" s="90">
        <v>37200</v>
      </c>
      <c r="B316" s="4">
        <f>CONVERT(G316,"F","C")</f>
        <v>7.3</v>
      </c>
      <c r="C316" s="4">
        <f t="shared" si="8"/>
        <v>0.27486356</v>
      </c>
      <c r="D316" s="4">
        <f t="shared" si="9"/>
        <v>37.083999999999996</v>
      </c>
      <c r="F316" s="55">
        <v>0.01</v>
      </c>
      <c r="G316" s="55">
        <v>45.14</v>
      </c>
      <c r="H316" s="55">
        <v>1.46</v>
      </c>
    </row>
    <row r="317" spans="1:8" ht="12.75">
      <c r="A317" s="90">
        <v>37201</v>
      </c>
      <c r="B317" s="4">
        <f>CONVERT(G317,"F","C")</f>
        <v>8.283333333333331</v>
      </c>
      <c r="C317" s="4">
        <f t="shared" si="8"/>
        <v>0.0254</v>
      </c>
      <c r="D317" s="4">
        <f t="shared" si="9"/>
        <v>33.019999999999996</v>
      </c>
      <c r="F317" s="55">
        <v>0</v>
      </c>
      <c r="G317" s="55">
        <v>46.91</v>
      </c>
      <c r="H317" s="55">
        <v>1.3</v>
      </c>
    </row>
    <row r="318" spans="1:8" ht="12.75">
      <c r="A318" s="90">
        <v>37202</v>
      </c>
      <c r="B318" s="4">
        <f>CONVERT(G318,"F","C")</f>
        <v>4.044444444444445</v>
      </c>
      <c r="C318" s="4">
        <f t="shared" si="8"/>
        <v>0.52135024</v>
      </c>
      <c r="D318" s="4">
        <f t="shared" si="9"/>
        <v>25.654</v>
      </c>
      <c r="F318" s="55">
        <v>0.02</v>
      </c>
      <c r="G318" s="55">
        <v>39.28</v>
      </c>
      <c r="H318" s="55">
        <v>1.01</v>
      </c>
    </row>
    <row r="319" spans="1:8" ht="12.75">
      <c r="A319" s="90">
        <v>37203</v>
      </c>
      <c r="B319" s="4">
        <f>CONVERT(G319,"F","C")</f>
        <v>5.027777777777776</v>
      </c>
      <c r="C319" s="4">
        <f t="shared" si="8"/>
        <v>1.2429489999999999</v>
      </c>
      <c r="D319" s="4">
        <f t="shared" si="9"/>
        <v>0</v>
      </c>
      <c r="F319" s="55">
        <v>0.05</v>
      </c>
      <c r="G319" s="55">
        <v>41.05</v>
      </c>
      <c r="H319" s="55">
        <v>0</v>
      </c>
    </row>
    <row r="320" spans="1:8" ht="12.75">
      <c r="A320" s="90">
        <v>37204</v>
      </c>
      <c r="B320" s="4">
        <f>CONVERT(G320,"F","C")</f>
        <v>5.550000000000001</v>
      </c>
      <c r="C320" s="4">
        <f t="shared" si="8"/>
        <v>1.2429489999999999</v>
      </c>
      <c r="D320" s="4">
        <f t="shared" si="9"/>
        <v>0</v>
      </c>
      <c r="F320" s="55">
        <v>0.05</v>
      </c>
      <c r="G320" s="55">
        <v>41.99</v>
      </c>
      <c r="H320" s="55">
        <v>0</v>
      </c>
    </row>
    <row r="321" spans="1:8" ht="12.75">
      <c r="A321" s="90">
        <v>37205</v>
      </c>
      <c r="B321" s="4">
        <f>CONVERT(G321,"F","C")</f>
        <v>6.666666666666666</v>
      </c>
      <c r="C321" s="4">
        <f t="shared" si="8"/>
        <v>1.00539296</v>
      </c>
      <c r="D321" s="4">
        <f t="shared" si="9"/>
        <v>0</v>
      </c>
      <c r="F321" s="55">
        <v>0.04</v>
      </c>
      <c r="G321" s="55">
        <v>44</v>
      </c>
      <c r="H321" s="55">
        <v>0</v>
      </c>
    </row>
    <row r="322" spans="1:8" ht="12.75">
      <c r="A322" s="90">
        <v>37206</v>
      </c>
      <c r="B322" s="4">
        <f>CONVERT(G322,"F","C")</f>
        <v>7.811111111111112</v>
      </c>
      <c r="C322" s="4">
        <f t="shared" si="8"/>
        <v>0.52135024</v>
      </c>
      <c r="D322" s="4">
        <f t="shared" si="9"/>
        <v>0.254</v>
      </c>
      <c r="F322" s="55">
        <v>0.02</v>
      </c>
      <c r="G322" s="55">
        <v>46.06</v>
      </c>
      <c r="H322" s="55">
        <v>0.01</v>
      </c>
    </row>
    <row r="323" spans="1:8" ht="12.75">
      <c r="A323" s="90">
        <v>37207</v>
      </c>
      <c r="B323" s="4">
        <f>CONVERT(G323,"F","C")</f>
        <v>6.9222222222222225</v>
      </c>
      <c r="C323" s="4">
        <f t="shared" si="8"/>
        <v>0.76486004</v>
      </c>
      <c r="D323" s="4">
        <f t="shared" si="9"/>
        <v>0.254</v>
      </c>
      <c r="F323" s="55">
        <v>0.03</v>
      </c>
      <c r="G323" s="55">
        <v>44.46</v>
      </c>
      <c r="H323" s="55">
        <v>0.01</v>
      </c>
    </row>
    <row r="324" spans="1:8" ht="12.75">
      <c r="A324" s="90">
        <v>37208</v>
      </c>
      <c r="B324" s="4">
        <f>CONVERT(G324,"F","C")</f>
        <v>7.550000000000002</v>
      </c>
      <c r="C324" s="4">
        <f t="shared" si="8"/>
        <v>0.27486356</v>
      </c>
      <c r="D324" s="4">
        <f t="shared" si="9"/>
        <v>9.398</v>
      </c>
      <c r="F324" s="55">
        <v>0.01</v>
      </c>
      <c r="G324" s="55">
        <v>45.59</v>
      </c>
      <c r="H324" s="55">
        <v>0.37</v>
      </c>
    </row>
    <row r="325" spans="1:8" ht="12.75">
      <c r="A325" s="90">
        <v>37209</v>
      </c>
      <c r="B325" s="4">
        <f>CONVERT(G325,"F","C")</f>
        <v>9.200000000000001</v>
      </c>
      <c r="C325" s="4">
        <f t="shared" si="8"/>
        <v>0.76486004</v>
      </c>
      <c r="D325" s="4">
        <f t="shared" si="9"/>
        <v>0.254</v>
      </c>
      <c r="F325" s="55">
        <v>0.03</v>
      </c>
      <c r="G325" s="55">
        <v>48.56</v>
      </c>
      <c r="H325" s="55">
        <v>0.01</v>
      </c>
    </row>
    <row r="326" spans="1:8" ht="12.75">
      <c r="A326" s="90">
        <v>37210</v>
      </c>
      <c r="B326" s="4">
        <f>CONVERT(G326,"F","C")</f>
        <v>4.200000000000001</v>
      </c>
      <c r="C326" s="4">
        <f t="shared" si="8"/>
        <v>1.00539296</v>
      </c>
      <c r="D326" s="4">
        <f t="shared" si="9"/>
        <v>0</v>
      </c>
      <c r="F326" s="55">
        <v>0.04</v>
      </c>
      <c r="G326" s="55">
        <v>39.56</v>
      </c>
      <c r="H326" s="55">
        <v>0</v>
      </c>
    </row>
    <row r="327" spans="1:8" ht="12.75">
      <c r="A327" s="90">
        <v>37211</v>
      </c>
      <c r="B327" s="4">
        <f>CONVERT(G327,"F","C")</f>
        <v>2.8999999999999995</v>
      </c>
      <c r="C327" s="4">
        <f t="shared" si="8"/>
        <v>1.00539296</v>
      </c>
      <c r="D327" s="4">
        <f t="shared" si="9"/>
        <v>0.254</v>
      </c>
      <c r="F327" s="55">
        <v>0.04</v>
      </c>
      <c r="G327" s="55">
        <v>37.22</v>
      </c>
      <c r="H327" s="55">
        <v>0.01</v>
      </c>
    </row>
    <row r="328" spans="1:8" ht="12.75">
      <c r="A328" s="90">
        <v>37212</v>
      </c>
      <c r="B328" s="4">
        <f>CONVERT(G328,"F","C")</f>
        <v>3.022222222222221</v>
      </c>
      <c r="C328" s="4">
        <f t="shared" si="8"/>
        <v>0.76486004</v>
      </c>
      <c r="D328" s="4">
        <f t="shared" si="9"/>
        <v>0</v>
      </c>
      <c r="F328" s="55">
        <v>0.03</v>
      </c>
      <c r="G328" s="55">
        <v>37.44</v>
      </c>
      <c r="H328" s="55">
        <v>0</v>
      </c>
    </row>
    <row r="329" spans="1:8" ht="12.75">
      <c r="A329" s="90">
        <v>37213</v>
      </c>
      <c r="B329" s="4">
        <f>CONVERT(G329,"F","C")</f>
        <v>4.355555555555557</v>
      </c>
      <c r="C329" s="4">
        <f aca="true" t="shared" si="10" ref="C329:C372">(0.001+(0.988*F329)+(-0.586*(F329*F329)))*25.4</f>
        <v>1.00539296</v>
      </c>
      <c r="D329" s="4">
        <f aca="true" t="shared" si="11" ref="D329:D372">H329*25.4</f>
        <v>0</v>
      </c>
      <c r="F329" s="55">
        <v>0.04</v>
      </c>
      <c r="G329" s="55">
        <v>39.84</v>
      </c>
      <c r="H329" s="55">
        <v>0</v>
      </c>
    </row>
    <row r="330" spans="1:8" ht="12.75">
      <c r="A330" s="90">
        <v>37214</v>
      </c>
      <c r="B330" s="4">
        <f>CONVERT(G330,"F","C")</f>
        <v>2.7777777777777777</v>
      </c>
      <c r="C330" s="4">
        <f t="shared" si="10"/>
        <v>0.76486004</v>
      </c>
      <c r="D330" s="4">
        <f t="shared" si="11"/>
        <v>0</v>
      </c>
      <c r="F330" s="55">
        <v>0.03</v>
      </c>
      <c r="G330" s="55">
        <v>37</v>
      </c>
      <c r="H330" s="55">
        <v>0</v>
      </c>
    </row>
    <row r="331" spans="1:8" ht="12.75">
      <c r="A331" s="90">
        <v>37215</v>
      </c>
      <c r="B331" s="4">
        <f>CONVERT(G331,"F","C")</f>
        <v>2.261111111111111</v>
      </c>
      <c r="C331" s="4">
        <f t="shared" si="10"/>
        <v>0.76486004</v>
      </c>
      <c r="D331" s="4">
        <f t="shared" si="11"/>
        <v>0</v>
      </c>
      <c r="F331" s="55">
        <v>0.03</v>
      </c>
      <c r="G331" s="55">
        <v>36.07</v>
      </c>
      <c r="H331" s="55">
        <v>0</v>
      </c>
    </row>
    <row r="332" spans="1:8" ht="12.75">
      <c r="A332" s="90">
        <v>37216</v>
      </c>
      <c r="B332" s="4">
        <f>CONVERT(G332,"F","C")</f>
        <v>2.361111111111111</v>
      </c>
      <c r="C332" s="4">
        <f t="shared" si="10"/>
        <v>0.76486004</v>
      </c>
      <c r="D332" s="4">
        <f t="shared" si="11"/>
        <v>0</v>
      </c>
      <c r="F332" s="55">
        <v>0.03</v>
      </c>
      <c r="G332" s="55">
        <v>36.25</v>
      </c>
      <c r="H332" s="55">
        <v>0</v>
      </c>
    </row>
    <row r="333" spans="1:8" ht="12.75">
      <c r="A333" s="90">
        <v>37217</v>
      </c>
      <c r="B333" s="4">
        <f>CONVERT(G333,"F","C")</f>
        <v>1.5722222222222213</v>
      </c>
      <c r="C333" s="4">
        <f t="shared" si="10"/>
        <v>0.52135024</v>
      </c>
      <c r="D333" s="4">
        <f t="shared" si="11"/>
        <v>0.254</v>
      </c>
      <c r="F333" s="55">
        <v>0.02</v>
      </c>
      <c r="G333" s="55">
        <v>34.83</v>
      </c>
      <c r="H333" s="55">
        <v>0.01</v>
      </c>
    </row>
    <row r="334" spans="1:8" ht="12.75">
      <c r="A334" s="90">
        <v>37218</v>
      </c>
      <c r="B334" s="4">
        <f>CONVERT(G334,"F","C")</f>
        <v>1.0888888888888892</v>
      </c>
      <c r="C334" s="4">
        <f t="shared" si="10"/>
        <v>0.52135024</v>
      </c>
      <c r="D334" s="4">
        <f t="shared" si="11"/>
        <v>0</v>
      </c>
      <c r="F334" s="55">
        <v>0.02</v>
      </c>
      <c r="G334" s="55">
        <v>33.96</v>
      </c>
      <c r="H334" s="55">
        <v>0</v>
      </c>
    </row>
    <row r="335" spans="1:8" ht="12.75">
      <c r="A335" s="90">
        <v>37219</v>
      </c>
      <c r="B335" s="4">
        <f>CONVERT(G335,"F","C")</f>
        <v>2.016666666666668</v>
      </c>
      <c r="C335" s="4">
        <f t="shared" si="10"/>
        <v>0.27486356</v>
      </c>
      <c r="D335" s="4">
        <f t="shared" si="11"/>
        <v>2.794</v>
      </c>
      <c r="F335" s="55">
        <v>0.01</v>
      </c>
      <c r="G335" s="55">
        <v>35.63</v>
      </c>
      <c r="H335" s="55">
        <v>0.11</v>
      </c>
    </row>
    <row r="336" spans="1:8" ht="12.75">
      <c r="A336" s="90">
        <v>37220</v>
      </c>
      <c r="B336" s="4">
        <f>CONVERT(G336,"F","C")</f>
        <v>7.883333333333332</v>
      </c>
      <c r="C336" s="4">
        <f t="shared" si="10"/>
        <v>0.27486356</v>
      </c>
      <c r="D336" s="4">
        <f t="shared" si="11"/>
        <v>10.921999999999999</v>
      </c>
      <c r="F336" s="55">
        <v>0.01</v>
      </c>
      <c r="G336" s="55">
        <v>46.19</v>
      </c>
      <c r="H336" s="55">
        <v>0.43</v>
      </c>
    </row>
    <row r="337" spans="1:8" ht="12.75">
      <c r="A337" s="90">
        <v>37221</v>
      </c>
      <c r="B337" s="4">
        <f>CONVERT(G337,"F","C")</f>
        <v>3.5777777777777766</v>
      </c>
      <c r="C337" s="4">
        <f t="shared" si="10"/>
        <v>0.76486004</v>
      </c>
      <c r="D337" s="4">
        <f t="shared" si="11"/>
        <v>0.254</v>
      </c>
      <c r="F337" s="55">
        <v>0.03</v>
      </c>
      <c r="G337" s="55">
        <v>38.44</v>
      </c>
      <c r="H337" s="55">
        <v>0.01</v>
      </c>
    </row>
    <row r="338" spans="1:8" ht="12.75">
      <c r="A338" s="90">
        <v>37222</v>
      </c>
      <c r="B338" s="4">
        <f>CONVERT(G338,"F","C")</f>
        <v>3.0555555555555554</v>
      </c>
      <c r="C338" s="4">
        <f t="shared" si="10"/>
        <v>0.52135024</v>
      </c>
      <c r="D338" s="4">
        <f t="shared" si="11"/>
        <v>0</v>
      </c>
      <c r="F338" s="55">
        <v>0.02</v>
      </c>
      <c r="G338" s="55">
        <v>37.5</v>
      </c>
      <c r="H338" s="55">
        <v>0</v>
      </c>
    </row>
    <row r="339" spans="1:8" ht="12.75">
      <c r="A339" s="90">
        <v>37223</v>
      </c>
      <c r="B339" s="4">
        <f>CONVERT(G339,"F","C")</f>
        <v>2.6722222222222234</v>
      </c>
      <c r="C339" s="4">
        <f t="shared" si="10"/>
        <v>0.27486356</v>
      </c>
      <c r="D339" s="4">
        <f t="shared" si="11"/>
        <v>10.668</v>
      </c>
      <c r="F339" s="55">
        <v>0.01</v>
      </c>
      <c r="G339" s="55">
        <v>36.81</v>
      </c>
      <c r="H339" s="55">
        <v>0.42</v>
      </c>
    </row>
    <row r="340" spans="1:8" ht="12.75">
      <c r="A340" s="90">
        <v>37224</v>
      </c>
      <c r="B340" s="4">
        <f>CONVERT(G340,"F","C")</f>
        <v>4.500000000000001</v>
      </c>
      <c r="C340" s="4">
        <f t="shared" si="10"/>
        <v>0.52135024</v>
      </c>
      <c r="D340" s="4">
        <f t="shared" si="11"/>
        <v>0.254</v>
      </c>
      <c r="F340" s="55">
        <v>0.02</v>
      </c>
      <c r="G340" s="55">
        <v>40.1</v>
      </c>
      <c r="H340" s="55">
        <v>0.01</v>
      </c>
    </row>
    <row r="341" spans="1:8" ht="12.75">
      <c r="A341" s="90">
        <v>37225</v>
      </c>
      <c r="B341" s="4">
        <f>CONVERT(G341,"F","C")</f>
        <v>3.0388888888888883</v>
      </c>
      <c r="C341" s="4">
        <f t="shared" si="10"/>
        <v>0.27486356</v>
      </c>
      <c r="D341" s="4">
        <f t="shared" si="11"/>
        <v>6.858</v>
      </c>
      <c r="F341" s="55">
        <v>0.01</v>
      </c>
      <c r="G341" s="55">
        <v>37.47</v>
      </c>
      <c r="H341" s="55">
        <v>0.27</v>
      </c>
    </row>
    <row r="342" spans="1:8" ht="12.75">
      <c r="A342" s="90">
        <v>37226</v>
      </c>
      <c r="B342" s="4">
        <f>CONVERT(G342,"F","C")</f>
        <v>3.0388888888888883</v>
      </c>
      <c r="C342" s="4">
        <f t="shared" si="10"/>
        <v>0.27486356</v>
      </c>
      <c r="D342" s="4">
        <f t="shared" si="11"/>
        <v>55.117999999999995</v>
      </c>
      <c r="F342" s="55">
        <v>0.01</v>
      </c>
      <c r="G342" s="55">
        <v>37.47</v>
      </c>
      <c r="H342" s="55">
        <v>2.17</v>
      </c>
    </row>
    <row r="343" spans="1:8" ht="12.75">
      <c r="A343" s="90">
        <v>37227</v>
      </c>
      <c r="B343" s="4">
        <f>CONVERT(G343,"F","C")</f>
        <v>2.716666666666667</v>
      </c>
      <c r="C343" s="4">
        <f t="shared" si="10"/>
        <v>0.76486004</v>
      </c>
      <c r="D343" s="4">
        <f t="shared" si="11"/>
        <v>2.032</v>
      </c>
      <c r="F343" s="55">
        <v>0.03</v>
      </c>
      <c r="G343" s="55">
        <v>36.89</v>
      </c>
      <c r="H343" s="55">
        <v>0.08</v>
      </c>
    </row>
    <row r="344" spans="1:8" ht="12.75">
      <c r="A344" s="90">
        <v>37228</v>
      </c>
      <c r="B344" s="4">
        <f>CONVERT(G344,"F","C")</f>
        <v>2.7277777777777756</v>
      </c>
      <c r="C344" s="4">
        <f t="shared" si="10"/>
        <v>0.52135024</v>
      </c>
      <c r="D344" s="4">
        <f t="shared" si="11"/>
        <v>0</v>
      </c>
      <c r="F344" s="55">
        <v>0.02</v>
      </c>
      <c r="G344" s="55">
        <v>36.91</v>
      </c>
      <c r="H344" s="55">
        <v>0</v>
      </c>
    </row>
    <row r="345" spans="1:8" ht="12.75">
      <c r="A345" s="90">
        <v>37229</v>
      </c>
      <c r="B345" s="4">
        <f>CONVERT(G345,"F","C")</f>
        <v>2.0222222222222226</v>
      </c>
      <c r="C345" s="4">
        <f t="shared" si="10"/>
        <v>0.52135024</v>
      </c>
      <c r="D345" s="4">
        <f t="shared" si="11"/>
        <v>0</v>
      </c>
      <c r="F345" s="55">
        <v>0.02</v>
      </c>
      <c r="G345" s="55">
        <v>35.64</v>
      </c>
      <c r="H345" s="55">
        <v>0</v>
      </c>
    </row>
    <row r="346" spans="1:8" ht="12.75">
      <c r="A346" s="90">
        <v>37230</v>
      </c>
      <c r="B346" s="4">
        <f>CONVERT(G346,"F","C")</f>
        <v>-1.25</v>
      </c>
      <c r="C346" s="4">
        <f t="shared" si="10"/>
        <v>0.27486356</v>
      </c>
      <c r="D346" s="4">
        <f t="shared" si="11"/>
        <v>0</v>
      </c>
      <c r="F346" s="55">
        <v>0.01</v>
      </c>
      <c r="G346" s="55">
        <v>29.75</v>
      </c>
      <c r="H346" s="55">
        <v>0</v>
      </c>
    </row>
    <row r="347" spans="1:8" ht="12.75">
      <c r="A347" s="90">
        <v>37231</v>
      </c>
      <c r="B347" s="4">
        <f>CONVERT(G347,"F","C")</f>
        <v>-1.188888888888889</v>
      </c>
      <c r="C347" s="4">
        <f t="shared" si="10"/>
        <v>0.27486356</v>
      </c>
      <c r="D347" s="4">
        <f t="shared" si="11"/>
        <v>0</v>
      </c>
      <c r="F347" s="55">
        <v>0.01</v>
      </c>
      <c r="G347" s="55">
        <v>29.86</v>
      </c>
      <c r="H347" s="55">
        <v>0</v>
      </c>
    </row>
    <row r="348" spans="1:8" ht="12.75">
      <c r="A348" s="90">
        <v>37232</v>
      </c>
      <c r="B348" s="4">
        <f>CONVERT(G348,"F","C")</f>
        <v>1.9111111111111099</v>
      </c>
      <c r="C348" s="4">
        <f t="shared" si="10"/>
        <v>0.0254</v>
      </c>
      <c r="D348" s="4">
        <f t="shared" si="11"/>
        <v>6.858</v>
      </c>
      <c r="F348" s="55">
        <v>0</v>
      </c>
      <c r="G348" s="55">
        <v>35.44</v>
      </c>
      <c r="H348" s="55">
        <v>0.27</v>
      </c>
    </row>
    <row r="349" spans="1:8" ht="12.75">
      <c r="A349" s="90">
        <v>37233</v>
      </c>
      <c r="B349" s="4">
        <f>CONVERT(G349,"F","C")</f>
        <v>4.483333333333333</v>
      </c>
      <c r="C349" s="4">
        <f t="shared" si="10"/>
        <v>0.27486356</v>
      </c>
      <c r="D349" s="4">
        <f t="shared" si="11"/>
        <v>0.7619999999999999</v>
      </c>
      <c r="F349" s="55">
        <v>0.01</v>
      </c>
      <c r="G349" s="55">
        <v>40.07</v>
      </c>
      <c r="H349" s="55">
        <v>0.03</v>
      </c>
    </row>
    <row r="350" spans="1:8" ht="12.75">
      <c r="A350" s="90">
        <v>37234</v>
      </c>
      <c r="B350" s="4">
        <f>CONVERT(G350,"F","C")</f>
        <v>2.1111111111111094</v>
      </c>
      <c r="C350" s="4">
        <f t="shared" si="10"/>
        <v>0.52135024</v>
      </c>
      <c r="D350" s="4">
        <f t="shared" si="11"/>
        <v>0</v>
      </c>
      <c r="F350" s="55">
        <v>0.02</v>
      </c>
      <c r="G350" s="55">
        <v>35.8</v>
      </c>
      <c r="H350" s="55">
        <v>0</v>
      </c>
    </row>
    <row r="351" spans="1:8" ht="12.75">
      <c r="A351" s="90">
        <v>37235</v>
      </c>
      <c r="B351" s="4">
        <f>CONVERT(G351,"F","C")</f>
        <v>0.8444444444444461</v>
      </c>
      <c r="C351" s="4">
        <f t="shared" si="10"/>
        <v>0.52135024</v>
      </c>
      <c r="D351" s="4">
        <f t="shared" si="11"/>
        <v>0</v>
      </c>
      <c r="F351" s="55">
        <v>0.02</v>
      </c>
      <c r="G351" s="55">
        <v>33.52</v>
      </c>
      <c r="H351" s="55">
        <v>0</v>
      </c>
    </row>
    <row r="352" spans="1:8" ht="12.75">
      <c r="A352" s="90">
        <v>37236</v>
      </c>
      <c r="B352" s="4">
        <f>CONVERT(G352,"F","C")</f>
        <v>2.2000000000000006</v>
      </c>
      <c r="C352" s="4">
        <f t="shared" si="10"/>
        <v>0.76486004</v>
      </c>
      <c r="D352" s="4">
        <f t="shared" si="11"/>
        <v>0</v>
      </c>
      <c r="F352" s="55">
        <v>0.03</v>
      </c>
      <c r="G352" s="55">
        <v>35.96</v>
      </c>
      <c r="H352" s="55">
        <v>0</v>
      </c>
    </row>
    <row r="353" spans="1:8" ht="12.75">
      <c r="A353" s="90">
        <v>37237</v>
      </c>
      <c r="B353" s="4">
        <f>CONVERT(G353,"F","C")</f>
        <v>-1.0833333333333328</v>
      </c>
      <c r="C353" s="4">
        <f t="shared" si="10"/>
        <v>0.52135024</v>
      </c>
      <c r="D353" s="4">
        <f t="shared" si="11"/>
        <v>0</v>
      </c>
      <c r="F353" s="55">
        <v>0.02</v>
      </c>
      <c r="G353" s="55">
        <v>30.05</v>
      </c>
      <c r="H353" s="55">
        <v>0</v>
      </c>
    </row>
    <row r="354" spans="1:8" ht="12.75">
      <c r="A354" s="90">
        <v>37238</v>
      </c>
      <c r="B354" s="4">
        <f>CONVERT(G354,"F","C")</f>
        <v>0.26666666666666494</v>
      </c>
      <c r="C354" s="4">
        <f t="shared" si="10"/>
        <v>0.27486356</v>
      </c>
      <c r="D354" s="4">
        <f t="shared" si="11"/>
        <v>0</v>
      </c>
      <c r="F354" s="55">
        <v>0.01</v>
      </c>
      <c r="G354" s="55">
        <v>32.48</v>
      </c>
      <c r="H354" s="55">
        <v>0</v>
      </c>
    </row>
    <row r="355" spans="1:8" ht="12.75">
      <c r="A355" s="90">
        <v>37239</v>
      </c>
      <c r="B355" s="4">
        <f>CONVERT(G355,"F","C")</f>
        <v>-0.011111111111110874</v>
      </c>
      <c r="C355" s="4">
        <f t="shared" si="10"/>
        <v>0.76486004</v>
      </c>
      <c r="D355" s="4">
        <f t="shared" si="11"/>
        <v>0</v>
      </c>
      <c r="F355" s="55">
        <v>0.03</v>
      </c>
      <c r="G355" s="55">
        <v>31.98</v>
      </c>
      <c r="H355" s="55">
        <v>0</v>
      </c>
    </row>
    <row r="356" spans="1:8" ht="12.75">
      <c r="A356" s="90">
        <v>37240</v>
      </c>
      <c r="B356" s="4">
        <f>CONVERT(G356,"F","C")</f>
        <v>-1.1333333333333329</v>
      </c>
      <c r="C356" s="4">
        <f t="shared" si="10"/>
        <v>0.52135024</v>
      </c>
      <c r="D356" s="4">
        <f t="shared" si="11"/>
        <v>0</v>
      </c>
      <c r="F356" s="55">
        <v>0.02</v>
      </c>
      <c r="G356" s="55">
        <v>29.96</v>
      </c>
      <c r="H356" s="55">
        <v>0</v>
      </c>
    </row>
    <row r="357" spans="1:8" ht="12.75">
      <c r="A357" s="90">
        <v>37241</v>
      </c>
      <c r="B357" s="4">
        <f>CONVERT(G357,"F","C")</f>
        <v>-1.6055555555555558</v>
      </c>
      <c r="C357" s="4">
        <f t="shared" si="10"/>
        <v>0.52135024</v>
      </c>
      <c r="D357" s="4">
        <f t="shared" si="11"/>
        <v>0</v>
      </c>
      <c r="F357" s="55">
        <v>0.02</v>
      </c>
      <c r="G357" s="55">
        <v>29.11</v>
      </c>
      <c r="H357" s="55">
        <v>0</v>
      </c>
    </row>
    <row r="358" spans="1:8" ht="12.75">
      <c r="A358" s="90">
        <v>37242</v>
      </c>
      <c r="B358" s="4">
        <f>CONVERT(G358,"F","C")</f>
        <v>-2.2277777777777787</v>
      </c>
      <c r="C358" s="4">
        <f t="shared" si="10"/>
        <v>0.52135024</v>
      </c>
      <c r="D358" s="4">
        <f t="shared" si="11"/>
        <v>0</v>
      </c>
      <c r="F358" s="55">
        <v>0.02</v>
      </c>
      <c r="G358" s="55">
        <v>27.99</v>
      </c>
      <c r="H358" s="55">
        <v>0</v>
      </c>
    </row>
    <row r="359" spans="1:8" ht="12.75">
      <c r="A359" s="90">
        <v>37243</v>
      </c>
      <c r="B359" s="4">
        <f>CONVERT(G359,"F","C")</f>
        <v>4.861111111111111</v>
      </c>
      <c r="C359" s="4">
        <f t="shared" si="10"/>
        <v>0.27486356</v>
      </c>
      <c r="D359" s="4">
        <f t="shared" si="11"/>
        <v>4.3180000000000005</v>
      </c>
      <c r="F359" s="55">
        <v>0.01</v>
      </c>
      <c r="G359" s="55">
        <v>40.75</v>
      </c>
      <c r="H359" s="55">
        <v>0.17</v>
      </c>
    </row>
    <row r="360" spans="1:8" ht="12.75">
      <c r="A360" s="90">
        <v>37244</v>
      </c>
      <c r="B360" s="4">
        <f>CONVERT(G360,"F","C")</f>
        <v>8.822222222222223</v>
      </c>
      <c r="C360" s="4">
        <f t="shared" si="10"/>
        <v>0.0254</v>
      </c>
      <c r="D360" s="4">
        <f t="shared" si="11"/>
        <v>9.398</v>
      </c>
      <c r="F360" s="55">
        <v>0</v>
      </c>
      <c r="G360" s="55">
        <v>47.88</v>
      </c>
      <c r="H360" s="55">
        <v>0.37</v>
      </c>
    </row>
    <row r="361" spans="1:8" ht="12.75">
      <c r="A361" s="90">
        <v>37245</v>
      </c>
      <c r="B361" s="4">
        <f>CONVERT(G361,"F","C")</f>
        <v>10.944444444444446</v>
      </c>
      <c r="C361" s="4">
        <f t="shared" si="10"/>
        <v>0.0254</v>
      </c>
      <c r="D361" s="4">
        <f t="shared" si="11"/>
        <v>2.794</v>
      </c>
      <c r="F361" s="55">
        <v>0</v>
      </c>
      <c r="G361" s="55">
        <v>51.7</v>
      </c>
      <c r="H361" s="55">
        <v>0.11</v>
      </c>
    </row>
    <row r="362" spans="1:8" ht="12.75">
      <c r="A362" s="90">
        <v>37246</v>
      </c>
      <c r="B362" s="4">
        <f>CONVERT(G362,"F","C")</f>
        <v>10.155555555555557</v>
      </c>
      <c r="C362" s="4">
        <f t="shared" si="10"/>
        <v>0.27486356</v>
      </c>
      <c r="D362" s="4">
        <f t="shared" si="11"/>
        <v>3.8099999999999996</v>
      </c>
      <c r="F362" s="55">
        <v>0.01</v>
      </c>
      <c r="G362" s="55">
        <v>50.28</v>
      </c>
      <c r="H362" s="55">
        <v>0.15</v>
      </c>
    </row>
    <row r="363" spans="1:8" ht="12.75">
      <c r="A363" s="90">
        <v>37247</v>
      </c>
      <c r="B363" s="4">
        <f>CONVERT(G363,"F","C")</f>
        <v>9.644444444444444</v>
      </c>
      <c r="C363" s="4">
        <f t="shared" si="10"/>
        <v>0.27486356</v>
      </c>
      <c r="D363" s="4">
        <f t="shared" si="11"/>
        <v>11.176</v>
      </c>
      <c r="F363" s="55">
        <v>0.01</v>
      </c>
      <c r="G363" s="55">
        <v>49.36</v>
      </c>
      <c r="H363" s="55">
        <v>0.44</v>
      </c>
    </row>
    <row r="364" spans="1:8" ht="12.75">
      <c r="A364" s="90">
        <v>37248</v>
      </c>
      <c r="B364" s="4">
        <f>CONVERT(G364,"F","C")</f>
        <v>7.6111111111111125</v>
      </c>
      <c r="C364" s="4">
        <f t="shared" si="10"/>
        <v>0.52135024</v>
      </c>
      <c r="D364" s="4">
        <f t="shared" si="11"/>
        <v>0.254</v>
      </c>
      <c r="F364" s="55">
        <v>0.02</v>
      </c>
      <c r="G364" s="55">
        <v>45.7</v>
      </c>
      <c r="H364" s="55">
        <v>0.01</v>
      </c>
    </row>
    <row r="365" spans="1:8" ht="12.75">
      <c r="A365" s="90">
        <v>37249</v>
      </c>
      <c r="B365" s="4">
        <f>CONVERT(G365,"F","C")</f>
        <v>6.216666666666665</v>
      </c>
      <c r="C365" s="4">
        <f t="shared" si="10"/>
        <v>0.52135024</v>
      </c>
      <c r="D365" s="4">
        <f t="shared" si="11"/>
        <v>1.016</v>
      </c>
      <c r="F365" s="55">
        <v>0.02</v>
      </c>
      <c r="G365" s="55">
        <v>43.19</v>
      </c>
      <c r="H365" s="55">
        <v>0.04</v>
      </c>
    </row>
    <row r="366" spans="1:8" ht="12.75">
      <c r="A366" s="90">
        <v>37250</v>
      </c>
      <c r="B366" s="4">
        <f>CONVERT(G366,"F","C")</f>
        <v>10.416666666666666</v>
      </c>
      <c r="C366" s="4">
        <f t="shared" si="10"/>
        <v>0.27486356</v>
      </c>
      <c r="D366" s="4">
        <f t="shared" si="11"/>
        <v>3.302</v>
      </c>
      <c r="F366" s="55">
        <v>0.01</v>
      </c>
      <c r="G366" s="55">
        <v>50.75</v>
      </c>
      <c r="H366" s="55">
        <v>0.13</v>
      </c>
    </row>
    <row r="367" spans="1:8" ht="12.75">
      <c r="A367" s="90">
        <v>37251</v>
      </c>
      <c r="B367" s="4">
        <f>CONVERT(G367,"F","C")</f>
        <v>8.499999999999998</v>
      </c>
      <c r="C367" s="4">
        <f t="shared" si="10"/>
        <v>0.76486004</v>
      </c>
      <c r="D367" s="4">
        <f t="shared" si="11"/>
        <v>2.794</v>
      </c>
      <c r="F367" s="55">
        <v>0.03</v>
      </c>
      <c r="G367" s="55">
        <v>47.3</v>
      </c>
      <c r="H367" s="55">
        <v>0.11</v>
      </c>
    </row>
    <row r="368" spans="1:8" ht="12.75">
      <c r="A368" s="90">
        <v>37252</v>
      </c>
      <c r="B368" s="4">
        <f>CONVERT(G368,"F","C")</f>
        <v>7.694444444444445</v>
      </c>
      <c r="C368" s="4">
        <f t="shared" si="10"/>
        <v>0.52135024</v>
      </c>
      <c r="D368" s="4">
        <f t="shared" si="11"/>
        <v>22.86</v>
      </c>
      <c r="F368" s="55">
        <v>0.02</v>
      </c>
      <c r="G368" s="55">
        <v>45.85</v>
      </c>
      <c r="H368" s="55">
        <v>0.9</v>
      </c>
    </row>
    <row r="369" spans="1:8" ht="12.75">
      <c r="A369" s="90">
        <v>37253</v>
      </c>
      <c r="B369" s="4">
        <f>CONVERT(G369,"F","C")</f>
        <v>8.055555555555555</v>
      </c>
      <c r="C369" s="4">
        <f t="shared" si="10"/>
        <v>0.52135024</v>
      </c>
      <c r="D369" s="4">
        <f t="shared" si="11"/>
        <v>24.383999999999997</v>
      </c>
      <c r="F369" s="55">
        <v>0.02</v>
      </c>
      <c r="G369" s="55">
        <v>46.5</v>
      </c>
      <c r="H369" s="55">
        <v>0.96</v>
      </c>
    </row>
    <row r="370" spans="1:8" ht="12.75">
      <c r="A370" s="90">
        <v>37254</v>
      </c>
      <c r="B370" s="4">
        <f>CONVERT(G370,"F","C")</f>
        <v>4.483333333333333</v>
      </c>
      <c r="C370" s="4">
        <f t="shared" si="10"/>
        <v>0.76486004</v>
      </c>
      <c r="D370" s="4">
        <f t="shared" si="11"/>
        <v>0.254</v>
      </c>
      <c r="F370" s="55">
        <v>0.03</v>
      </c>
      <c r="G370" s="55">
        <v>40.07</v>
      </c>
      <c r="H370" s="55">
        <v>0.01</v>
      </c>
    </row>
    <row r="371" spans="1:8" ht="12.75">
      <c r="A371" s="90">
        <v>37255</v>
      </c>
      <c r="B371" s="4">
        <f>CONVERT(G371,"F","C")</f>
        <v>7.361111111111111</v>
      </c>
      <c r="C371" s="4">
        <f t="shared" si="10"/>
        <v>0.27486356</v>
      </c>
      <c r="D371" s="4">
        <f t="shared" si="11"/>
        <v>52.06999999999999</v>
      </c>
      <c r="F371" s="55">
        <v>0.01</v>
      </c>
      <c r="G371" s="55">
        <v>45.25</v>
      </c>
      <c r="H371" s="55">
        <v>2.05</v>
      </c>
    </row>
    <row r="372" spans="1:8" ht="12.75">
      <c r="A372" s="90">
        <v>37256</v>
      </c>
      <c r="B372" s="4">
        <f>CONVERT(G372,"F","C")</f>
        <v>6.188888888888889</v>
      </c>
      <c r="C372" s="4">
        <f t="shared" si="10"/>
        <v>0.27486356</v>
      </c>
      <c r="D372" s="4">
        <f t="shared" si="11"/>
        <v>19.304</v>
      </c>
      <c r="F372" s="55">
        <v>0.01</v>
      </c>
      <c r="G372" s="55">
        <v>43.14</v>
      </c>
      <c r="H372" s="55">
        <v>0.76</v>
      </c>
    </row>
  </sheetData>
  <sheetProtection sheet="1" objects="1" scenarios="1"/>
  <protectedRanges>
    <protectedRange sqref="F8:H372" name="Range1"/>
  </protectedRange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8"/>
  <sheetViews>
    <sheetView workbookViewId="0" topLeftCell="A1">
      <pane ySplit="7455" topLeftCell="BM374" activePane="topLeft" state="split"/>
      <selection pane="topLeft" activeCell="A1" sqref="A1"/>
      <selection pane="bottomLeft" activeCell="A28" sqref="A28"/>
    </sheetView>
  </sheetViews>
  <sheetFormatPr defaultColWidth="9.140625" defaultRowHeight="12.75"/>
  <cols>
    <col min="1" max="10" width="10.7109375" style="0" customWidth="1"/>
    <col min="11" max="12" width="14.140625" style="0" customWidth="1"/>
  </cols>
  <sheetData>
    <row r="1" ht="12.75">
      <c r="A1" s="1" t="s">
        <v>1284</v>
      </c>
    </row>
    <row r="2" ht="12.75">
      <c r="A2" s="1"/>
    </row>
    <row r="3" ht="12.75">
      <c r="A3" s="18" t="s">
        <v>1285</v>
      </c>
    </row>
    <row r="4" ht="12.75">
      <c r="A4" s="17" t="s">
        <v>1288</v>
      </c>
    </row>
    <row r="5" ht="12.75">
      <c r="A5" s="17" t="s">
        <v>1286</v>
      </c>
    </row>
    <row r="6" ht="12.75">
      <c r="A6" s="17"/>
    </row>
    <row r="7" spans="5:7" ht="15.75">
      <c r="E7" s="83" t="s">
        <v>1292</v>
      </c>
      <c r="G7" s="83"/>
    </row>
    <row r="8" spans="3:7" ht="15.75">
      <c r="C8" s="3" t="s">
        <v>1273</v>
      </c>
      <c r="D8" s="2" t="s">
        <v>1274</v>
      </c>
      <c r="F8" t="s">
        <v>1269</v>
      </c>
      <c r="G8" s="84"/>
    </row>
    <row r="9" spans="2:7" ht="15.75">
      <c r="B9" s="12" t="s">
        <v>1272</v>
      </c>
      <c r="C9" s="89">
        <v>38</v>
      </c>
      <c r="D9" s="85">
        <f>RADIANS(C9)</f>
        <v>0.6632251157578453</v>
      </c>
      <c r="F9" t="s">
        <v>1268</v>
      </c>
      <c r="G9" s="84"/>
    </row>
    <row r="10" spans="2:10" ht="15.75">
      <c r="B10" s="12" t="s">
        <v>1275</v>
      </c>
      <c r="C10" s="89">
        <v>20</v>
      </c>
      <c r="D10" s="85">
        <f>RADIANS(C10)</f>
        <v>0.3490658503988659</v>
      </c>
      <c r="F10" s="86" t="s">
        <v>1293</v>
      </c>
      <c r="G10" s="86"/>
      <c r="J10" s="86"/>
    </row>
    <row r="11" spans="2:10" ht="15.75">
      <c r="B11" s="12" t="s">
        <v>1276</v>
      </c>
      <c r="C11" s="89">
        <v>180</v>
      </c>
      <c r="D11" s="85">
        <f>RADIANS(C11)</f>
        <v>3.141592653589793</v>
      </c>
      <c r="F11" s="86" t="s">
        <v>1294</v>
      </c>
      <c r="G11" s="86"/>
      <c r="J11" s="86"/>
    </row>
    <row r="12" spans="10:12" ht="12.75">
      <c r="J12" s="2" t="s">
        <v>1290</v>
      </c>
      <c r="K12" s="87" t="s">
        <v>1287</v>
      </c>
      <c r="L12" t="s">
        <v>1289</v>
      </c>
    </row>
    <row r="13" spans="1:14" ht="12.75">
      <c r="A13" s="2" t="s">
        <v>1271</v>
      </c>
      <c r="B13" s="2" t="s">
        <v>1270</v>
      </c>
      <c r="C13" s="3" t="s">
        <v>1267</v>
      </c>
      <c r="D13" s="3" t="s">
        <v>1277</v>
      </c>
      <c r="E13" s="3" t="s">
        <v>1278</v>
      </c>
      <c r="F13" s="2" t="s">
        <v>1279</v>
      </c>
      <c r="G13" s="2" t="s">
        <v>1280</v>
      </c>
      <c r="H13" s="2" t="s">
        <v>1281</v>
      </c>
      <c r="I13" s="2" t="s">
        <v>1282</v>
      </c>
      <c r="J13" s="2" t="s">
        <v>1291</v>
      </c>
      <c r="K13" s="87" t="s">
        <v>1283</v>
      </c>
      <c r="L13" s="2" t="s">
        <v>159</v>
      </c>
      <c r="M13" s="2"/>
      <c r="N13" s="2"/>
    </row>
    <row r="14" spans="1:14" ht="12.75">
      <c r="A14" s="88">
        <v>38718</v>
      </c>
      <c r="B14" s="2">
        <v>1</v>
      </c>
      <c r="C14" s="2">
        <f>(B14-80)</f>
        <v>-79</v>
      </c>
      <c r="D14" s="85">
        <f>23.45*SIN(RADIANS(0.986*C14))</f>
        <v>-22.92850202052055</v>
      </c>
      <c r="E14" s="85">
        <f aca="true" t="shared" si="0" ref="E14:E77">C$9-D14</f>
        <v>60.928502020520554</v>
      </c>
      <c r="F14" s="85">
        <f>RADIANS(D14)</f>
        <v>-0.4001778528082561</v>
      </c>
      <c r="G14" s="85">
        <f>RADIANS(E14)</f>
        <v>1.0634029685661013</v>
      </c>
      <c r="H14" s="85">
        <f>COS(0)*COS(G14)+SIN(0)*SIN(G14)*COS(RADIANS(180-0))</f>
        <v>0.4859006586908268</v>
      </c>
      <c r="I14" s="85">
        <f aca="true" t="shared" si="1" ref="I14:I77">COS(D$10)*COS(G14)+SIN(D$10)*SIN(G14)*COS(RADIANS(180)-D$11)</f>
        <v>0.7555276721558657</v>
      </c>
      <c r="J14" s="85">
        <f>I14/H14</f>
        <v>1.5549015187415078</v>
      </c>
      <c r="K14" s="21">
        <v>1.015</v>
      </c>
      <c r="L14" s="4">
        <f>J14*K14</f>
        <v>1.5782250415226302</v>
      </c>
      <c r="M14" s="2"/>
      <c r="N14" s="2"/>
    </row>
    <row r="15" spans="1:14" ht="12.75">
      <c r="A15" s="88">
        <v>38719</v>
      </c>
      <c r="B15" s="2">
        <f>B14+1</f>
        <v>2</v>
      </c>
      <c r="C15" s="2">
        <f aca="true" t="shared" si="2" ref="C15:C78">(B15-80)</f>
        <v>-78</v>
      </c>
      <c r="D15" s="85">
        <f aca="true" t="shared" si="3" ref="D15:D78">23.45*SIN(RADIANS(0.986*C15))</f>
        <v>-22.840478320305433</v>
      </c>
      <c r="E15" s="85">
        <f t="shared" si="0"/>
        <v>60.84047832030544</v>
      </c>
      <c r="F15" s="85">
        <f aca="true" t="shared" si="4" ref="F15:G78">RADIANS(D15)</f>
        <v>-0.3986415494197138</v>
      </c>
      <c r="G15" s="85">
        <f t="shared" si="4"/>
        <v>1.061866665177559</v>
      </c>
      <c r="H15" s="85">
        <f aca="true" t="shared" si="5" ref="H15:H78">COS(0)*COS(G15)+SIN(0)*SIN(G15)*COS(RADIANS(180-0))</f>
        <v>0.48724283548265684</v>
      </c>
      <c r="I15" s="85">
        <f t="shared" si="1"/>
        <v>0.7565332382113308</v>
      </c>
      <c r="J15" s="85">
        <f aca="true" t="shared" si="6" ref="J15:J78">I15/H15</f>
        <v>1.5526821188903026</v>
      </c>
      <c r="K15" s="21">
        <v>1.015</v>
      </c>
      <c r="L15" s="4">
        <f aca="true" t="shared" si="7" ref="L15:L78">J15*K15</f>
        <v>1.575972350673657</v>
      </c>
      <c r="M15" s="2"/>
      <c r="N15" s="2"/>
    </row>
    <row r="16" spans="1:14" ht="12.75">
      <c r="A16" s="88">
        <v>38720</v>
      </c>
      <c r="B16" s="2">
        <f aca="true" t="shared" si="8" ref="B16:B79">B15+1</f>
        <v>3</v>
      </c>
      <c r="C16" s="2">
        <f t="shared" si="2"/>
        <v>-77</v>
      </c>
      <c r="D16" s="85">
        <f t="shared" si="3"/>
        <v>-22.74569062876956</v>
      </c>
      <c r="E16" s="85">
        <f t="shared" si="0"/>
        <v>60.74569062876956</v>
      </c>
      <c r="F16" s="85">
        <f t="shared" si="4"/>
        <v>-0.3969871921120481</v>
      </c>
      <c r="G16" s="85">
        <f t="shared" si="4"/>
        <v>1.0602123078698933</v>
      </c>
      <c r="H16" s="85">
        <f t="shared" si="5"/>
        <v>0.48868686290980806</v>
      </c>
      <c r="I16" s="85">
        <f t="shared" si="1"/>
        <v>0.7576140780755589</v>
      </c>
      <c r="J16" s="85">
        <f t="shared" si="6"/>
        <v>1.5503058002510373</v>
      </c>
      <c r="K16" s="21">
        <v>1.015</v>
      </c>
      <c r="L16" s="4">
        <f t="shared" si="7"/>
        <v>1.5735603872548027</v>
      </c>
      <c r="M16" s="2"/>
      <c r="N16" s="2"/>
    </row>
    <row r="17" spans="1:14" ht="12.75">
      <c r="A17" s="88">
        <v>38721</v>
      </c>
      <c r="B17" s="2">
        <f t="shared" si="8"/>
        <v>4</v>
      </c>
      <c r="C17" s="2">
        <f t="shared" si="2"/>
        <v>-76</v>
      </c>
      <c r="D17" s="85">
        <f t="shared" si="3"/>
        <v>-22.644167016389996</v>
      </c>
      <c r="E17" s="85">
        <f t="shared" si="0"/>
        <v>60.64416701639</v>
      </c>
      <c r="F17" s="85">
        <f t="shared" si="4"/>
        <v>-0.39521527080750624</v>
      </c>
      <c r="G17" s="85">
        <f t="shared" si="4"/>
        <v>1.0584403865653516</v>
      </c>
      <c r="H17" s="85">
        <f t="shared" si="5"/>
        <v>0.4902320240743668</v>
      </c>
      <c r="I17" s="85">
        <f t="shared" si="1"/>
        <v>0.7587694260756865</v>
      </c>
      <c r="J17" s="85">
        <f t="shared" si="6"/>
        <v>1.547776132145507</v>
      </c>
      <c r="K17" s="21">
        <v>1.269</v>
      </c>
      <c r="L17" s="4">
        <f t="shared" si="7"/>
        <v>1.9641279116926482</v>
      </c>
      <c r="M17" s="2"/>
      <c r="N17" s="2"/>
    </row>
    <row r="18" spans="1:14" ht="12.75">
      <c r="A18" s="88">
        <v>38722</v>
      </c>
      <c r="B18" s="2">
        <f t="shared" si="8"/>
        <v>5</v>
      </c>
      <c r="C18" s="2">
        <f t="shared" si="2"/>
        <v>-75</v>
      </c>
      <c r="D18" s="85">
        <f t="shared" si="3"/>
        <v>-22.53593754842297</v>
      </c>
      <c r="E18" s="85">
        <f t="shared" si="0"/>
        <v>60.53593754842297</v>
      </c>
      <c r="F18" s="85">
        <f t="shared" si="4"/>
        <v>-0.3933263102437999</v>
      </c>
      <c r="G18" s="85">
        <f t="shared" si="4"/>
        <v>1.056551426001645</v>
      </c>
      <c r="H18" s="85">
        <f t="shared" si="5"/>
        <v>0.4918775513388357</v>
      </c>
      <c r="I18" s="85">
        <f t="shared" si="1"/>
        <v>0.7599984636944865</v>
      </c>
      <c r="J18" s="85">
        <f t="shared" si="6"/>
        <v>1.5450968673521606</v>
      </c>
      <c r="K18" s="21">
        <v>1.015</v>
      </c>
      <c r="L18" s="4">
        <f t="shared" si="7"/>
        <v>1.5682733203624428</v>
      </c>
      <c r="M18" s="2"/>
      <c r="N18" s="2"/>
    </row>
    <row r="19" spans="1:14" ht="12.75">
      <c r="A19" s="88">
        <v>38723</v>
      </c>
      <c r="B19" s="2">
        <f t="shared" si="8"/>
        <v>6</v>
      </c>
      <c r="C19" s="2">
        <f t="shared" si="2"/>
        <v>-74</v>
      </c>
      <c r="D19" s="85">
        <f t="shared" si="3"/>
        <v>-22.42103427600032</v>
      </c>
      <c r="E19" s="85">
        <f t="shared" si="0"/>
        <v>60.42103427600032</v>
      </c>
      <c r="F19" s="85">
        <f t="shared" si="4"/>
        <v>-0.3913208698187086</v>
      </c>
      <c r="G19" s="85">
        <f t="shared" si="4"/>
        <v>1.0545459855765538</v>
      </c>
      <c r="H19" s="85">
        <f t="shared" si="5"/>
        <v>0.49362262661238454</v>
      </c>
      <c r="I19" s="85">
        <f t="shared" si="1"/>
        <v>0.7613003201490511</v>
      </c>
      <c r="J19" s="85">
        <f t="shared" si="6"/>
        <v>1.5422719282008512</v>
      </c>
      <c r="K19" s="21">
        <v>1.015</v>
      </c>
      <c r="L19" s="4">
        <f t="shared" si="7"/>
        <v>1.5654060071238638</v>
      </c>
      <c r="M19" s="2"/>
      <c r="N19" s="2"/>
    </row>
    <row r="20" spans="1:14" ht="12.75">
      <c r="A20" s="88">
        <v>38724</v>
      </c>
      <c r="B20" s="2">
        <f t="shared" si="8"/>
        <v>7</v>
      </c>
      <c r="C20" s="2">
        <f t="shared" si="2"/>
        <v>-73</v>
      </c>
      <c r="D20" s="85">
        <f t="shared" si="3"/>
        <v>-22.29949122663787</v>
      </c>
      <c r="E20" s="85">
        <f t="shared" si="0"/>
        <v>60.29949122663787</v>
      </c>
      <c r="F20" s="85">
        <f t="shared" si="4"/>
        <v>-0.38919954342441987</v>
      </c>
      <c r="G20" s="85">
        <f t="shared" si="4"/>
        <v>1.052424659182265</v>
      </c>
      <c r="H20" s="85">
        <f t="shared" si="5"/>
        <v>0.4954663816612111</v>
      </c>
      <c r="I20" s="85">
        <f t="shared" si="1"/>
        <v>0.7626740730103045</v>
      </c>
      <c r="J20" s="85">
        <f t="shared" si="6"/>
        <v>1.5393053923319546</v>
      </c>
      <c r="K20" s="21">
        <v>0.254</v>
      </c>
      <c r="L20" s="4">
        <f t="shared" si="7"/>
        <v>0.39098356965231645</v>
      </c>
      <c r="M20" s="2"/>
      <c r="N20" s="2"/>
    </row>
    <row r="21" spans="1:14" ht="12.75">
      <c r="A21" s="88">
        <v>38725</v>
      </c>
      <c r="B21" s="2">
        <f t="shared" si="8"/>
        <v>8</v>
      </c>
      <c r="C21" s="2">
        <f t="shared" si="2"/>
        <v>-72</v>
      </c>
      <c r="D21" s="85">
        <f t="shared" si="3"/>
        <v>-22.171344394158492</v>
      </c>
      <c r="E21" s="85">
        <f t="shared" si="0"/>
        <v>60.171344394158496</v>
      </c>
      <c r="F21" s="85">
        <f t="shared" si="4"/>
        <v>-0.38696295927165314</v>
      </c>
      <c r="G21" s="85">
        <f t="shared" si="4"/>
        <v>1.0501880750294985</v>
      </c>
      <c r="H21" s="85">
        <f t="shared" si="5"/>
        <v>0.497407898443852</v>
      </c>
      <c r="I21" s="85">
        <f t="shared" si="1"/>
        <v>0.7641187488635961</v>
      </c>
      <c r="J21" s="85">
        <f t="shared" si="6"/>
        <v>1.5362014782116507</v>
      </c>
      <c r="K21" s="21">
        <v>0.508</v>
      </c>
      <c r="L21" s="4">
        <f t="shared" si="7"/>
        <v>0.7803903509315185</v>
      </c>
      <c r="M21" s="2"/>
      <c r="N21" s="2"/>
    </row>
    <row r="22" spans="1:14" ht="12.75">
      <c r="A22" s="88">
        <v>38726</v>
      </c>
      <c r="B22" s="2">
        <f t="shared" si="8"/>
        <v>9</v>
      </c>
      <c r="C22" s="2">
        <f t="shared" si="2"/>
        <v>-71</v>
      </c>
      <c r="D22" s="85">
        <f t="shared" si="3"/>
        <v>-22.036631728032877</v>
      </c>
      <c r="E22" s="85">
        <f t="shared" si="0"/>
        <v>60.03663172803287</v>
      </c>
      <c r="F22" s="85">
        <f t="shared" si="4"/>
        <v>-0.3846117797036213</v>
      </c>
      <c r="G22" s="85">
        <f t="shared" si="4"/>
        <v>1.0478368954614665</v>
      </c>
      <c r="H22" s="85">
        <f t="shared" si="5"/>
        <v>0.499446209472312</v>
      </c>
      <c r="I22" s="85">
        <f t="shared" si="1"/>
        <v>0.7656333240106188</v>
      </c>
      <c r="J22" s="85">
        <f t="shared" si="6"/>
        <v>1.5329645304937758</v>
      </c>
      <c r="K22" s="21">
        <v>0</v>
      </c>
      <c r="L22" s="4">
        <f t="shared" si="7"/>
        <v>0</v>
      </c>
      <c r="M22" s="2"/>
      <c r="N22" s="2"/>
    </row>
    <row r="23" spans="1:14" ht="12.75">
      <c r="A23" s="88">
        <v>38727</v>
      </c>
      <c r="B23" s="2">
        <f t="shared" si="8"/>
        <v>10</v>
      </c>
      <c r="C23" s="2">
        <f t="shared" si="2"/>
        <v>-70</v>
      </c>
      <c r="D23" s="85">
        <f t="shared" si="3"/>
        <v>-21.89539312214117</v>
      </c>
      <c r="E23" s="85">
        <f t="shared" si="0"/>
        <v>59.89539312214117</v>
      </c>
      <c r="F23" s="85">
        <f t="shared" si="4"/>
        <v>-0.38214670099988435</v>
      </c>
      <c r="G23" s="85">
        <f t="shared" si="4"/>
        <v>1.0453718167577297</v>
      </c>
      <c r="H23" s="85">
        <f t="shared" si="5"/>
        <v>0.5015802981998954</v>
      </c>
      <c r="I23" s="85">
        <f t="shared" si="1"/>
        <v>0.7672167252128812</v>
      </c>
      <c r="J23" s="85">
        <f t="shared" si="6"/>
        <v>1.529599005316436</v>
      </c>
      <c r="K23" s="21">
        <v>0</v>
      </c>
      <c r="L23" s="4">
        <f t="shared" si="7"/>
        <v>0</v>
      </c>
      <c r="M23" s="2"/>
      <c r="N23" s="2"/>
    </row>
    <row r="24" spans="1:14" ht="12.75">
      <c r="A24" s="88">
        <v>38728</v>
      </c>
      <c r="B24" s="2">
        <f t="shared" si="8"/>
        <v>11</v>
      </c>
      <c r="C24" s="2">
        <f t="shared" si="2"/>
        <v>-69</v>
      </c>
      <c r="D24" s="85">
        <f t="shared" si="3"/>
        <v>-21.74767040295876</v>
      </c>
      <c r="E24" s="85">
        <f t="shared" si="0"/>
        <v>59.74767040295876</v>
      </c>
      <c r="F24" s="85">
        <f t="shared" si="4"/>
        <v>-0.3795684531701523</v>
      </c>
      <c r="G24" s="85">
        <f t="shared" si="4"/>
        <v>1.0427935689279975</v>
      </c>
      <c r="H24" s="85">
        <f t="shared" si="5"/>
        <v>0.5038090994366519</v>
      </c>
      <c r="I24" s="85">
        <f t="shared" si="1"/>
        <v>0.7688678304769578</v>
      </c>
      <c r="J24" s="85">
        <f t="shared" si="6"/>
        <v>1.526109455618584</v>
      </c>
      <c r="K24" s="21">
        <v>0</v>
      </c>
      <c r="L24" s="4">
        <f t="shared" si="7"/>
        <v>0</v>
      </c>
      <c r="M24" s="2"/>
      <c r="N24" s="2"/>
    </row>
    <row r="25" spans="1:14" ht="12.75">
      <c r="A25" s="88">
        <v>38729</v>
      </c>
      <c r="B25" s="2">
        <f t="shared" si="8"/>
        <v>12</v>
      </c>
      <c r="C25" s="2">
        <f t="shared" si="2"/>
        <v>-68</v>
      </c>
      <c r="D25" s="85">
        <f t="shared" si="3"/>
        <v>-21.593507317169777</v>
      </c>
      <c r="E25" s="85">
        <f t="shared" si="0"/>
        <v>59.59350731716978</v>
      </c>
      <c r="F25" s="85">
        <f t="shared" si="4"/>
        <v>-0.3768777997381001</v>
      </c>
      <c r="G25" s="85">
        <f t="shared" si="4"/>
        <v>1.0401029154959454</v>
      </c>
      <c r="H25" s="85">
        <f t="shared" si="5"/>
        <v>0.5061314997933419</v>
      </c>
      <c r="I25" s="85">
        <f t="shared" si="1"/>
        <v>0.7705854698817038</v>
      </c>
      <c r="J25" s="85">
        <f t="shared" si="6"/>
        <v>1.5225005165581293</v>
      </c>
      <c r="K25" s="21">
        <v>1.015</v>
      </c>
      <c r="L25" s="4">
        <f t="shared" si="7"/>
        <v>1.5453380243065011</v>
      </c>
      <c r="M25" s="2"/>
      <c r="N25" s="2"/>
    </row>
    <row r="26" spans="1:14" ht="12.75">
      <c r="A26" s="88">
        <v>38730</v>
      </c>
      <c r="B26" s="2">
        <f t="shared" si="8"/>
        <v>13</v>
      </c>
      <c r="C26" s="2">
        <f t="shared" si="2"/>
        <v>-67</v>
      </c>
      <c r="D26" s="85">
        <f t="shared" si="3"/>
        <v>-21.432949518711922</v>
      </c>
      <c r="E26" s="85">
        <f t="shared" si="0"/>
        <v>59.43294951871192</v>
      </c>
      <c r="F26" s="85">
        <f t="shared" si="4"/>
        <v>-0.374075537515257</v>
      </c>
      <c r="G26" s="85">
        <f t="shared" si="4"/>
        <v>1.0373006532731022</v>
      </c>
      <c r="H26" s="85">
        <f t="shared" si="5"/>
        <v>0.508546338154852</v>
      </c>
      <c r="I26" s="85">
        <f t="shared" si="1"/>
        <v>0.7723684264476176</v>
      </c>
      <c r="J26" s="85">
        <f t="shared" si="6"/>
        <v>1.5187768911088533</v>
      </c>
      <c r="K26" s="21">
        <v>1.015</v>
      </c>
      <c r="L26" s="4">
        <f t="shared" si="7"/>
        <v>1.541558544475486</v>
      </c>
      <c r="M26" s="2"/>
      <c r="N26" s="2"/>
    </row>
    <row r="27" spans="1:14" ht="12.75">
      <c r="A27" s="88">
        <v>38731</v>
      </c>
      <c r="B27" s="2">
        <f t="shared" si="8"/>
        <v>14</v>
      </c>
      <c r="C27" s="2">
        <f t="shared" si="2"/>
        <v>-66</v>
      </c>
      <c r="D27" s="85">
        <f t="shared" si="3"/>
        <v>-21.266044555256478</v>
      </c>
      <c r="E27" s="85">
        <f t="shared" si="0"/>
        <v>59.26604455525648</v>
      </c>
      <c r="F27" s="85">
        <f t="shared" si="4"/>
        <v>-0.37116249636503873</v>
      </c>
      <c r="G27" s="85">
        <f t="shared" si="4"/>
        <v>1.0343876121228839</v>
      </c>
      <c r="H27" s="85">
        <f t="shared" si="5"/>
        <v>0.5110524061839736</v>
      </c>
      <c r="I27" s="85">
        <f t="shared" si="1"/>
        <v>0.7742154370484895</v>
      </c>
      <c r="J27" s="85">
        <f t="shared" si="6"/>
        <v>1.5149433359086464</v>
      </c>
      <c r="K27" s="21">
        <v>1.015</v>
      </c>
      <c r="L27" s="4">
        <f t="shared" si="7"/>
        <v>1.5376674859472759</v>
      </c>
      <c r="M27" s="2"/>
      <c r="N27" s="2"/>
    </row>
    <row r="28" spans="1:14" ht="12.75">
      <c r="A28" s="88">
        <v>38732</v>
      </c>
      <c r="B28" s="2">
        <f t="shared" si="8"/>
        <v>15</v>
      </c>
      <c r="C28" s="2">
        <f t="shared" si="2"/>
        <v>-65</v>
      </c>
      <c r="D28" s="85">
        <f t="shared" si="3"/>
        <v>-21.092841854127542</v>
      </c>
      <c r="E28" s="85">
        <f t="shared" si="0"/>
        <v>59.09284185412754</v>
      </c>
      <c r="F28" s="85">
        <f t="shared" si="4"/>
        <v>-0.3681395389569911</v>
      </c>
      <c r="G28" s="85">
        <f t="shared" si="4"/>
        <v>1.0313646547148363</v>
      </c>
      <c r="H28" s="85">
        <f t="shared" si="5"/>
        <v>0.513648448856468</v>
      </c>
      <c r="I28" s="85">
        <f t="shared" si="1"/>
        <v>0.7761251933654515</v>
      </c>
      <c r="J28" s="85">
        <f t="shared" si="6"/>
        <v>1.5110046474263354</v>
      </c>
      <c r="K28" s="21">
        <v>2.792</v>
      </c>
      <c r="L28" s="4">
        <f t="shared" si="7"/>
        <v>4.218724975614328</v>
      </c>
      <c r="M28" s="2"/>
      <c r="N28" s="2"/>
    </row>
    <row r="29" spans="1:14" ht="12.75">
      <c r="A29" s="88">
        <v>38733</v>
      </c>
      <c r="B29" s="2">
        <f t="shared" si="8"/>
        <v>16</v>
      </c>
      <c r="C29" s="2">
        <f t="shared" si="2"/>
        <v>-64</v>
      </c>
      <c r="D29" s="85">
        <f t="shared" si="3"/>
        <v>-20.91339270766455</v>
      </c>
      <c r="E29" s="85">
        <f t="shared" si="0"/>
        <v>58.91339270766455</v>
      </c>
      <c r="F29" s="85">
        <f t="shared" si="4"/>
        <v>-0.36500756051131833</v>
      </c>
      <c r="G29" s="85">
        <f t="shared" si="4"/>
        <v>1.0282326762691636</v>
      </c>
      <c r="H29" s="85">
        <f t="shared" si="5"/>
        <v>0.5163331650283196</v>
      </c>
      <c r="I29" s="85">
        <f t="shared" si="1"/>
        <v>0.7780963428835035</v>
      </c>
      <c r="J29" s="85">
        <f t="shared" si="6"/>
        <v>1.5069656485088012</v>
      </c>
      <c r="K29" s="21">
        <v>2.284</v>
      </c>
      <c r="L29" s="4">
        <f t="shared" si="7"/>
        <v>3.441909541194102</v>
      </c>
      <c r="M29" s="2"/>
      <c r="N29" s="2"/>
    </row>
    <row r="30" spans="1:14" ht="12.75">
      <c r="A30" s="88">
        <v>38734</v>
      </c>
      <c r="B30" s="2">
        <f t="shared" si="8"/>
        <v>17</v>
      </c>
      <c r="C30" s="2">
        <f t="shared" si="2"/>
        <v>-63</v>
      </c>
      <c r="D30" s="85">
        <f t="shared" si="3"/>
        <v>-20.72775025803258</v>
      </c>
      <c r="E30" s="85">
        <f t="shared" si="0"/>
        <v>58.72775025803258</v>
      </c>
      <c r="F30" s="85">
        <f t="shared" si="4"/>
        <v>-0.3617674885337727</v>
      </c>
      <c r="G30" s="85">
        <f t="shared" si="4"/>
        <v>1.024992604291618</v>
      </c>
      <c r="H30" s="85">
        <f t="shared" si="5"/>
        <v>0.5191052080360685</v>
      </c>
      <c r="I30" s="85">
        <f t="shared" si="1"/>
        <v>0.7801274899305486</v>
      </c>
      <c r="J30" s="85">
        <f t="shared" si="6"/>
        <v>1.5028311753642505</v>
      </c>
      <c r="K30" s="21">
        <v>1.523</v>
      </c>
      <c r="L30" s="4">
        <f t="shared" si="7"/>
        <v>2.2888118800797534</v>
      </c>
      <c r="M30" s="2"/>
      <c r="N30" s="2"/>
    </row>
    <row r="31" spans="1:14" ht="12.75">
      <c r="A31" s="88">
        <v>38735</v>
      </c>
      <c r="B31" s="2">
        <f t="shared" si="8"/>
        <v>18</v>
      </c>
      <c r="C31" s="2">
        <f t="shared" si="2"/>
        <v>-62</v>
      </c>
      <c r="D31" s="85">
        <f t="shared" si="3"/>
        <v>-20.53596948148477</v>
      </c>
      <c r="E31" s="85">
        <f t="shared" si="0"/>
        <v>58.53596948148477</v>
      </c>
      <c r="F31" s="85">
        <f t="shared" si="4"/>
        <v>-0.3584202825409819</v>
      </c>
      <c r="G31" s="85">
        <f t="shared" si="4"/>
        <v>1.0216453982988272</v>
      </c>
      <c r="H31" s="85">
        <f t="shared" si="5"/>
        <v>0.5219631863310908</v>
      </c>
      <c r="I31" s="85">
        <f t="shared" si="1"/>
        <v>0.7822171967589286</v>
      </c>
      <c r="J31" s="85">
        <f t="shared" si="6"/>
        <v>1.498606065031479</v>
      </c>
      <c r="K31" s="21">
        <v>1.015</v>
      </c>
      <c r="L31" s="4">
        <f t="shared" si="7"/>
        <v>1.521085156006951</v>
      </c>
      <c r="M31" s="2"/>
      <c r="N31" s="2"/>
    </row>
    <row r="32" spans="1:14" ht="12.75">
      <c r="A32" s="88">
        <v>38736</v>
      </c>
      <c r="B32" s="2">
        <f t="shared" si="8"/>
        <v>19</v>
      </c>
      <c r="C32" s="2">
        <f t="shared" si="2"/>
        <v>-61</v>
      </c>
      <c r="D32" s="85">
        <f t="shared" si="3"/>
        <v>-20.338107172081646</v>
      </c>
      <c r="E32" s="85">
        <f t="shared" si="0"/>
        <v>58.33810717208165</v>
      </c>
      <c r="F32" s="85">
        <f t="shared" si="4"/>
        <v>-0.3549669337762977</v>
      </c>
      <c r="G32" s="85">
        <f t="shared" si="4"/>
        <v>1.018192049534143</v>
      </c>
      <c r="H32" s="85">
        <f t="shared" si="5"/>
        <v>0.5249056641486665</v>
      </c>
      <c r="I32" s="85">
        <f t="shared" si="1"/>
        <v>0.7843639846693957</v>
      </c>
      <c r="J32" s="85">
        <f t="shared" si="6"/>
        <v>1.494295143378838</v>
      </c>
      <c r="K32" s="21">
        <v>1.269</v>
      </c>
      <c r="L32" s="4">
        <f t="shared" si="7"/>
        <v>1.8962605369477454</v>
      </c>
      <c r="M32" s="2"/>
      <c r="N32" s="2"/>
    </row>
    <row r="33" spans="1:14" ht="12.75">
      <c r="A33" s="88">
        <v>38737</v>
      </c>
      <c r="B33" s="2">
        <f t="shared" si="8"/>
        <v>20</v>
      </c>
      <c r="C33" s="2">
        <f t="shared" si="2"/>
        <v>-60</v>
      </c>
      <c r="D33" s="85">
        <f t="shared" si="3"/>
        <v>-20.134221924872083</v>
      </c>
      <c r="E33" s="85">
        <f t="shared" si="0"/>
        <v>58.13422192487208</v>
      </c>
      <c r="F33" s="85">
        <f t="shared" si="4"/>
        <v>-0.3514084649162482</v>
      </c>
      <c r="G33" s="85">
        <f t="shared" si="4"/>
        <v>1.0146335806740934</v>
      </c>
      <c r="H33" s="85">
        <f t="shared" si="5"/>
        <v>0.527931162212642</v>
      </c>
      <c r="I33" s="85">
        <f t="shared" si="1"/>
        <v>0.7865663351774055</v>
      </c>
      <c r="J33" s="85">
        <f t="shared" si="6"/>
        <v>1.4899032136704775</v>
      </c>
      <c r="K33" s="21">
        <v>0.761</v>
      </c>
      <c r="L33" s="4">
        <f t="shared" si="7"/>
        <v>1.1338163456032333</v>
      </c>
      <c r="M33" s="2"/>
      <c r="N33" s="2"/>
    </row>
    <row r="34" spans="1:14" ht="12.75">
      <c r="A34" s="88">
        <v>38738</v>
      </c>
      <c r="B34" s="2">
        <f t="shared" si="8"/>
        <v>21</v>
      </c>
      <c r="C34" s="2">
        <f t="shared" si="2"/>
        <v>-59</v>
      </c>
      <c r="D34" s="85">
        <f t="shared" si="3"/>
        <v>-19.924374118540943</v>
      </c>
      <c r="E34" s="85">
        <f t="shared" si="0"/>
        <v>57.92437411854094</v>
      </c>
      <c r="F34" s="85">
        <f t="shared" si="4"/>
        <v>-0.3477459297676824</v>
      </c>
      <c r="G34" s="85">
        <f t="shared" si="4"/>
        <v>1.0109710455255276</v>
      </c>
      <c r="H34" s="85">
        <f t="shared" si="5"/>
        <v>0.5310381584764561</v>
      </c>
      <c r="I34" s="85">
        <f t="shared" si="1"/>
        <v>0.7888226912215575</v>
      </c>
      <c r="J34" s="85">
        <f t="shared" si="6"/>
        <v>1.4854350457313332</v>
      </c>
      <c r="K34" s="21">
        <v>0.761</v>
      </c>
      <c r="L34" s="4">
        <f t="shared" si="7"/>
        <v>1.1304160698015446</v>
      </c>
      <c r="M34" s="2"/>
      <c r="N34" s="2"/>
    </row>
    <row r="35" spans="1:14" ht="12.75">
      <c r="A35" s="88">
        <v>38739</v>
      </c>
      <c r="B35" s="2">
        <f t="shared" si="8"/>
        <v>22</v>
      </c>
      <c r="C35" s="2">
        <f t="shared" si="2"/>
        <v>-58</v>
      </c>
      <c r="D35" s="85">
        <f t="shared" si="3"/>
        <v>-19.70862589752849</v>
      </c>
      <c r="E35" s="85">
        <f t="shared" si="0"/>
        <v>57.70862589752849</v>
      </c>
      <c r="F35" s="85">
        <f t="shared" si="4"/>
        <v>-0.3439804129556947</v>
      </c>
      <c r="G35" s="85">
        <f t="shared" si="4"/>
        <v>1.00720552871354</v>
      </c>
      <c r="H35" s="85">
        <f t="shared" si="5"/>
        <v>0.5342250889012536</v>
      </c>
      <c r="I35" s="85">
        <f t="shared" si="1"/>
        <v>0.7911314584139473</v>
      </c>
      <c r="J35" s="85">
        <f t="shared" si="6"/>
        <v>1.4808953657363335</v>
      </c>
      <c r="K35" s="21">
        <v>1.269</v>
      </c>
      <c r="L35" s="4">
        <f t="shared" si="7"/>
        <v>1.879256219119407</v>
      </c>
      <c r="M35" s="2"/>
      <c r="N35" s="2"/>
    </row>
    <row r="36" spans="1:14" ht="12.75">
      <c r="A36" s="88">
        <v>38740</v>
      </c>
      <c r="B36" s="2">
        <f t="shared" si="8"/>
        <v>23</v>
      </c>
      <c r="C36" s="2">
        <f t="shared" si="2"/>
        <v>-57</v>
      </c>
      <c r="D36" s="85">
        <f t="shared" si="3"/>
        <v>-19.487041153626915</v>
      </c>
      <c r="E36" s="85">
        <f t="shared" si="0"/>
        <v>57.48704115362692</v>
      </c>
      <c r="F36" s="85">
        <f t="shared" si="4"/>
        <v>-0.3401130296024238</v>
      </c>
      <c r="G36" s="85">
        <f t="shared" si="4"/>
        <v>1.003338145360269</v>
      </c>
      <c r="H36" s="85">
        <f t="shared" si="5"/>
        <v>0.537490348271758</v>
      </c>
      <c r="I36" s="85">
        <f t="shared" si="1"/>
        <v>0.7934910063321248</v>
      </c>
      <c r="J36" s="85">
        <f t="shared" si="6"/>
        <v>1.4762888466434962</v>
      </c>
      <c r="K36" s="21">
        <v>0</v>
      </c>
      <c r="L36" s="4">
        <f t="shared" si="7"/>
        <v>0</v>
      </c>
      <c r="M36" s="2"/>
      <c r="N36" s="2"/>
    </row>
    <row r="37" spans="1:14" ht="12.75">
      <c r="A37" s="88">
        <v>38741</v>
      </c>
      <c r="B37" s="2">
        <f t="shared" si="8"/>
        <v>24</v>
      </c>
      <c r="C37" s="2">
        <f t="shared" si="2"/>
        <v>-56</v>
      </c>
      <c r="D37" s="85">
        <f t="shared" si="3"/>
        <v>-19.259685507059395</v>
      </c>
      <c r="E37" s="85">
        <f t="shared" si="0"/>
        <v>57.259685507059395</v>
      </c>
      <c r="F37" s="85">
        <f t="shared" si="4"/>
        <v>-0.33614492499682</v>
      </c>
      <c r="G37" s="85">
        <f t="shared" si="4"/>
        <v>0.9993700407546653</v>
      </c>
      <c r="H37" s="85">
        <f t="shared" si="5"/>
        <v>0.5408322910505223</v>
      </c>
      <c r="I37" s="85">
        <f t="shared" si="1"/>
        <v>0.795899669852287</v>
      </c>
      <c r="J37" s="85">
        <f t="shared" si="6"/>
        <v>1.471620099284969</v>
      </c>
      <c r="K37" s="21">
        <v>1.015</v>
      </c>
      <c r="L37" s="4">
        <f t="shared" si="7"/>
        <v>1.4936944007742434</v>
      </c>
      <c r="M37" s="2"/>
      <c r="N37" s="2"/>
    </row>
    <row r="38" spans="1:14" ht="12.75">
      <c r="A38" s="88">
        <v>38742</v>
      </c>
      <c r="B38" s="2">
        <f t="shared" si="8"/>
        <v>25</v>
      </c>
      <c r="C38" s="2">
        <f t="shared" si="2"/>
        <v>-55</v>
      </c>
      <c r="D38" s="85">
        <f t="shared" si="3"/>
        <v>-19.02662628704724</v>
      </c>
      <c r="E38" s="85">
        <f t="shared" si="0"/>
        <v>57.026626287047236</v>
      </c>
      <c r="F38" s="85">
        <f t="shared" si="4"/>
        <v>-0.33207727425547806</v>
      </c>
      <c r="G38" s="85">
        <f t="shared" si="4"/>
        <v>0.9953023900133232</v>
      </c>
      <c r="H38" s="85">
        <f t="shared" si="5"/>
        <v>0.5442492322711173</v>
      </c>
      <c r="I38" s="85">
        <f t="shared" si="1"/>
        <v>0.7983557505232594</v>
      </c>
      <c r="J38" s="85">
        <f t="shared" si="6"/>
        <v>1.4668936641247463</v>
      </c>
      <c r="K38" s="21">
        <v>0.85</v>
      </c>
      <c r="L38" s="4">
        <f t="shared" si="7"/>
        <v>1.2468596145060344</v>
      </c>
      <c r="M38" s="2"/>
      <c r="N38" s="2"/>
    </row>
    <row r="39" spans="1:14" ht="12.75">
      <c r="A39" s="88">
        <v>38743</v>
      </c>
      <c r="B39" s="2">
        <f t="shared" si="8"/>
        <v>26</v>
      </c>
      <c r="C39" s="2">
        <f t="shared" si="2"/>
        <v>-54</v>
      </c>
      <c r="D39" s="85">
        <f t="shared" si="3"/>
        <v>-18.78793251187105</v>
      </c>
      <c r="E39" s="85">
        <f t="shared" si="0"/>
        <v>56.78793251187105</v>
      </c>
      <c r="F39" s="85">
        <f t="shared" si="4"/>
        <v>-0.3279112819746384</v>
      </c>
      <c r="G39" s="85">
        <f t="shared" si="4"/>
        <v>0.9911363977324836</v>
      </c>
      <c r="H39" s="85">
        <f t="shared" si="5"/>
        <v>0.547739448470741</v>
      </c>
      <c r="I39" s="85">
        <f t="shared" si="1"/>
        <v>0.8008575179807385</v>
      </c>
      <c r="J39" s="85">
        <f t="shared" si="6"/>
        <v>1.4621140036867701</v>
      </c>
      <c r="K39" s="21">
        <v>0.761</v>
      </c>
      <c r="L39" s="4">
        <f t="shared" si="7"/>
        <v>1.1126687568056322</v>
      </c>
      <c r="M39" s="2"/>
      <c r="N39" s="2"/>
    </row>
    <row r="40" spans="1:14" ht="12.75">
      <c r="A40" s="88">
        <v>38744</v>
      </c>
      <c r="B40" s="2">
        <f t="shared" si="8"/>
        <v>27</v>
      </c>
      <c r="C40" s="2">
        <f t="shared" si="2"/>
        <v>-53</v>
      </c>
      <c r="D40" s="85">
        <f t="shared" si="3"/>
        <v>-18.543674868431548</v>
      </c>
      <c r="E40" s="85">
        <f t="shared" si="0"/>
        <v>56.54367486843155</v>
      </c>
      <c r="F40" s="85">
        <f t="shared" si="4"/>
        <v>-0.32364818187345684</v>
      </c>
      <c r="G40" s="85">
        <f t="shared" si="4"/>
        <v>0.9868732976313022</v>
      </c>
      <c r="H40" s="85">
        <f t="shared" si="5"/>
        <v>0.5513011786626755</v>
      </c>
      <c r="I40" s="85">
        <f t="shared" si="1"/>
        <v>0.8034032114011935</v>
      </c>
      <c r="J40" s="85">
        <f t="shared" si="6"/>
        <v>1.4572854956524075</v>
      </c>
      <c r="K40" s="21">
        <v>2.284</v>
      </c>
      <c r="L40" s="4">
        <f t="shared" si="7"/>
        <v>3.3284400720700984</v>
      </c>
      <c r="M40" s="2"/>
      <c r="N40" s="2"/>
    </row>
    <row r="41" spans="1:14" ht="12.75">
      <c r="A41" s="88">
        <v>38745</v>
      </c>
      <c r="B41" s="2">
        <f t="shared" si="8"/>
        <v>28</v>
      </c>
      <c r="C41" s="2">
        <f t="shared" si="2"/>
        <v>-52</v>
      </c>
      <c r="D41" s="85">
        <f t="shared" si="3"/>
        <v>-18.293925691316346</v>
      </c>
      <c r="E41" s="85">
        <f t="shared" si="0"/>
        <v>56.293925691316346</v>
      </c>
      <c r="F41" s="85">
        <f t="shared" si="4"/>
        <v>-0.3192892364286501</v>
      </c>
      <c r="G41" s="85">
        <f t="shared" si="4"/>
        <v>0.9825143521864953</v>
      </c>
      <c r="H41" s="85">
        <f t="shared" si="5"/>
        <v>0.5549326253489287</v>
      </c>
      <c r="I41" s="85">
        <f t="shared" si="1"/>
        <v>0.8059910409947371</v>
      </c>
      <c r="J41" s="85">
        <f t="shared" si="6"/>
        <v>1.452412426621968</v>
      </c>
      <c r="K41" s="21">
        <v>1.523</v>
      </c>
      <c r="L41" s="4">
        <f t="shared" si="7"/>
        <v>2.2120241257452573</v>
      </c>
      <c r="M41" s="2"/>
      <c r="N41" s="2"/>
    </row>
    <row r="42" spans="1:14" ht="12.75">
      <c r="A42" s="88">
        <v>38746</v>
      </c>
      <c r="B42" s="2">
        <f t="shared" si="8"/>
        <v>29</v>
      </c>
      <c r="C42" s="2">
        <f t="shared" si="2"/>
        <v>-51</v>
      </c>
      <c r="D42" s="85">
        <f t="shared" si="3"/>
        <v>-18.038758941378752</v>
      </c>
      <c r="E42" s="85">
        <f t="shared" si="0"/>
        <v>56.03875894137875</v>
      </c>
      <c r="F42" s="85">
        <f t="shared" si="4"/>
        <v>-0.314835736500626</v>
      </c>
      <c r="G42" s="85">
        <f t="shared" si="4"/>
        <v>0.9780608522584713</v>
      </c>
      <c r="H42" s="85">
        <f t="shared" si="5"/>
        <v>0.558631955573322</v>
      </c>
      <c r="I42" s="85">
        <f t="shared" si="1"/>
        <v>0.808619189536189</v>
      </c>
      <c r="J42" s="85">
        <f t="shared" si="6"/>
        <v>1.4474989865309549</v>
      </c>
      <c r="K42" s="21">
        <v>1.269</v>
      </c>
      <c r="L42" s="4">
        <f t="shared" si="7"/>
        <v>1.8368762139077817</v>
      </c>
      <c r="M42" s="2"/>
      <c r="N42" s="2"/>
    </row>
    <row r="43" spans="1:14" ht="12.75">
      <c r="A43" s="88">
        <v>38747</v>
      </c>
      <c r="B43" s="2">
        <f t="shared" si="8"/>
        <v>30</v>
      </c>
      <c r="C43" s="2">
        <f t="shared" si="2"/>
        <v>-50</v>
      </c>
      <c r="D43" s="85">
        <f t="shared" si="3"/>
        <v>-17.778250183834945</v>
      </c>
      <c r="E43" s="85">
        <f t="shared" si="0"/>
        <v>55.77825018383494</v>
      </c>
      <c r="F43" s="85">
        <f t="shared" si="4"/>
        <v>-0.310289000951207</v>
      </c>
      <c r="G43" s="85">
        <f t="shared" si="4"/>
        <v>0.9735141167090522</v>
      </c>
      <c r="H43" s="85">
        <f t="shared" si="5"/>
        <v>0.5623973020152022</v>
      </c>
      <c r="I43" s="85">
        <f t="shared" si="1"/>
        <v>0.8112858139334744</v>
      </c>
      <c r="J43" s="85">
        <f t="shared" si="6"/>
        <v>1.44254926370814</v>
      </c>
      <c r="K43" s="21">
        <v>1.777</v>
      </c>
      <c r="L43" s="4">
        <f t="shared" si="7"/>
        <v>2.5634100416093646</v>
      </c>
      <c r="M43" s="2"/>
      <c r="N43" s="2"/>
    </row>
    <row r="44" spans="1:14" ht="12.75">
      <c r="A44" s="88">
        <v>38748</v>
      </c>
      <c r="B44" s="2">
        <f t="shared" si="8"/>
        <v>31</v>
      </c>
      <c r="C44" s="2">
        <f t="shared" si="2"/>
        <v>-49</v>
      </c>
      <c r="D44" s="85">
        <f t="shared" si="3"/>
        <v>-17.512476565886054</v>
      </c>
      <c r="E44" s="85">
        <f t="shared" si="0"/>
        <v>55.512476565886054</v>
      </c>
      <c r="F44" s="85">
        <f t="shared" si="4"/>
        <v>-0.3056503762530613</v>
      </c>
      <c r="G44" s="85">
        <f t="shared" si="4"/>
        <v>0.9688754920109065</v>
      </c>
      <c r="H44" s="85">
        <f t="shared" si="5"/>
        <v>0.5662267641238599</v>
      </c>
      <c r="I44" s="85">
        <f t="shared" si="1"/>
        <v>0.8139890468323951</v>
      </c>
      <c r="J44" s="85">
        <f t="shared" si="6"/>
        <v>1.437567240559364</v>
      </c>
      <c r="K44" s="21">
        <v>2.031</v>
      </c>
      <c r="L44" s="4">
        <f t="shared" si="7"/>
        <v>2.9196990655760686</v>
      </c>
      <c r="M44" s="2"/>
      <c r="N44" s="2"/>
    </row>
    <row r="45" spans="1:14" ht="12.75">
      <c r="A45" s="88">
        <v>38749</v>
      </c>
      <c r="B45" s="2">
        <f t="shared" si="8"/>
        <v>32</v>
      </c>
      <c r="C45" s="2">
        <f t="shared" si="2"/>
        <v>-48</v>
      </c>
      <c r="D45" s="85">
        <f t="shared" si="3"/>
        <v>-17.241516793871764</v>
      </c>
      <c r="E45" s="85">
        <f t="shared" si="0"/>
        <v>55.24151679387177</v>
      </c>
      <c r="F45" s="85">
        <f t="shared" si="4"/>
        <v>-0.3009212360909588</v>
      </c>
      <c r="G45" s="85">
        <f t="shared" si="4"/>
        <v>0.964146351848804</v>
      </c>
      <c r="H45" s="85">
        <f t="shared" si="5"/>
        <v>0.5701184092936443</v>
      </c>
      <c r="I45" s="85">
        <f t="shared" si="1"/>
        <v>0.8167269982567316</v>
      </c>
      <c r="J45" s="85">
        <f t="shared" si="6"/>
        <v>1.4325567898581388</v>
      </c>
      <c r="K45" s="21">
        <v>1.523</v>
      </c>
      <c r="L45" s="4">
        <f t="shared" si="7"/>
        <v>2.1817839909539454</v>
      </c>
      <c r="M45" s="2"/>
      <c r="N45" s="2"/>
    </row>
    <row r="46" spans="1:14" ht="12.75">
      <c r="A46" s="88">
        <v>38750</v>
      </c>
      <c r="B46" s="2">
        <f t="shared" si="8"/>
        <v>33</v>
      </c>
      <c r="C46" s="2">
        <f t="shared" si="2"/>
        <v>-47</v>
      </c>
      <c r="D46" s="85">
        <f t="shared" si="3"/>
        <v>-16.965451109962153</v>
      </c>
      <c r="E46" s="85">
        <f t="shared" si="0"/>
        <v>54.96545110996215</v>
      </c>
      <c r="F46" s="85">
        <f t="shared" si="4"/>
        <v>-0.2961029809549661</v>
      </c>
      <c r="G46" s="85">
        <f t="shared" si="4"/>
        <v>0.9593280967128114</v>
      </c>
      <c r="H46" s="85">
        <f t="shared" si="5"/>
        <v>0.5740702740796717</v>
      </c>
      <c r="I46" s="85">
        <f t="shared" si="1"/>
        <v>0.8194977572825315</v>
      </c>
      <c r="J46" s="85">
        <f t="shared" si="6"/>
        <v>1.4275216716216845</v>
      </c>
      <c r="K46" s="21">
        <v>1.015</v>
      </c>
      <c r="L46" s="4">
        <f t="shared" si="7"/>
        <v>1.4489344966960096</v>
      </c>
      <c r="M46" s="2"/>
      <c r="N46" s="2"/>
    </row>
    <row r="47" spans="1:14" ht="12.75">
      <c r="A47" s="88">
        <v>38751</v>
      </c>
      <c r="B47" s="2">
        <f t="shared" si="8"/>
        <v>34</v>
      </c>
      <c r="C47" s="2">
        <f t="shared" si="2"/>
        <v>-46</v>
      </c>
      <c r="D47" s="85">
        <f t="shared" si="3"/>
        <v>-16.684361268394756</v>
      </c>
      <c r="E47" s="85">
        <f t="shared" si="0"/>
        <v>54.68436126839475</v>
      </c>
      <c r="F47" s="85">
        <f t="shared" si="4"/>
        <v>-0.2911970377257058</v>
      </c>
      <c r="G47" s="85">
        <f t="shared" si="4"/>
        <v>0.954422153483551</v>
      </c>
      <c r="H47" s="85">
        <f t="shared" si="5"/>
        <v>0.5780803654539121</v>
      </c>
      <c r="I47" s="85">
        <f t="shared" si="1"/>
        <v>0.8222993937453483</v>
      </c>
      <c r="J47" s="85">
        <f t="shared" si="6"/>
        <v>1.4224655305489817</v>
      </c>
      <c r="K47" s="21">
        <v>1.777</v>
      </c>
      <c r="L47" s="4">
        <f t="shared" si="7"/>
        <v>2.52772124778554</v>
      </c>
      <c r="M47" s="2"/>
      <c r="N47" s="2"/>
    </row>
    <row r="48" spans="1:14" ht="12.75">
      <c r="A48" s="88">
        <v>38752</v>
      </c>
      <c r="B48" s="2">
        <f t="shared" si="8"/>
        <v>35</v>
      </c>
      <c r="C48" s="2">
        <f t="shared" si="2"/>
        <v>-45</v>
      </c>
      <c r="D48" s="85">
        <f t="shared" si="3"/>
        <v>-16.398330511263808</v>
      </c>
      <c r="E48" s="85">
        <f t="shared" si="0"/>
        <v>54.39833051126381</v>
      </c>
      <c r="F48" s="85">
        <f t="shared" si="4"/>
        <v>-0.28620485925179856</v>
      </c>
      <c r="G48" s="85">
        <f t="shared" si="4"/>
        <v>0.9494299750096438</v>
      </c>
      <c r="H48" s="85">
        <f t="shared" si="5"/>
        <v>0.5821466621013456</v>
      </c>
      <c r="I48" s="85">
        <f t="shared" si="1"/>
        <v>0.8251299599790926</v>
      </c>
      <c r="J48" s="85">
        <f t="shared" si="6"/>
        <v>1.4173918939956855</v>
      </c>
      <c r="K48" s="21">
        <v>1.777</v>
      </c>
      <c r="L48" s="4">
        <f t="shared" si="7"/>
        <v>2.518705395630333</v>
      </c>
      <c r="M48" s="2"/>
      <c r="N48" s="2"/>
    </row>
    <row r="49" spans="1:14" ht="12.75">
      <c r="A49" s="88">
        <v>38753</v>
      </c>
      <c r="B49" s="2">
        <f t="shared" si="8"/>
        <v>36</v>
      </c>
      <c r="C49" s="2">
        <f t="shared" si="2"/>
        <v>-44</v>
      </c>
      <c r="D49" s="85">
        <f t="shared" si="3"/>
        <v>-16.10744354386889</v>
      </c>
      <c r="E49" s="85">
        <f t="shared" si="0"/>
        <v>54.10744354386889</v>
      </c>
      <c r="F49" s="85">
        <f t="shared" si="4"/>
        <v>-0.28112792391961583</v>
      </c>
      <c r="G49" s="85">
        <f t="shared" si="4"/>
        <v>0.9443530396774611</v>
      </c>
      <c r="H49" s="85">
        <f t="shared" si="5"/>
        <v>0.5862671157557661</v>
      </c>
      <c r="I49" s="85">
        <f t="shared" si="1"/>
        <v>0.8279874925850681</v>
      </c>
      <c r="J49" s="85">
        <f t="shared" si="6"/>
        <v>1.412304170459393</v>
      </c>
      <c r="K49" s="21">
        <v>1.777</v>
      </c>
      <c r="L49" s="4">
        <f t="shared" si="7"/>
        <v>2.509664510906341</v>
      </c>
      <c r="M49" s="2"/>
      <c r="N49" s="2"/>
    </row>
    <row r="50" spans="1:14" ht="12.75">
      <c r="A50" s="88">
        <v>38754</v>
      </c>
      <c r="B50" s="2">
        <f t="shared" si="8"/>
        <v>37</v>
      </c>
      <c r="C50" s="2">
        <f t="shared" si="2"/>
        <v>-43</v>
      </c>
      <c r="D50" s="85">
        <f t="shared" si="3"/>
        <v>-15.811786509630256</v>
      </c>
      <c r="E50" s="85">
        <f t="shared" si="0"/>
        <v>53.81178650963025</v>
      </c>
      <c r="F50" s="85">
        <f t="shared" si="4"/>
        <v>-0.2759677352154701</v>
      </c>
      <c r="G50" s="85">
        <f t="shared" si="4"/>
        <v>0.9391928509733152</v>
      </c>
      <c r="H50" s="85">
        <f t="shared" si="5"/>
        <v>0.5904396525746985</v>
      </c>
      <c r="I50" s="85">
        <f t="shared" si="1"/>
        <v>0.8308700142296606</v>
      </c>
      <c r="J50" s="85">
        <f t="shared" si="6"/>
        <v>1.4072056485477054</v>
      </c>
      <c r="K50" s="21">
        <v>2.284</v>
      </c>
      <c r="L50" s="4">
        <f t="shared" si="7"/>
        <v>3.2140577012829588</v>
      </c>
      <c r="M50" s="2"/>
      <c r="N50" s="2"/>
    </row>
    <row r="51" spans="1:14" ht="12.75">
      <c r="A51" s="88">
        <v>38755</v>
      </c>
      <c r="B51" s="2">
        <f t="shared" si="8"/>
        <v>38</v>
      </c>
      <c r="C51" s="2">
        <f t="shared" si="2"/>
        <v>-42</v>
      </c>
      <c r="D51" s="85">
        <f t="shared" si="3"/>
        <v>-15.511446964578283</v>
      </c>
      <c r="E51" s="85">
        <f t="shared" si="0"/>
        <v>53.51144696457828</v>
      </c>
      <c r="F51" s="85">
        <f t="shared" si="4"/>
        <v>-0.2707258212803713</v>
      </c>
      <c r="G51" s="85">
        <f t="shared" si="4"/>
        <v>0.9339509370382165</v>
      </c>
      <c r="H51" s="85">
        <f t="shared" si="5"/>
        <v>0.594662174552788</v>
      </c>
      <c r="I51" s="85">
        <f t="shared" si="1"/>
        <v>0.8337755354690524</v>
      </c>
      <c r="J51" s="85">
        <f t="shared" si="6"/>
        <v>1.4020994964007725</v>
      </c>
      <c r="K51" s="21">
        <v>3.3</v>
      </c>
      <c r="L51" s="4">
        <f t="shared" si="7"/>
        <v>4.626928338122549</v>
      </c>
      <c r="M51" s="2"/>
      <c r="N51" s="2"/>
    </row>
    <row r="52" spans="1:14" ht="12.75">
      <c r="A52" s="88">
        <v>38756</v>
      </c>
      <c r="B52" s="2">
        <f t="shared" si="8"/>
        <v>39</v>
      </c>
      <c r="C52" s="2">
        <f t="shared" si="2"/>
        <v>-41</v>
      </c>
      <c r="D52" s="85">
        <f t="shared" si="3"/>
        <v>-15.206513851424562</v>
      </c>
      <c r="E52" s="85">
        <f t="shared" si="0"/>
        <v>53.20651385142456</v>
      </c>
      <c r="F52" s="85">
        <f t="shared" si="4"/>
        <v>-0.26540373445748244</v>
      </c>
      <c r="G52" s="85">
        <f t="shared" si="4"/>
        <v>0.9286288502153276</v>
      </c>
      <c r="H52" s="85">
        <f t="shared" si="5"/>
        <v>0.5989325609729043</v>
      </c>
      <c r="I52" s="85">
        <f t="shared" si="1"/>
        <v>0.8367020565992422</v>
      </c>
      <c r="J52" s="85">
        <f t="shared" si="6"/>
        <v>1.3969887615395395</v>
      </c>
      <c r="K52" s="21">
        <v>2.792</v>
      </c>
      <c r="L52" s="4">
        <f t="shared" si="7"/>
        <v>3.9003926222183942</v>
      </c>
      <c r="M52" s="2"/>
      <c r="N52" s="2"/>
    </row>
    <row r="53" spans="1:14" ht="12.75">
      <c r="A53" s="88">
        <v>38757</v>
      </c>
      <c r="B53" s="2">
        <f t="shared" si="8"/>
        <v>40</v>
      </c>
      <c r="C53" s="2">
        <f t="shared" si="2"/>
        <v>-40</v>
      </c>
      <c r="D53" s="85">
        <f t="shared" si="3"/>
        <v>-14.897077473222378</v>
      </c>
      <c r="E53" s="85">
        <f t="shared" si="0"/>
        <v>52.89707747322238</v>
      </c>
      <c r="F53" s="85">
        <f t="shared" si="4"/>
        <v>-0.2600030508324079</v>
      </c>
      <c r="G53" s="85">
        <f t="shared" si="4"/>
        <v>0.9232281665902532</v>
      </c>
      <c r="H53" s="85">
        <f t="shared" si="5"/>
        <v>0.6032486698940839</v>
      </c>
      <c r="I53" s="85">
        <f t="shared" si="1"/>
        <v>0.8396475695295462</v>
      </c>
      <c r="J53" s="85">
        <f t="shared" si="6"/>
        <v>1.3918763711107203</v>
      </c>
      <c r="K53" s="21">
        <v>0.508</v>
      </c>
      <c r="L53" s="4">
        <f t="shared" si="7"/>
        <v>0.7070731965242459</v>
      </c>
      <c r="M53" s="2"/>
      <c r="N53" s="2"/>
    </row>
    <row r="54" spans="1:14" ht="12.75">
      <c r="A54" s="88">
        <v>38758</v>
      </c>
      <c r="B54" s="2">
        <f t="shared" si="8"/>
        <v>41</v>
      </c>
      <c r="C54" s="2">
        <f t="shared" si="2"/>
        <v>-39</v>
      </c>
      <c r="D54" s="85">
        <f t="shared" si="3"/>
        <v>-14.583229466624312</v>
      </c>
      <c r="E54" s="85">
        <f t="shared" si="0"/>
        <v>52.58322946662431</v>
      </c>
      <c r="F54" s="85">
        <f t="shared" si="4"/>
        <v>-0.25452536976645074</v>
      </c>
      <c r="G54" s="85">
        <f t="shared" si="4"/>
        <v>0.917750485524296</v>
      </c>
      <c r="H54" s="85">
        <f t="shared" si="5"/>
        <v>0.6076083396753257</v>
      </c>
      <c r="I54" s="85">
        <f t="shared" si="1"/>
        <v>0.8426100596776707</v>
      </c>
      <c r="J54" s="85">
        <f t="shared" si="6"/>
        <v>1.3867651324995272</v>
      </c>
      <c r="K54" s="21">
        <v>1.523</v>
      </c>
      <c r="L54" s="4">
        <f t="shared" si="7"/>
        <v>2.11204329679678</v>
      </c>
      <c r="M54" s="2"/>
      <c r="N54" s="2"/>
    </row>
    <row r="55" spans="1:14" ht="12.75">
      <c r="A55" s="88">
        <v>38759</v>
      </c>
      <c r="B55" s="2">
        <f t="shared" si="8"/>
        <v>42</v>
      </c>
      <c r="C55" s="2">
        <f t="shared" si="2"/>
        <v>-38</v>
      </c>
      <c r="D55" s="85">
        <f t="shared" si="3"/>
        <v>-14.265062774744896</v>
      </c>
      <c r="E55" s="85">
        <f t="shared" si="0"/>
        <v>52.2650627747449</v>
      </c>
      <c r="F55" s="85">
        <f t="shared" si="4"/>
        <v>-0.24897231342297665</v>
      </c>
      <c r="G55" s="85">
        <f t="shared" si="4"/>
        <v>0.9121974291808219</v>
      </c>
      <c r="H55" s="85">
        <f t="shared" si="5"/>
        <v>0.6120093905341273</v>
      </c>
      <c r="I55" s="85">
        <f t="shared" si="1"/>
        <v>0.8455875078843453</v>
      </c>
      <c r="J55" s="85">
        <f t="shared" si="6"/>
        <v>1.381657734281437</v>
      </c>
      <c r="K55" s="21">
        <v>1.015</v>
      </c>
      <c r="L55" s="4">
        <f t="shared" si="7"/>
        <v>1.4023826002956583</v>
      </c>
      <c r="M55" s="2"/>
      <c r="N55" s="2"/>
    </row>
    <row r="56" spans="1:14" ht="12.75">
      <c r="A56" s="88">
        <v>38760</v>
      </c>
      <c r="B56" s="2">
        <f t="shared" si="8"/>
        <v>43</v>
      </c>
      <c r="C56" s="2">
        <f t="shared" si="2"/>
        <v>-37</v>
      </c>
      <c r="D56" s="85">
        <f t="shared" si="3"/>
        <v>-13.942671619636418</v>
      </c>
      <c r="E56" s="85">
        <f t="shared" si="0"/>
        <v>51.942671619636414</v>
      </c>
      <c r="F56" s="85">
        <f t="shared" si="4"/>
        <v>-0.24334552628702596</v>
      </c>
      <c r="G56" s="85">
        <f t="shared" si="4"/>
        <v>0.9065706420448711</v>
      </c>
      <c r="H56" s="85">
        <f t="shared" si="5"/>
        <v>0.6164496261385441</v>
      </c>
      <c r="I56" s="85">
        <f t="shared" si="1"/>
        <v>0.8485778923454232</v>
      </c>
      <c r="J56" s="85">
        <f t="shared" si="6"/>
        <v>1.3765567474846832</v>
      </c>
      <c r="K56" s="21">
        <v>0</v>
      </c>
      <c r="L56" s="4">
        <f t="shared" si="7"/>
        <v>0</v>
      </c>
      <c r="M56" s="2"/>
      <c r="N56" s="2"/>
    </row>
    <row r="57" spans="1:14" ht="12.75">
      <c r="A57" s="88">
        <v>38761</v>
      </c>
      <c r="B57" s="2">
        <f t="shared" si="8"/>
        <v>44</v>
      </c>
      <c r="C57" s="2">
        <f t="shared" si="2"/>
        <v>-36</v>
      </c>
      <c r="D57" s="85">
        <f t="shared" si="3"/>
        <v>-13.616151474385925</v>
      </c>
      <c r="E57" s="85">
        <f t="shared" si="0"/>
        <v>51.61615147438592</v>
      </c>
      <c r="F57" s="85">
        <f t="shared" si="4"/>
        <v>-0.23764667467831474</v>
      </c>
      <c r="G57" s="85">
        <f t="shared" si="4"/>
        <v>0.90087179043616</v>
      </c>
      <c r="H57" s="85">
        <f t="shared" si="5"/>
        <v>0.6209268352314239</v>
      </c>
      <c r="I57" s="85">
        <f t="shared" si="1"/>
        <v>0.8515791905592582</v>
      </c>
      <c r="J57" s="85">
        <f t="shared" si="6"/>
        <v>1.3714646271357696</v>
      </c>
      <c r="K57" s="21">
        <v>2.538</v>
      </c>
      <c r="L57" s="4">
        <f t="shared" si="7"/>
        <v>3.4807772236705827</v>
      </c>
      <c r="M57" s="2"/>
      <c r="N57" s="2"/>
    </row>
    <row r="58" spans="1:14" ht="12.75">
      <c r="A58" s="88">
        <v>38762</v>
      </c>
      <c r="B58" s="2">
        <f t="shared" si="8"/>
        <v>45</v>
      </c>
      <c r="C58" s="2">
        <f t="shared" si="2"/>
        <v>-35</v>
      </c>
      <c r="D58" s="85">
        <f t="shared" si="3"/>
        <v>-13.285599034841798</v>
      </c>
      <c r="E58" s="85">
        <f t="shared" si="0"/>
        <v>51.285599034841795</v>
      </c>
      <c r="F58" s="85">
        <f t="shared" si="4"/>
        <v>-0.23187744625777024</v>
      </c>
      <c r="G58" s="85">
        <f t="shared" si="4"/>
        <v>0.8951025620156154</v>
      </c>
      <c r="H58" s="85">
        <f t="shared" si="5"/>
        <v>0.6254387932853641</v>
      </c>
      <c r="I58" s="85">
        <f t="shared" si="1"/>
        <v>0.8545893812870888</v>
      </c>
      <c r="J58" s="85">
        <f t="shared" si="6"/>
        <v>1.3663837140610047</v>
      </c>
      <c r="K58" s="21">
        <v>1.777</v>
      </c>
      <c r="L58" s="4">
        <f t="shared" si="7"/>
        <v>2.428063859886405</v>
      </c>
      <c r="M58" s="2"/>
      <c r="N58" s="2"/>
    </row>
    <row r="59" spans="1:14" ht="12.75">
      <c r="A59" s="88">
        <v>38763</v>
      </c>
      <c r="B59" s="2">
        <f t="shared" si="8"/>
        <v>46</v>
      </c>
      <c r="C59" s="2">
        <f t="shared" si="2"/>
        <v>-34</v>
      </c>
      <c r="D59" s="85">
        <f t="shared" si="3"/>
        <v>-12.951112190978183</v>
      </c>
      <c r="E59" s="85">
        <f t="shared" si="0"/>
        <v>50.95111219097818</v>
      </c>
      <c r="F59" s="85">
        <f t="shared" si="4"/>
        <v>-0.22603954952774594</v>
      </c>
      <c r="G59" s="85">
        <f t="shared" si="4"/>
        <v>0.8892646652855911</v>
      </c>
      <c r="H59" s="85">
        <f t="shared" si="5"/>
        <v>0.6299832641868163</v>
      </c>
      <c r="I59" s="85">
        <f t="shared" si="1"/>
        <v>0.8576064465240762</v>
      </c>
      <c r="J59" s="85">
        <f t="shared" si="6"/>
        <v>1.3613162369179386</v>
      </c>
      <c r="K59" s="21">
        <v>1.015</v>
      </c>
      <c r="L59" s="4">
        <f t="shared" si="7"/>
        <v>1.3817359804717075</v>
      </c>
      <c r="M59" s="2"/>
      <c r="N59" s="2"/>
    </row>
    <row r="60" spans="1:14" ht="12.75">
      <c r="A60" s="88">
        <v>38764</v>
      </c>
      <c r="B60" s="2">
        <f t="shared" si="8"/>
        <v>47</v>
      </c>
      <c r="C60" s="2">
        <f t="shared" si="2"/>
        <v>-33</v>
      </c>
      <c r="D60" s="85">
        <f t="shared" si="3"/>
        <v>-12.612789997905784</v>
      </c>
      <c r="E60" s="85">
        <f t="shared" si="0"/>
        <v>50.612789997905786</v>
      </c>
      <c r="F60" s="85">
        <f t="shared" si="4"/>
        <v>-0.22013471332606463</v>
      </c>
      <c r="G60" s="85">
        <f t="shared" si="4"/>
        <v>0.8833598290839099</v>
      </c>
      <c r="H60" s="85">
        <f t="shared" si="5"/>
        <v>0.6345580019476528</v>
      </c>
      <c r="I60" s="85">
        <f t="shared" si="1"/>
        <v>0.8606283734785631</v>
      </c>
      <c r="J60" s="85">
        <f t="shared" si="6"/>
        <v>1.3562643144315116</v>
      </c>
      <c r="K60" s="21">
        <v>1.523</v>
      </c>
      <c r="L60" s="4">
        <f t="shared" si="7"/>
        <v>2.0655905508791923</v>
      </c>
      <c r="M60" s="2"/>
      <c r="N60" s="2"/>
    </row>
    <row r="61" spans="1:14" ht="12.75">
      <c r="A61" s="88">
        <v>38765</v>
      </c>
      <c r="B61" s="2">
        <f t="shared" si="8"/>
        <v>48</v>
      </c>
      <c r="C61" s="2">
        <f t="shared" si="2"/>
        <v>-32</v>
      </c>
      <c r="D61" s="85">
        <f t="shared" si="3"/>
        <v>-12.270732646537668</v>
      </c>
      <c r="E61" s="85">
        <f t="shared" si="0"/>
        <v>50.27073264653767</v>
      </c>
      <c r="F61" s="85">
        <f t="shared" si="4"/>
        <v>-0.2141646863140399</v>
      </c>
      <c r="G61" s="85">
        <f t="shared" si="4"/>
        <v>0.8773898020718851</v>
      </c>
      <c r="H61" s="85">
        <f t="shared" si="5"/>
        <v>0.6391607524423963</v>
      </c>
      <c r="I61" s="85">
        <f t="shared" si="1"/>
        <v>0.863653156557046</v>
      </c>
      <c r="J61" s="85">
        <f t="shared" si="6"/>
        <v>1.3512299578107807</v>
      </c>
      <c r="K61" s="21">
        <v>0.254</v>
      </c>
      <c r="L61" s="4">
        <f t="shared" si="7"/>
        <v>0.3432124092839383</v>
      </c>
      <c r="M61" s="2"/>
      <c r="N61" s="2"/>
    </row>
    <row r="62" spans="1:14" ht="12.75">
      <c r="A62" s="88">
        <v>38766</v>
      </c>
      <c r="B62" s="2">
        <f t="shared" si="8"/>
        <v>49</v>
      </c>
      <c r="C62" s="2">
        <f t="shared" si="2"/>
        <v>-31</v>
      </c>
      <c r="D62" s="85">
        <f t="shared" si="3"/>
        <v>-11.925041433918638</v>
      </c>
      <c r="E62" s="85">
        <f t="shared" si="0"/>
        <v>49.925041433918636</v>
      </c>
      <c r="F62" s="85">
        <f t="shared" si="4"/>
        <v>-0.20813123645862605</v>
      </c>
      <c r="G62" s="85">
        <f t="shared" si="4"/>
        <v>0.8713563522164712</v>
      </c>
      <c r="H62" s="85">
        <f t="shared" si="5"/>
        <v>0.6437892551692064</v>
      </c>
      <c r="I62" s="85">
        <f t="shared" si="1"/>
        <v>0.866678799352286</v>
      </c>
      <c r="J62" s="85">
        <f t="shared" si="6"/>
        <v>1.346215073323176</v>
      </c>
      <c r="K62" s="21">
        <v>0.254</v>
      </c>
      <c r="L62" s="4">
        <f t="shared" si="7"/>
        <v>0.3419386286240867</v>
      </c>
      <c r="M62" s="2"/>
      <c r="N62" s="2"/>
    </row>
    <row r="63" spans="1:14" ht="12.75">
      <c r="A63" s="88">
        <v>38767</v>
      </c>
      <c r="B63" s="2">
        <f t="shared" si="8"/>
        <v>50</v>
      </c>
      <c r="C63" s="2">
        <f t="shared" si="2"/>
        <v>-30</v>
      </c>
      <c r="D63" s="85">
        <f t="shared" si="3"/>
        <v>-11.575818733227093</v>
      </c>
      <c r="E63" s="85">
        <f t="shared" si="0"/>
        <v>49.575818733227095</v>
      </c>
      <c r="F63" s="85">
        <f t="shared" si="4"/>
        <v>-0.2020361505088519</v>
      </c>
      <c r="G63" s="85">
        <f t="shared" si="4"/>
        <v>0.8652612662666972</v>
      </c>
      <c r="H63" s="85">
        <f t="shared" si="5"/>
        <v>0.6484412450326061</v>
      </c>
      <c r="I63" s="85">
        <f t="shared" si="1"/>
        <v>0.8697033166319124</v>
      </c>
      <c r="J63" s="85">
        <f t="shared" si="6"/>
        <v>1.341221465004405</v>
      </c>
      <c r="K63" s="21">
        <v>0.508</v>
      </c>
      <c r="L63" s="4">
        <f t="shared" si="7"/>
        <v>0.6813405042222377</v>
      </c>
      <c r="M63" s="2"/>
      <c r="N63" s="2"/>
    </row>
    <row r="64" spans="1:14" ht="12.75">
      <c r="A64" s="88">
        <v>38768</v>
      </c>
      <c r="B64" s="2">
        <f t="shared" si="8"/>
        <v>51</v>
      </c>
      <c r="C64" s="2">
        <f t="shared" si="2"/>
        <v>-29</v>
      </c>
      <c r="D64" s="85">
        <f t="shared" si="3"/>
        <v>-11.22316796345818</v>
      </c>
      <c r="E64" s="85">
        <f t="shared" si="0"/>
        <v>49.22316796345818</v>
      </c>
      <c r="F64" s="85">
        <f t="shared" si="4"/>
        <v>-0.19588123346669187</v>
      </c>
      <c r="G64" s="85">
        <f t="shared" si="4"/>
        <v>0.8591063492245371</v>
      </c>
      <c r="H64" s="85">
        <f t="shared" si="5"/>
        <v>0.6531144541458359</v>
      </c>
      <c r="I64" s="85">
        <f t="shared" si="1"/>
        <v>0.8727247363248204</v>
      </c>
      <c r="J64" s="85">
        <f t="shared" si="6"/>
        <v>1.3362508374832982</v>
      </c>
      <c r="K64" s="21">
        <v>0.761</v>
      </c>
      <c r="L64" s="4">
        <f t="shared" si="7"/>
        <v>1.01688688732479</v>
      </c>
      <c r="M64" s="2"/>
      <c r="N64" s="2"/>
    </row>
    <row r="65" spans="1:14" ht="12.75">
      <c r="A65" s="88">
        <v>38769</v>
      </c>
      <c r="B65" s="2">
        <f t="shared" si="8"/>
        <v>52</v>
      </c>
      <c r="C65" s="2">
        <f t="shared" si="2"/>
        <v>-28</v>
      </c>
      <c r="D65" s="85">
        <f t="shared" si="3"/>
        <v>-10.867193558797227</v>
      </c>
      <c r="E65" s="85">
        <f t="shared" si="0"/>
        <v>48.867193558797226</v>
      </c>
      <c r="F65" s="85">
        <f t="shared" si="4"/>
        <v>-0.1896683080525316</v>
      </c>
      <c r="G65" s="85">
        <f t="shared" si="4"/>
        <v>0.8528934238103768</v>
      </c>
      <c r="H65" s="85">
        <f t="shared" si="5"/>
        <v>0.6578066136506137</v>
      </c>
      <c r="I65" s="85">
        <f t="shared" si="1"/>
        <v>0.8757411015026033</v>
      </c>
      <c r="J65" s="85">
        <f t="shared" si="6"/>
        <v>1.3313047989021025</v>
      </c>
      <c r="K65" s="21">
        <v>1.269</v>
      </c>
      <c r="L65" s="4">
        <f t="shared" si="7"/>
        <v>1.689425789806768</v>
      </c>
      <c r="M65" s="2"/>
      <c r="N65" s="2"/>
    </row>
    <row r="66" spans="1:14" ht="12.75">
      <c r="A66" s="88">
        <v>38770</v>
      </c>
      <c r="B66" s="2">
        <f t="shared" si="8"/>
        <v>53</v>
      </c>
      <c r="C66" s="2">
        <f t="shared" si="2"/>
        <v>-27</v>
      </c>
      <c r="D66" s="85">
        <f t="shared" si="3"/>
        <v>-10.508000937692563</v>
      </c>
      <c r="E66" s="85">
        <f t="shared" si="0"/>
        <v>48.508000937692564</v>
      </c>
      <c r="F66" s="85">
        <f t="shared" si="4"/>
        <v>-0.18339921416538674</v>
      </c>
      <c r="G66" s="85">
        <f t="shared" si="4"/>
        <v>0.846624329923232</v>
      </c>
      <c r="H66" s="85">
        <f t="shared" si="5"/>
        <v>0.6625154555519919</v>
      </c>
      <c r="I66" s="85">
        <f t="shared" si="1"/>
        <v>0.878750472353212</v>
      </c>
      <c r="J66" s="85">
        <f t="shared" si="6"/>
        <v>1.326384863913942</v>
      </c>
      <c r="K66" s="21">
        <v>1.523</v>
      </c>
      <c r="L66" s="4">
        <f t="shared" si="7"/>
        <v>2.0200841477409335</v>
      </c>
      <c r="M66" s="2"/>
      <c r="N66" s="2"/>
    </row>
    <row r="67" spans="1:14" ht="12.75">
      <c r="A67" s="88">
        <v>38771</v>
      </c>
      <c r="B67" s="2">
        <f t="shared" si="8"/>
        <v>54</v>
      </c>
      <c r="C67" s="2">
        <f t="shared" si="2"/>
        <v>-26</v>
      </c>
      <c r="D67" s="85">
        <f t="shared" si="3"/>
        <v>-10.145696471636828</v>
      </c>
      <c r="E67" s="85">
        <f t="shared" si="0"/>
        <v>48.145696471636825</v>
      </c>
      <c r="F67" s="85">
        <f t="shared" si="4"/>
        <v>-0.17707580833803413</v>
      </c>
      <c r="G67" s="85">
        <f t="shared" si="4"/>
        <v>0.8403009240958793</v>
      </c>
      <c r="H67" s="85">
        <f t="shared" si="5"/>
        <v>0.6672387145659082</v>
      </c>
      <c r="I67" s="85">
        <f t="shared" si="1"/>
        <v>0.8817509281439933</v>
      </c>
      <c r="J67" s="85">
        <f t="shared" si="6"/>
        <v>1.321492456740377</v>
      </c>
      <c r="K67" s="21">
        <v>2.031</v>
      </c>
      <c r="L67" s="4">
        <f t="shared" si="7"/>
        <v>2.6839511796397058</v>
      </c>
      <c r="M67" s="2"/>
      <c r="N67" s="2"/>
    </row>
    <row r="68" spans="1:14" ht="12.75">
      <c r="A68" s="88">
        <v>38772</v>
      </c>
      <c r="B68" s="2">
        <f t="shared" si="8"/>
        <v>55</v>
      </c>
      <c r="C68" s="2">
        <f t="shared" si="2"/>
        <v>-25</v>
      </c>
      <c r="D68" s="85">
        <f t="shared" si="3"/>
        <v>-9.78038745366608</v>
      </c>
      <c r="E68" s="85">
        <f t="shared" si="0"/>
        <v>47.78038745366608</v>
      </c>
      <c r="F68" s="85">
        <f t="shared" si="4"/>
        <v>-0.17069996318721745</v>
      </c>
      <c r="G68" s="85">
        <f t="shared" si="4"/>
        <v>0.8339250789450626</v>
      </c>
      <c r="H68" s="85">
        <f t="shared" si="5"/>
        <v>0.6719741299769392</v>
      </c>
      <c r="I68" s="85">
        <f t="shared" si="1"/>
        <v>0.8847405691712207</v>
      </c>
      <c r="J68" s="85">
        <f t="shared" si="6"/>
        <v>1.3166289142732075</v>
      </c>
      <c r="K68" s="21">
        <v>0.254</v>
      </c>
      <c r="L68" s="4">
        <f t="shared" si="7"/>
        <v>0.3344237442253947</v>
      </c>
      <c r="M68" s="2"/>
      <c r="N68" s="2"/>
    </row>
    <row r="69" spans="1:14" ht="12.75">
      <c r="A69" s="88">
        <v>38773</v>
      </c>
      <c r="B69" s="2">
        <f t="shared" si="8"/>
        <v>56</v>
      </c>
      <c r="C69" s="2">
        <f t="shared" si="2"/>
        <v>-24</v>
      </c>
      <c r="D69" s="85">
        <f t="shared" si="3"/>
        <v>-9.41218206658596</v>
      </c>
      <c r="E69" s="85">
        <f t="shared" si="0"/>
        <v>47.412182066585956</v>
      </c>
      <c r="F69" s="85">
        <f t="shared" si="4"/>
        <v>-0.16427356685908914</v>
      </c>
      <c r="G69" s="85">
        <f t="shared" si="4"/>
        <v>0.8274986826169343</v>
      </c>
      <c r="H69" s="85">
        <f t="shared" si="5"/>
        <v>0.676719447503689</v>
      </c>
      <c r="I69" s="85">
        <f t="shared" si="1"/>
        <v>0.8877175186931983</v>
      </c>
      <c r="J69" s="85">
        <f t="shared" si="6"/>
        <v>1.3117954892058266</v>
      </c>
      <c r="K69" s="21">
        <v>1.015</v>
      </c>
      <c r="L69" s="4">
        <f t="shared" si="7"/>
        <v>1.3314724215439138</v>
      </c>
      <c r="M69" s="2"/>
      <c r="N69" s="2"/>
    </row>
    <row r="70" spans="1:14" ht="12.75">
      <c r="A70" s="88">
        <v>38774</v>
      </c>
      <c r="B70" s="2">
        <f t="shared" si="8"/>
        <v>57</v>
      </c>
      <c r="C70" s="2">
        <f t="shared" si="2"/>
        <v>-23</v>
      </c>
      <c r="D70" s="85">
        <f t="shared" si="3"/>
        <v>-9.041189350934388</v>
      </c>
      <c r="E70" s="85">
        <f t="shared" si="0"/>
        <v>47.04118935093439</v>
      </c>
      <c r="F70" s="85">
        <f t="shared" si="4"/>
        <v>-0.15779852247005413</v>
      </c>
      <c r="G70" s="85">
        <f t="shared" si="4"/>
        <v>0.8210236382278994</v>
      </c>
      <c r="H70" s="85">
        <f t="shared" si="5"/>
        <v>0.6814724211691672</v>
      </c>
      <c r="I70" s="85">
        <f t="shared" si="1"/>
        <v>0.8906799248439998</v>
      </c>
      <c r="J70" s="85">
        <f t="shared" si="6"/>
        <v>1.3069933531806117</v>
      </c>
      <c r="K70" s="21">
        <v>2.284</v>
      </c>
      <c r="L70" s="4">
        <f t="shared" si="7"/>
        <v>2.985172818664517</v>
      </c>
      <c r="M70" s="2"/>
      <c r="N70" s="2"/>
    </row>
    <row r="71" spans="1:14" ht="12.75">
      <c r="A71" s="88">
        <v>38775</v>
      </c>
      <c r="B71" s="2">
        <f t="shared" si="8"/>
        <v>58</v>
      </c>
      <c r="C71" s="2">
        <f t="shared" si="2"/>
        <v>-22</v>
      </c>
      <c r="D71" s="85">
        <f t="shared" si="3"/>
        <v>-8.667519172690248</v>
      </c>
      <c r="E71" s="85">
        <f t="shared" si="0"/>
        <v>46.66751917269025</v>
      </c>
      <c r="F71" s="85">
        <f t="shared" si="4"/>
        <v>-0.15127674754317982</v>
      </c>
      <c r="G71" s="85">
        <f t="shared" si="4"/>
        <v>0.814501863301025</v>
      </c>
      <c r="H71" s="85">
        <f t="shared" si="5"/>
        <v>0.6862308151734429</v>
      </c>
      <c r="I71" s="85">
        <f t="shared" si="1"/>
        <v>0.8936259625248839</v>
      </c>
      <c r="J71" s="85">
        <f t="shared" si="6"/>
        <v>1.3022235999399452</v>
      </c>
      <c r="K71" s="21">
        <v>4.061</v>
      </c>
      <c r="L71" s="4">
        <f t="shared" si="7"/>
        <v>5.288330039356118</v>
      </c>
      <c r="M71" s="2"/>
      <c r="N71" s="2"/>
    </row>
    <row r="72" spans="1:14" ht="12.75">
      <c r="A72" s="88">
        <v>38776</v>
      </c>
      <c r="B72" s="2">
        <f t="shared" si="8"/>
        <v>59</v>
      </c>
      <c r="C72" s="2">
        <f t="shared" si="2"/>
        <v>-21</v>
      </c>
      <c r="D72" s="85">
        <f t="shared" si="3"/>
        <v>-8.291282190737604</v>
      </c>
      <c r="E72" s="85">
        <f t="shared" si="0"/>
        <v>46.291282190737604</v>
      </c>
      <c r="F72" s="85">
        <f t="shared" si="4"/>
        <v>-0.14471017344033968</v>
      </c>
      <c r="G72" s="85">
        <f t="shared" si="4"/>
        <v>0.8079352891981849</v>
      </c>
      <c r="H72" s="85">
        <f t="shared" si="5"/>
        <v>0.6909924057657952</v>
      </c>
      <c r="I72" s="85">
        <f t="shared" si="1"/>
        <v>0.8965538352704202</v>
      </c>
      <c r="J72" s="85">
        <f t="shared" si="6"/>
        <v>1.2974872484695554</v>
      </c>
      <c r="K72" s="21">
        <v>4.061</v>
      </c>
      <c r="L72" s="4">
        <f t="shared" si="7"/>
        <v>5.269095716034864</v>
      </c>
      <c r="M72" s="2"/>
      <c r="N72" s="2"/>
    </row>
    <row r="73" spans="1:14" ht="12.75">
      <c r="A73" s="88">
        <v>38777</v>
      </c>
      <c r="B73" s="2">
        <f t="shared" si="8"/>
        <v>60</v>
      </c>
      <c r="C73" s="2">
        <f t="shared" si="2"/>
        <v>-20</v>
      </c>
      <c r="D73" s="85">
        <f t="shared" si="3"/>
        <v>-7.912589824095129</v>
      </c>
      <c r="E73" s="85">
        <f t="shared" si="0"/>
        <v>45.91258982409513</v>
      </c>
      <c r="F73" s="85">
        <f t="shared" si="4"/>
        <v>-0.13810074479025894</v>
      </c>
      <c r="G73" s="85">
        <f t="shared" si="4"/>
        <v>0.8013258605481042</v>
      </c>
      <c r="H73" s="85">
        <f t="shared" si="5"/>
        <v>0.6957549831135312</v>
      </c>
      <c r="I73" s="85">
        <f t="shared" si="1"/>
        <v>0.8994617770863567</v>
      </c>
      <c r="J73" s="85">
        <f t="shared" si="6"/>
        <v>1.2927852461239004</v>
      </c>
      <c r="K73" s="21">
        <v>1.269</v>
      </c>
      <c r="L73" s="4">
        <f t="shared" si="7"/>
        <v>1.6405444773312294</v>
      </c>
      <c r="M73" s="2"/>
      <c r="N73" s="2"/>
    </row>
    <row r="74" spans="1:14" ht="12.75">
      <c r="A74" s="88">
        <v>38778</v>
      </c>
      <c r="B74" s="2">
        <f t="shared" si="8"/>
        <v>61</v>
      </c>
      <c r="C74" s="2">
        <f t="shared" si="2"/>
        <v>-19</v>
      </c>
      <c r="D74" s="85">
        <f t="shared" si="3"/>
        <v>-7.531554218920418</v>
      </c>
      <c r="E74" s="85">
        <f t="shared" si="0"/>
        <v>45.53155421892042</v>
      </c>
      <c r="F74" s="85">
        <f t="shared" si="4"/>
        <v>-0.1314504189126311</v>
      </c>
      <c r="G74" s="85">
        <f t="shared" si="4"/>
        <v>0.7946755346704764</v>
      </c>
      <c r="H74" s="85">
        <f t="shared" si="5"/>
        <v>0.7005163531645838</v>
      </c>
      <c r="I74" s="85">
        <f t="shared" si="1"/>
        <v>0.9023480542562645</v>
      </c>
      <c r="J74" s="85">
        <f t="shared" si="6"/>
        <v>1.2881184717243297</v>
      </c>
      <c r="K74" s="21">
        <v>0.761</v>
      </c>
      <c r="L74" s="4">
        <f t="shared" si="7"/>
        <v>0.9802581569822149</v>
      </c>
      <c r="M74" s="2"/>
      <c r="N74" s="2"/>
    </row>
    <row r="75" spans="1:14" ht="12.75">
      <c r="A75" s="88">
        <v>38779</v>
      </c>
      <c r="B75" s="2">
        <f t="shared" si="8"/>
        <v>62</v>
      </c>
      <c r="C75" s="2">
        <f t="shared" si="2"/>
        <v>-18</v>
      </c>
      <c r="D75" s="85">
        <f t="shared" si="3"/>
        <v>-7.14828821529896</v>
      </c>
      <c r="E75" s="85">
        <f t="shared" si="0"/>
        <v>45.14828821529896</v>
      </c>
      <c r="F75" s="85">
        <f t="shared" si="4"/>
        <v>-0.12476116523847615</v>
      </c>
      <c r="G75" s="85">
        <f t="shared" si="4"/>
        <v>0.7879862809963214</v>
      </c>
      <c r="H75" s="85">
        <f t="shared" si="5"/>
        <v>0.7052743395009687</v>
      </c>
      <c r="I75" s="85">
        <f t="shared" si="1"/>
        <v>0.9052109671140127</v>
      </c>
      <c r="J75" s="85">
        <f t="shared" si="6"/>
        <v>1.2834877386217018</v>
      </c>
      <c r="K75" s="21">
        <v>1.269</v>
      </c>
      <c r="L75" s="4">
        <f t="shared" si="7"/>
        <v>1.6287459403109394</v>
      </c>
      <c r="M75" s="2"/>
      <c r="N75" s="2"/>
    </row>
    <row r="76" spans="1:14" ht="12.75">
      <c r="A76" s="88">
        <v>38780</v>
      </c>
      <c r="B76" s="2">
        <f t="shared" si="8"/>
        <v>63</v>
      </c>
      <c r="C76" s="2">
        <f t="shared" si="2"/>
        <v>-17</v>
      </c>
      <c r="D76" s="85">
        <f t="shared" si="3"/>
        <v>-6.76290531382762</v>
      </c>
      <c r="E76" s="85">
        <f t="shared" si="0"/>
        <v>44.762905313827616</v>
      </c>
      <c r="F76" s="85">
        <f t="shared" si="4"/>
        <v>-0.11803496472691236</v>
      </c>
      <c r="G76" s="85">
        <f t="shared" si="4"/>
        <v>0.7812600804847575</v>
      </c>
      <c r="H76" s="85">
        <f t="shared" si="5"/>
        <v>0.7100267851801384</v>
      </c>
      <c r="I76" s="85">
        <f t="shared" si="1"/>
        <v>0.9080488517791387</v>
      </c>
      <c r="J76" s="85">
        <f t="shared" si="6"/>
        <v>1.2788937977160408</v>
      </c>
      <c r="K76" s="21">
        <v>1</v>
      </c>
      <c r="L76" s="4">
        <f t="shared" si="7"/>
        <v>1.2788937977160408</v>
      </c>
      <c r="M76" s="2"/>
      <c r="N76" s="2"/>
    </row>
    <row r="77" spans="1:14" ht="12.75">
      <c r="A77" s="88">
        <v>38781</v>
      </c>
      <c r="B77" s="2">
        <f t="shared" si="8"/>
        <v>64</v>
      </c>
      <c r="C77" s="2">
        <f t="shared" si="2"/>
        <v>-16</v>
      </c>
      <c r="D77" s="85">
        <f t="shared" si="3"/>
        <v>-6.375519642002509</v>
      </c>
      <c r="E77" s="85">
        <f t="shared" si="0"/>
        <v>44.37551964200251</v>
      </c>
      <c r="F77" s="85">
        <f t="shared" si="4"/>
        <v>-0.11127380927851394</v>
      </c>
      <c r="G77" s="85">
        <f t="shared" si="4"/>
        <v>0.7744989250363592</v>
      </c>
      <c r="H77" s="85">
        <f t="shared" si="5"/>
        <v>0.7147715545612444</v>
      </c>
      <c r="I77" s="85">
        <f t="shared" si="1"/>
        <v>0.9108600818522163</v>
      </c>
      <c r="J77" s="85">
        <f t="shared" si="6"/>
        <v>1.2743373404266751</v>
      </c>
      <c r="K77" s="21">
        <v>0.761</v>
      </c>
      <c r="L77" s="4">
        <f t="shared" si="7"/>
        <v>0.9697707160646998</v>
      </c>
      <c r="M77" s="2"/>
      <c r="N77" s="2"/>
    </row>
    <row r="78" spans="1:14" ht="12.75">
      <c r="A78" s="88">
        <v>38782</v>
      </c>
      <c r="B78" s="2">
        <f t="shared" si="8"/>
        <v>65</v>
      </c>
      <c r="C78" s="2">
        <f t="shared" si="2"/>
        <v>-15</v>
      </c>
      <c r="D78" s="85">
        <f t="shared" si="3"/>
        <v>-5.986245920421213</v>
      </c>
      <c r="E78" s="85">
        <f aca="true" t="shared" si="9" ref="E78:E141">C$9-D78</f>
        <v>43.98624592042121</v>
      </c>
      <c r="F78" s="85">
        <f t="shared" si="4"/>
        <v>-0.10447970114542864</v>
      </c>
      <c r="G78" s="85">
        <f t="shared" si="4"/>
        <v>0.7677048169032739</v>
      </c>
      <c r="H78" s="85">
        <f t="shared" si="5"/>
        <v>0.7195065351133058</v>
      </c>
      <c r="I78" s="85">
        <f aca="true" t="shared" si="10" ref="I78:I141">COS(D$10)*COS(G78)+SIN(D$10)*SIN(G78)*COS(RADIANS(180)-D$11)</f>
        <v>0.9136430700673546</v>
      </c>
      <c r="J78" s="85">
        <f t="shared" si="6"/>
        <v>1.26981900160709</v>
      </c>
      <c r="K78" s="21">
        <v>2.284</v>
      </c>
      <c r="L78" s="4">
        <f t="shared" si="7"/>
        <v>2.9002665996705934</v>
      </c>
      <c r="M78" s="2"/>
      <c r="N78" s="2"/>
    </row>
    <row r="79" spans="1:14" ht="12.75">
      <c r="A79" s="88">
        <v>38783</v>
      </c>
      <c r="B79" s="2">
        <f t="shared" si="8"/>
        <v>66</v>
      </c>
      <c r="C79" s="2">
        <f aca="true" t="shared" si="11" ref="C79:C142">(B79-80)</f>
        <v>-14</v>
      </c>
      <c r="D79" s="85">
        <f aca="true" t="shared" si="12" ref="D79:D142">23.45*SIN(RADIANS(0.986*C79))</f>
        <v>-5.59519942880937</v>
      </c>
      <c r="E79" s="85">
        <f t="shared" si="9"/>
        <v>43.59519942880937</v>
      </c>
      <c r="F79" s="85">
        <f aca="true" t="shared" si="13" ref="F79:G142">RADIANS(D79)</f>
        <v>-0.09765465233842958</v>
      </c>
      <c r="G79" s="85">
        <f t="shared" si="13"/>
        <v>0.7608797680962749</v>
      </c>
      <c r="H79" s="85">
        <f aca="true" t="shared" si="14" ref="H79:H142">COS(0)*COS(G79)+SIN(0)*SIN(G79)*COS(RADIANS(180-0))</f>
        <v>0.7242296392022586</v>
      </c>
      <c r="I79" s="85">
        <f t="shared" si="10"/>
        <v>0.9163962698990054</v>
      </c>
      <c r="J79" s="85">
        <f aca="true" t="shared" si="15" ref="J79:J142">I79/H79</f>
        <v>1.2653393623994993</v>
      </c>
      <c r="K79" s="21">
        <v>2.538</v>
      </c>
      <c r="L79" s="4">
        <f aca="true" t="shared" si="16" ref="L79:L142">J79*K79</f>
        <v>3.2114313017699287</v>
      </c>
      <c r="M79" s="2"/>
      <c r="N79" s="2"/>
    </row>
    <row r="80" spans="1:14" ht="12.75">
      <c r="A80" s="88">
        <v>38784</v>
      </c>
      <c r="B80" s="2">
        <f aca="true" t="shared" si="17" ref="B80:B143">B79+1</f>
        <v>67</v>
      </c>
      <c r="C80" s="2">
        <f t="shared" si="11"/>
        <v>-13</v>
      </c>
      <c r="D80" s="85">
        <f t="shared" si="12"/>
        <v>-5.202495971881668</v>
      </c>
      <c r="E80" s="85">
        <f t="shared" si="9"/>
        <v>43.20249597188167</v>
      </c>
      <c r="F80" s="85">
        <f t="shared" si="13"/>
        <v>-0.09080068403107745</v>
      </c>
      <c r="G80" s="85">
        <f t="shared" si="13"/>
        <v>0.7540257997889227</v>
      </c>
      <c r="H80" s="85">
        <f t="shared" si="14"/>
        <v>0.7289388058538702</v>
      </c>
      <c r="I80" s="85">
        <f t="shared" si="10"/>
        <v>0.9191181771203087</v>
      </c>
      <c r="J80" s="85">
        <f t="shared" si="15"/>
        <v>1.2608989530248218</v>
      </c>
      <c r="K80" s="21">
        <v>2.031</v>
      </c>
      <c r="L80" s="4">
        <f t="shared" si="16"/>
        <v>2.560885773593413</v>
      </c>
      <c r="M80" s="2"/>
      <c r="N80" s="2"/>
    </row>
    <row r="81" spans="1:14" ht="12.75">
      <c r="A81" s="88">
        <v>38785</v>
      </c>
      <c r="B81" s="2">
        <f t="shared" si="17"/>
        <v>68</v>
      </c>
      <c r="C81" s="2">
        <f t="shared" si="11"/>
        <v>-12</v>
      </c>
      <c r="D81" s="85">
        <f t="shared" si="12"/>
        <v>-4.8082518450473835</v>
      </c>
      <c r="E81" s="85">
        <f t="shared" si="9"/>
        <v>42.80825184504738</v>
      </c>
      <c r="F81" s="85">
        <f t="shared" si="13"/>
        <v>-0.08391982596116905</v>
      </c>
      <c r="G81" s="85">
        <f t="shared" si="13"/>
        <v>0.7471449417190142</v>
      </c>
      <c r="H81" s="85">
        <f t="shared" si="14"/>
        <v>0.7336320024894954</v>
      </c>
      <c r="I81" s="85">
        <f t="shared" si="10"/>
        <v>0.9218073313102652</v>
      </c>
      <c r="J81" s="85">
        <f t="shared" si="15"/>
        <v>1.2564982555044197</v>
      </c>
      <c r="K81" s="21">
        <v>2.792</v>
      </c>
      <c r="L81" s="4">
        <f t="shared" si="16"/>
        <v>3.5081431293683396</v>
      </c>
      <c r="M81" s="2"/>
      <c r="N81" s="2"/>
    </row>
    <row r="82" spans="1:14" ht="12.75">
      <c r="A82" s="88">
        <v>38786</v>
      </c>
      <c r="B82" s="2">
        <f t="shared" si="17"/>
        <v>69</v>
      </c>
      <c r="C82" s="2">
        <f t="shared" si="11"/>
        <v>-11</v>
      </c>
      <c r="D82" s="85">
        <f t="shared" si="12"/>
        <v>-4.412583799970589</v>
      </c>
      <c r="E82" s="85">
        <f t="shared" si="9"/>
        <v>42.41258379997059</v>
      </c>
      <c r="F82" s="85">
        <f t="shared" si="13"/>
        <v>-0.07701411582964965</v>
      </c>
      <c r="G82" s="85">
        <f t="shared" si="13"/>
        <v>0.7402392315874949</v>
      </c>
      <c r="H82" s="85">
        <f t="shared" si="14"/>
        <v>0.7383072266316744</v>
      </c>
      <c r="I82" s="85">
        <f t="shared" si="10"/>
        <v>0.9244623173070895</v>
      </c>
      <c r="J82" s="85">
        <f t="shared" si="15"/>
        <v>1.2521377063105519</v>
      </c>
      <c r="K82" s="21">
        <v>3.807</v>
      </c>
      <c r="L82" s="4">
        <f t="shared" si="16"/>
        <v>4.766888247924271</v>
      </c>
      <c r="M82" s="2"/>
      <c r="N82" s="2"/>
    </row>
    <row r="83" spans="1:14" ht="12.75">
      <c r="A83" s="88">
        <v>38787</v>
      </c>
      <c r="B83" s="2">
        <f t="shared" si="17"/>
        <v>70</v>
      </c>
      <c r="C83" s="2">
        <f t="shared" si="11"/>
        <v>-10</v>
      </c>
      <c r="D83" s="85">
        <f t="shared" si="12"/>
        <v>-4.015609009995262</v>
      </c>
      <c r="E83" s="85">
        <f t="shared" si="9"/>
        <v>42.01560900999526</v>
      </c>
      <c r="F83" s="85">
        <f t="shared" si="13"/>
        <v>-0.07008559869716721</v>
      </c>
      <c r="G83" s="85">
        <f t="shared" si="13"/>
        <v>0.7333107144550124</v>
      </c>
      <c r="H83" s="85">
        <f t="shared" si="14"/>
        <v>0.7429625075765826</v>
      </c>
      <c r="I83" s="85">
        <f t="shared" si="10"/>
        <v>0.927081766605174</v>
      </c>
      <c r="J83" s="85">
        <f t="shared" si="15"/>
        <v>1.247817698943056</v>
      </c>
      <c r="K83" s="21">
        <v>2.792</v>
      </c>
      <c r="L83" s="4">
        <f t="shared" si="16"/>
        <v>3.483907015449012</v>
      </c>
      <c r="M83" s="2"/>
      <c r="N83" s="2"/>
    </row>
    <row r="84" spans="1:14" ht="12.75">
      <c r="A84" s="88">
        <v>38788</v>
      </c>
      <c r="B84" s="2">
        <f t="shared" si="17"/>
        <v>71</v>
      </c>
      <c r="C84" s="2">
        <f t="shared" si="11"/>
        <v>-9</v>
      </c>
      <c r="D84" s="85">
        <f t="shared" si="12"/>
        <v>-3.617445035445504</v>
      </c>
      <c r="E84" s="85">
        <f t="shared" si="9"/>
        <v>41.617445035445506</v>
      </c>
      <c r="F84" s="85">
        <f t="shared" si="13"/>
        <v>-0.06313632637844702</v>
      </c>
      <c r="G84" s="85">
        <f t="shared" si="13"/>
        <v>0.7263614421362923</v>
      </c>
      <c r="H84" s="85">
        <f t="shared" si="14"/>
        <v>0.7475959080303818</v>
      </c>
      <c r="I84" s="85">
        <f t="shared" si="10"/>
        <v>0.929664358693171</v>
      </c>
      <c r="J84" s="85">
        <f t="shared" si="15"/>
        <v>1.2435385864302912</v>
      </c>
      <c r="K84" s="21">
        <v>3.553</v>
      </c>
      <c r="L84" s="4">
        <f t="shared" si="16"/>
        <v>4.418292597586825</v>
      </c>
      <c r="M84" s="2"/>
      <c r="N84" s="2"/>
    </row>
    <row r="85" spans="1:14" ht="12.75">
      <c r="A85" s="88">
        <v>38789</v>
      </c>
      <c r="B85" s="2">
        <f t="shared" si="17"/>
        <v>72</v>
      </c>
      <c r="C85" s="2">
        <f t="shared" si="11"/>
        <v>-8</v>
      </c>
      <c r="D85" s="85">
        <f t="shared" si="12"/>
        <v>-3.2182097888111625</v>
      </c>
      <c r="E85" s="85">
        <f t="shared" si="9"/>
        <v>41.218209788811166</v>
      </c>
      <c r="F85" s="85">
        <f t="shared" si="13"/>
        <v>-0.05616835683466616</v>
      </c>
      <c r="G85" s="85">
        <f t="shared" si="13"/>
        <v>0.7193934725925114</v>
      </c>
      <c r="H85" s="85">
        <f t="shared" si="14"/>
        <v>0.752205525706554</v>
      </c>
      <c r="I85" s="85">
        <f t="shared" si="10"/>
        <v>0.9322088223307932</v>
      </c>
      <c r="J85" s="85">
        <f t="shared" si="15"/>
        <v>1.239300683752835</v>
      </c>
      <c r="K85" s="21">
        <v>3.046</v>
      </c>
      <c r="L85" s="4">
        <f t="shared" si="16"/>
        <v>3.7749098827111354</v>
      </c>
      <c r="M85" s="2"/>
      <c r="N85" s="2"/>
    </row>
    <row r="86" spans="1:14" ht="12.75">
      <c r="A86" s="88">
        <v>38790</v>
      </c>
      <c r="B86" s="2">
        <f t="shared" si="17"/>
        <v>73</v>
      </c>
      <c r="C86" s="2">
        <f t="shared" si="11"/>
        <v>-7</v>
      </c>
      <c r="D86" s="85">
        <f t="shared" si="12"/>
        <v>-2.8180214998291695</v>
      </c>
      <c r="E86" s="85">
        <f t="shared" si="9"/>
        <v>40.81802149982917</v>
      </c>
      <c r="F86" s="85">
        <f t="shared" si="13"/>
        <v>-0.04918375356400783</v>
      </c>
      <c r="G86" s="85">
        <f t="shared" si="13"/>
        <v>0.7124088693218531</v>
      </c>
      <c r="H86" s="85">
        <f t="shared" si="14"/>
        <v>0.7567894948813425</v>
      </c>
      <c r="I86" s="85">
        <f t="shared" si="10"/>
        <v>0.9347139367620223</v>
      </c>
      <c r="J86" s="85">
        <f t="shared" si="15"/>
        <v>1.2351042701888677</v>
      </c>
      <c r="K86" s="21">
        <v>3.3</v>
      </c>
      <c r="L86" s="4">
        <f t="shared" si="16"/>
        <v>4.075844091623263</v>
      </c>
      <c r="M86" s="2"/>
      <c r="N86" s="2"/>
    </row>
    <row r="87" spans="1:14" ht="12.75">
      <c r="A87" s="88">
        <v>38791</v>
      </c>
      <c r="B87" s="2">
        <f t="shared" si="17"/>
        <v>74</v>
      </c>
      <c r="C87" s="2">
        <f t="shared" si="11"/>
        <v>-6</v>
      </c>
      <c r="D87" s="85">
        <f t="shared" si="12"/>
        <v>-2.4169986804709187</v>
      </c>
      <c r="E87" s="85">
        <f t="shared" si="9"/>
        <v>40.41699868047092</v>
      </c>
      <c r="F87" s="85">
        <f t="shared" si="13"/>
        <v>-0.0421845849905759</v>
      </c>
      <c r="G87" s="85">
        <f t="shared" si="13"/>
        <v>0.7054097007484211</v>
      </c>
      <c r="H87" s="85">
        <f t="shared" si="14"/>
        <v>0.7613459879044867</v>
      </c>
      <c r="I87" s="85">
        <f t="shared" si="10"/>
        <v>0.9371785328625218</v>
      </c>
      <c r="J87" s="85">
        <f t="shared" si="15"/>
        <v>1.2309495915805546</v>
      </c>
      <c r="K87" s="21">
        <v>1.777</v>
      </c>
      <c r="L87" s="4">
        <f t="shared" si="16"/>
        <v>2.1873974242386454</v>
      </c>
      <c r="M87" s="2"/>
      <c r="N87" s="2"/>
    </row>
    <row r="88" spans="1:14" ht="12.75">
      <c r="A88" s="88">
        <v>38792</v>
      </c>
      <c r="B88" s="2">
        <f t="shared" si="17"/>
        <v>75</v>
      </c>
      <c r="C88" s="2">
        <f t="shared" si="11"/>
        <v>-5</v>
      </c>
      <c r="D88" s="85">
        <f t="shared" si="12"/>
        <v>-2.015260089846071</v>
      </c>
      <c r="E88" s="85">
        <f t="shared" si="9"/>
        <v>40.01526008984607</v>
      </c>
      <c r="F88" s="85">
        <f t="shared" si="13"/>
        <v>-0.03517292385185069</v>
      </c>
      <c r="G88" s="85">
        <f t="shared" si="13"/>
        <v>0.6983980396096959</v>
      </c>
      <c r="H88" s="85">
        <f t="shared" si="14"/>
        <v>0.7658732166624899</v>
      </c>
      <c r="I88" s="85">
        <f t="shared" si="10"/>
        <v>0.9396014942191562</v>
      </c>
      <c r="J88" s="85">
        <f t="shared" si="15"/>
        <v>1.226836862521106</v>
      </c>
      <c r="K88" s="21">
        <v>3.3</v>
      </c>
      <c r="L88" s="4">
        <f t="shared" si="16"/>
        <v>4.04856164631965</v>
      </c>
      <c r="M88" s="2"/>
      <c r="N88" s="2"/>
    </row>
    <row r="89" spans="1:14" ht="12.75">
      <c r="A89" s="88">
        <v>38793</v>
      </c>
      <c r="B89" s="2">
        <f t="shared" si="17"/>
        <v>76</v>
      </c>
      <c r="C89" s="2">
        <f t="shared" si="11"/>
        <v>-4</v>
      </c>
      <c r="D89" s="85">
        <f t="shared" si="12"/>
        <v>-1.6129246990331714</v>
      </c>
      <c r="E89" s="85">
        <f t="shared" si="9"/>
        <v>39.61292469903317</v>
      </c>
      <c r="F89" s="85">
        <f t="shared" si="13"/>
        <v>-0.02815084658486744</v>
      </c>
      <c r="G89" s="85">
        <f t="shared" si="13"/>
        <v>0.6913759623427127</v>
      </c>
      <c r="H89" s="85">
        <f t="shared" si="14"/>
        <v>0.770369433991734</v>
      </c>
      <c r="I89" s="85">
        <f t="shared" si="10"/>
        <v>0.9419817581396281</v>
      </c>
      <c r="J89" s="85">
        <f t="shared" si="15"/>
        <v>1.2227662684624836</v>
      </c>
      <c r="K89" s="21">
        <v>3.3</v>
      </c>
      <c r="L89" s="4">
        <f t="shared" si="16"/>
        <v>4.035128685926195</v>
      </c>
      <c r="M89" s="2"/>
      <c r="N89" s="2"/>
    </row>
    <row r="90" spans="1:14" ht="12.75">
      <c r="A90" s="88">
        <v>38794</v>
      </c>
      <c r="B90" s="2">
        <f t="shared" si="17"/>
        <v>77</v>
      </c>
      <c r="C90" s="2">
        <f t="shared" si="11"/>
        <v>-3</v>
      </c>
      <c r="D90" s="85">
        <f t="shared" si="12"/>
        <v>-1.2101116558474845</v>
      </c>
      <c r="E90" s="85">
        <f t="shared" si="9"/>
        <v>39.210111655847484</v>
      </c>
      <c r="F90" s="85">
        <f t="shared" si="13"/>
        <v>-0.021120432711299097</v>
      </c>
      <c r="G90" s="85">
        <f t="shared" si="13"/>
        <v>0.6843455484691443</v>
      </c>
      <c r="H90" s="85">
        <f t="shared" si="14"/>
        <v>0.7748329350388313</v>
      </c>
      <c r="I90" s="85">
        <f t="shared" si="10"/>
        <v>0.9443183165903751</v>
      </c>
      <c r="J90" s="85">
        <f t="shared" si="15"/>
        <v>1.2187379677440402</v>
      </c>
      <c r="K90" s="21">
        <v>3.553</v>
      </c>
      <c r="L90" s="4">
        <f t="shared" si="16"/>
        <v>4.330175999394575</v>
      </c>
      <c r="M90" s="2"/>
      <c r="N90" s="2"/>
    </row>
    <row r="91" spans="1:14" ht="12.75">
      <c r="A91" s="88">
        <v>38795</v>
      </c>
      <c r="B91" s="2">
        <f t="shared" si="17"/>
        <v>78</v>
      </c>
      <c r="C91" s="2">
        <f t="shared" si="11"/>
        <v>-2</v>
      </c>
      <c r="D91" s="85">
        <f t="shared" si="12"/>
        <v>-0.8069402495565016</v>
      </c>
      <c r="E91" s="85">
        <f t="shared" si="9"/>
        <v>38.806940249556504</v>
      </c>
      <c r="F91" s="85">
        <f t="shared" si="13"/>
        <v>-0.014083764221625664</v>
      </c>
      <c r="G91" s="85">
        <f t="shared" si="13"/>
        <v>0.677308879979471</v>
      </c>
      <c r="H91" s="85">
        <f t="shared" si="14"/>
        <v>0.7792620585656863</v>
      </c>
      <c r="I91" s="85">
        <f t="shared" si="10"/>
        <v>0.9466102170609796</v>
      </c>
      <c r="J91" s="85">
        <f t="shared" si="15"/>
        <v>1.2147520935425948</v>
      </c>
      <c r="K91" s="21">
        <v>3.3</v>
      </c>
      <c r="L91" s="4">
        <f t="shared" si="16"/>
        <v>4.008681908690563</v>
      </c>
      <c r="M91" s="2"/>
      <c r="N91" s="2"/>
    </row>
    <row r="92" spans="1:14" ht="12.75">
      <c r="A92" s="88">
        <v>38796</v>
      </c>
      <c r="B92" s="2">
        <f t="shared" si="17"/>
        <v>79</v>
      </c>
      <c r="C92" s="2">
        <f t="shared" si="11"/>
        <v>-1</v>
      </c>
      <c r="D92" s="85">
        <f t="shared" si="12"/>
        <v>-0.40352987555355485</v>
      </c>
      <c r="E92" s="85">
        <f t="shared" si="9"/>
        <v>38.40352987555355</v>
      </c>
      <c r="F92" s="85">
        <f t="shared" si="13"/>
        <v>-0.007042924958572508</v>
      </c>
      <c r="G92" s="85">
        <f t="shared" si="13"/>
        <v>0.6702680407164177</v>
      </c>
      <c r="H92" s="85">
        <f t="shared" si="14"/>
        <v>0.7836551881968346</v>
      </c>
      <c r="I92" s="85">
        <f t="shared" si="10"/>
        <v>0.9488565633534869</v>
      </c>
      <c r="J92" s="85">
        <f t="shared" si="15"/>
        <v>1.2108087557446987</v>
      </c>
      <c r="K92" s="21">
        <v>3.807</v>
      </c>
      <c r="L92" s="4">
        <f t="shared" si="16"/>
        <v>4.609548933120068</v>
      </c>
      <c r="M92" s="2"/>
      <c r="N92" s="2"/>
    </row>
    <row r="93" spans="1:14" ht="12.75">
      <c r="A93" s="88">
        <v>38797</v>
      </c>
      <c r="B93" s="2">
        <f t="shared" si="17"/>
        <v>80</v>
      </c>
      <c r="C93" s="2">
        <f t="shared" si="11"/>
        <v>0</v>
      </c>
      <c r="D93" s="85">
        <f t="shared" si="12"/>
        <v>0</v>
      </c>
      <c r="E93" s="85">
        <f t="shared" si="9"/>
        <v>38</v>
      </c>
      <c r="F93" s="85">
        <f t="shared" si="13"/>
        <v>0</v>
      </c>
      <c r="G93" s="85">
        <f t="shared" si="13"/>
        <v>0.6632251157578453</v>
      </c>
      <c r="H93" s="85">
        <f t="shared" si="14"/>
        <v>0.7880107536067219</v>
      </c>
      <c r="I93" s="85">
        <f t="shared" si="10"/>
        <v>0.9510565162951535</v>
      </c>
      <c r="J93" s="85">
        <f t="shared" si="15"/>
        <v>1.2069080427420207</v>
      </c>
      <c r="K93" s="21">
        <v>3.3</v>
      </c>
      <c r="L93" s="4">
        <f t="shared" si="16"/>
        <v>3.982796541048668</v>
      </c>
      <c r="M93" s="2"/>
      <c r="N93" s="2"/>
    </row>
    <row r="94" spans="1:14" ht="12.75">
      <c r="A94" s="88">
        <v>38798</v>
      </c>
      <c r="B94" s="2">
        <f t="shared" si="17"/>
        <v>81</v>
      </c>
      <c r="C94" s="2">
        <f t="shared" si="11"/>
        <v>1</v>
      </c>
      <c r="D94" s="85">
        <f t="shared" si="12"/>
        <v>0.40352987555355485</v>
      </c>
      <c r="E94" s="85">
        <f t="shared" si="9"/>
        <v>37.59647012444645</v>
      </c>
      <c r="F94" s="85">
        <f t="shared" si="13"/>
        <v>0.007042924958572508</v>
      </c>
      <c r="G94" s="85">
        <f t="shared" si="13"/>
        <v>0.6561821907992728</v>
      </c>
      <c r="H94" s="85">
        <f t="shared" si="14"/>
        <v>0.7923272316446971</v>
      </c>
      <c r="I94" s="85">
        <f t="shared" si="10"/>
        <v>0.9532092943732896</v>
      </c>
      <c r="J94" s="85">
        <f t="shared" si="15"/>
        <v>1.2030500231509609</v>
      </c>
      <c r="K94" s="21">
        <v>2.538</v>
      </c>
      <c r="L94" s="4">
        <f t="shared" si="16"/>
        <v>3.0533409587571385</v>
      </c>
      <c r="M94" s="2"/>
      <c r="N94" s="2"/>
    </row>
    <row r="95" spans="1:14" ht="12.75">
      <c r="A95" s="88">
        <v>38799</v>
      </c>
      <c r="B95" s="2">
        <f t="shared" si="17"/>
        <v>82</v>
      </c>
      <c r="C95" s="2">
        <f t="shared" si="11"/>
        <v>2</v>
      </c>
      <c r="D95" s="85">
        <f t="shared" si="12"/>
        <v>0.8069402495565016</v>
      </c>
      <c r="E95" s="85">
        <f t="shared" si="9"/>
        <v>37.193059750443496</v>
      </c>
      <c r="F95" s="85">
        <f t="shared" si="13"/>
        <v>0.014083764221625664</v>
      </c>
      <c r="G95" s="85">
        <f t="shared" si="13"/>
        <v>0.6491413515362195</v>
      </c>
      <c r="H95" s="85">
        <f t="shared" si="14"/>
        <v>0.7966031473955958</v>
      </c>
      <c r="I95" s="85">
        <f t="shared" si="10"/>
        <v>0.955314174291003</v>
      </c>
      <c r="J95" s="85">
        <f t="shared" si="15"/>
        <v>1.199234747457746</v>
      </c>
      <c r="K95" s="21">
        <v>3.553</v>
      </c>
      <c r="L95" s="4">
        <f t="shared" si="16"/>
        <v>4.260881057717372</v>
      </c>
      <c r="M95" s="2"/>
      <c r="N95" s="2"/>
    </row>
    <row r="96" spans="1:14" ht="12.75">
      <c r="A96" s="88">
        <v>38800</v>
      </c>
      <c r="B96" s="2">
        <f t="shared" si="17"/>
        <v>83</v>
      </c>
      <c r="C96" s="2">
        <f t="shared" si="11"/>
        <v>3</v>
      </c>
      <c r="D96" s="85">
        <f t="shared" si="12"/>
        <v>1.2101116558474845</v>
      </c>
      <c r="E96" s="85">
        <f t="shared" si="9"/>
        <v>36.789888344152516</v>
      </c>
      <c r="F96" s="85">
        <f t="shared" si="13"/>
        <v>0.021120432711299097</v>
      </c>
      <c r="G96" s="85">
        <f t="shared" si="13"/>
        <v>0.6421046830465461</v>
      </c>
      <c r="H96" s="85">
        <f t="shared" si="14"/>
        <v>0.8008370751739196</v>
      </c>
      <c r="I96" s="85">
        <f t="shared" si="10"/>
        <v>0.9573704914427961</v>
      </c>
      <c r="J96" s="85">
        <f t="shared" si="15"/>
        <v>1.1954622495903824</v>
      </c>
      <c r="K96" s="21">
        <v>1.523</v>
      </c>
      <c r="L96" s="4">
        <f t="shared" si="16"/>
        <v>1.8206890061261523</v>
      </c>
      <c r="M96" s="2"/>
      <c r="N96" s="2"/>
    </row>
    <row r="97" spans="1:14" ht="12.75">
      <c r="A97" s="88">
        <v>38801</v>
      </c>
      <c r="B97" s="2">
        <f t="shared" si="17"/>
        <v>84</v>
      </c>
      <c r="C97" s="2">
        <f t="shared" si="11"/>
        <v>4</v>
      </c>
      <c r="D97" s="85">
        <f t="shared" si="12"/>
        <v>1.6129246990331714</v>
      </c>
      <c r="E97" s="85">
        <f t="shared" si="9"/>
        <v>36.38707530096683</v>
      </c>
      <c r="F97" s="85">
        <f t="shared" si="13"/>
        <v>0.02815084658486744</v>
      </c>
      <c r="G97" s="85">
        <f t="shared" si="13"/>
        <v>0.6350742691729778</v>
      </c>
      <c r="H97" s="85">
        <f t="shared" si="14"/>
        <v>0.8050276394497315</v>
      </c>
      <c r="I97" s="85">
        <f t="shared" si="10"/>
        <v>0.9593776403091185</v>
      </c>
      <c r="J97" s="85">
        <f t="shared" si="15"/>
        <v>1.1917325484189478</v>
      </c>
      <c r="K97" s="21">
        <v>3.3</v>
      </c>
      <c r="L97" s="4">
        <f t="shared" si="16"/>
        <v>3.9327174097825277</v>
      </c>
      <c r="M97" s="2"/>
      <c r="N97" s="2"/>
    </row>
    <row r="98" spans="1:14" ht="12.75">
      <c r="A98" s="88">
        <v>38802</v>
      </c>
      <c r="B98" s="2">
        <f t="shared" si="17"/>
        <v>85</v>
      </c>
      <c r="C98" s="2">
        <f t="shared" si="11"/>
        <v>5</v>
      </c>
      <c r="D98" s="85">
        <f t="shared" si="12"/>
        <v>2.015260089846071</v>
      </c>
      <c r="E98" s="85">
        <f t="shared" si="9"/>
        <v>35.98473991015393</v>
      </c>
      <c r="F98" s="85">
        <f t="shared" si="13"/>
        <v>0.03517292385185069</v>
      </c>
      <c r="G98" s="85">
        <f t="shared" si="13"/>
        <v>0.6280521919059945</v>
      </c>
      <c r="H98" s="85">
        <f t="shared" si="14"/>
        <v>0.8091735157045209</v>
      </c>
      <c r="I98" s="85">
        <f t="shared" si="10"/>
        <v>0.9613350747691283</v>
      </c>
      <c r="J98" s="85">
        <f t="shared" si="15"/>
        <v>1.1880456491857934</v>
      </c>
      <c r="K98" s="21">
        <v>3.807</v>
      </c>
      <c r="L98" s="4">
        <f t="shared" si="16"/>
        <v>4.522889786450316</v>
      </c>
      <c r="M98" s="2"/>
      <c r="N98" s="2"/>
    </row>
    <row r="99" spans="1:14" ht="12.75">
      <c r="A99" s="88">
        <v>38803</v>
      </c>
      <c r="B99" s="2">
        <f t="shared" si="17"/>
        <v>86</v>
      </c>
      <c r="C99" s="2">
        <f t="shared" si="11"/>
        <v>6</v>
      </c>
      <c r="D99" s="85">
        <f t="shared" si="12"/>
        <v>2.4169986804709187</v>
      </c>
      <c r="E99" s="85">
        <f t="shared" si="9"/>
        <v>35.58300131952908</v>
      </c>
      <c r="F99" s="85">
        <f t="shared" si="13"/>
        <v>0.0421845849905759</v>
      </c>
      <c r="G99" s="85">
        <f t="shared" si="13"/>
        <v>0.6210405307672693</v>
      </c>
      <c r="H99" s="85">
        <f t="shared" si="14"/>
        <v>0.813273431215424</v>
      </c>
      <c r="I99" s="85">
        <f t="shared" si="10"/>
        <v>0.9632423083310672</v>
      </c>
      <c r="J99" s="85">
        <f t="shared" si="15"/>
        <v>1.1844015448672867</v>
      </c>
      <c r="K99" s="21">
        <v>3.807</v>
      </c>
      <c r="L99" s="4">
        <f t="shared" si="16"/>
        <v>4.5090166813097605</v>
      </c>
      <c r="M99" s="2"/>
      <c r="N99" s="2"/>
    </row>
    <row r="100" spans="1:14" ht="12.75">
      <c r="A100" s="88">
        <v>38804</v>
      </c>
      <c r="B100" s="2">
        <f t="shared" si="17"/>
        <v>87</v>
      </c>
      <c r="C100" s="2">
        <f t="shared" si="11"/>
        <v>7</v>
      </c>
      <c r="D100" s="85">
        <f t="shared" si="12"/>
        <v>2.8180214998291695</v>
      </c>
      <c r="E100" s="85">
        <f t="shared" si="9"/>
        <v>35.18197850017083</v>
      </c>
      <c r="F100" s="85">
        <f t="shared" si="13"/>
        <v>0.04918375356400783</v>
      </c>
      <c r="G100" s="85">
        <f t="shared" si="13"/>
        <v>0.6140413621938373</v>
      </c>
      <c r="H100" s="85">
        <f t="shared" si="14"/>
        <v>0.8173261657663252</v>
      </c>
      <c r="I100" s="85">
        <f t="shared" si="10"/>
        <v>0.9650989142798173</v>
      </c>
      <c r="J100" s="85">
        <f t="shared" si="15"/>
        <v>1.1808002174688</v>
      </c>
      <c r="K100" s="21">
        <v>4.315</v>
      </c>
      <c r="L100" s="4">
        <f t="shared" si="16"/>
        <v>5.095152938377872</v>
      </c>
      <c r="M100" s="2"/>
      <c r="N100" s="2"/>
    </row>
    <row r="101" spans="1:14" ht="12.75">
      <c r="A101" s="88">
        <v>38805</v>
      </c>
      <c r="B101" s="2">
        <f t="shared" si="17"/>
        <v>88</v>
      </c>
      <c r="C101" s="2">
        <f t="shared" si="11"/>
        <v>8</v>
      </c>
      <c r="D101" s="85">
        <f t="shared" si="12"/>
        <v>3.2182097888111625</v>
      </c>
      <c r="E101" s="85">
        <f t="shared" si="9"/>
        <v>34.781790211188834</v>
      </c>
      <c r="F101" s="85">
        <f t="shared" si="13"/>
        <v>0.05616835683466616</v>
      </c>
      <c r="G101" s="85">
        <f t="shared" si="13"/>
        <v>0.607056758923179</v>
      </c>
      <c r="H101" s="85">
        <f t="shared" si="14"/>
        <v>0.8213305522845072</v>
      </c>
      <c r="I101" s="85">
        <f t="shared" si="10"/>
        <v>0.9669045257413542</v>
      </c>
      <c r="J101" s="85">
        <f t="shared" si="15"/>
        <v>1.177241639254667</v>
      </c>
      <c r="K101" s="21">
        <v>4.569</v>
      </c>
      <c r="L101" s="4">
        <f t="shared" si="16"/>
        <v>5.3788170497545735</v>
      </c>
      <c r="M101" s="2"/>
      <c r="N101" s="2"/>
    </row>
    <row r="102" spans="1:14" ht="12.75">
      <c r="A102" s="88">
        <v>38806</v>
      </c>
      <c r="B102" s="2">
        <f t="shared" si="17"/>
        <v>89</v>
      </c>
      <c r="C102" s="2">
        <f t="shared" si="11"/>
        <v>9</v>
      </c>
      <c r="D102" s="85">
        <f t="shared" si="12"/>
        <v>3.617445035445504</v>
      </c>
      <c r="E102" s="85">
        <f t="shared" si="9"/>
        <v>34.382554964554494</v>
      </c>
      <c r="F102" s="85">
        <f t="shared" si="13"/>
        <v>0.06313632637844702</v>
      </c>
      <c r="G102" s="85">
        <f t="shared" si="13"/>
        <v>0.6000887893793981</v>
      </c>
      <c r="H102" s="85">
        <f t="shared" si="14"/>
        <v>0.8252854774016607</v>
      </c>
      <c r="I102" s="85">
        <f t="shared" si="10"/>
        <v>0.9686588356639734</v>
      </c>
      <c r="J102" s="85">
        <f t="shared" si="15"/>
        <v>1.1737257739148774</v>
      </c>
      <c r="K102" s="21">
        <v>4.569</v>
      </c>
      <c r="L102" s="4">
        <f t="shared" si="16"/>
        <v>5.362753061017075</v>
      </c>
      <c r="M102" s="2"/>
      <c r="N102" s="2"/>
    </row>
    <row r="103" spans="1:14" ht="12.75">
      <c r="A103" s="88">
        <v>38807</v>
      </c>
      <c r="B103" s="2">
        <f t="shared" si="17"/>
        <v>90</v>
      </c>
      <c r="C103" s="2">
        <f t="shared" si="11"/>
        <v>10</v>
      </c>
      <c r="D103" s="85">
        <f t="shared" si="12"/>
        <v>4.015609009995262</v>
      </c>
      <c r="E103" s="85">
        <f t="shared" si="9"/>
        <v>33.98439099000474</v>
      </c>
      <c r="F103" s="85">
        <f t="shared" si="13"/>
        <v>0.07008559869716721</v>
      </c>
      <c r="G103" s="85">
        <f t="shared" si="13"/>
        <v>0.593139517060678</v>
      </c>
      <c r="H103" s="85">
        <f t="shared" si="14"/>
        <v>0.8291898819382201</v>
      </c>
      <c r="I103" s="85">
        <f t="shared" si="10"/>
        <v>0.9703615967163275</v>
      </c>
      <c r="J103" s="85">
        <f t="shared" si="15"/>
        <v>1.1702525776702923</v>
      </c>
      <c r="K103" s="21">
        <v>4.822</v>
      </c>
      <c r="L103" s="4">
        <f t="shared" si="16"/>
        <v>5.642957929526149</v>
      </c>
      <c r="M103" s="2"/>
      <c r="N103" s="2"/>
    </row>
    <row r="104" spans="1:14" ht="12.75">
      <c r="A104" s="88">
        <v>38808</v>
      </c>
      <c r="B104" s="2">
        <f t="shared" si="17"/>
        <v>91</v>
      </c>
      <c r="C104" s="2">
        <f t="shared" si="11"/>
        <v>11</v>
      </c>
      <c r="D104" s="85">
        <f t="shared" si="12"/>
        <v>4.412583799970589</v>
      </c>
      <c r="E104" s="85">
        <f t="shared" si="9"/>
        <v>33.58741620002941</v>
      </c>
      <c r="F104" s="85">
        <f t="shared" si="13"/>
        <v>0.07701411582964965</v>
      </c>
      <c r="G104" s="85">
        <f t="shared" si="13"/>
        <v>0.5862109999281956</v>
      </c>
      <c r="H104" s="85">
        <f t="shared" si="14"/>
        <v>0.8330427613101393</v>
      </c>
      <c r="I104" s="85">
        <f t="shared" si="10"/>
        <v>0.9720126211024629</v>
      </c>
      <c r="J104" s="85">
        <f t="shared" si="15"/>
        <v>1.166822000318163</v>
      </c>
      <c r="K104" s="21">
        <v>4.061</v>
      </c>
      <c r="L104" s="4">
        <f t="shared" si="16"/>
        <v>4.7384641432920604</v>
      </c>
      <c r="M104" s="2"/>
      <c r="N104" s="2"/>
    </row>
    <row r="105" spans="1:14" ht="12.75">
      <c r="A105" s="88">
        <v>38809</v>
      </c>
      <c r="B105" s="2">
        <f t="shared" si="17"/>
        <v>92</v>
      </c>
      <c r="C105" s="2">
        <f t="shared" si="11"/>
        <v>12</v>
      </c>
      <c r="D105" s="85">
        <f t="shared" si="12"/>
        <v>4.8082518450473835</v>
      </c>
      <c r="E105" s="85">
        <f t="shared" si="9"/>
        <v>33.19174815495262</v>
      </c>
      <c r="F105" s="85">
        <f t="shared" si="13"/>
        <v>0.08391982596116905</v>
      </c>
      <c r="G105" s="85">
        <f t="shared" si="13"/>
        <v>0.5793052897966763</v>
      </c>
      <c r="H105" s="85">
        <f t="shared" si="14"/>
        <v>0.8368431658573762</v>
      </c>
      <c r="I105" s="85">
        <f t="shared" si="10"/>
        <v>0.9736117802942034</v>
      </c>
      <c r="J105" s="85">
        <f t="shared" si="15"/>
        <v>1.163433986219751</v>
      </c>
      <c r="K105" s="21">
        <v>3.807</v>
      </c>
      <c r="L105" s="4">
        <f t="shared" si="16"/>
        <v>4.429193185538591</v>
      </c>
      <c r="M105" s="2"/>
      <c r="N105" s="2"/>
    </row>
    <row r="106" spans="1:14" ht="12.75">
      <c r="A106" s="88">
        <v>38810</v>
      </c>
      <c r="B106" s="2">
        <f t="shared" si="17"/>
        <v>93</v>
      </c>
      <c r="C106" s="2">
        <f t="shared" si="11"/>
        <v>13</v>
      </c>
      <c r="D106" s="85">
        <f t="shared" si="12"/>
        <v>5.202495971881668</v>
      </c>
      <c r="E106" s="85">
        <f t="shared" si="9"/>
        <v>32.79750402811833</v>
      </c>
      <c r="F106" s="85">
        <f t="shared" si="13"/>
        <v>0.09080068403107745</v>
      </c>
      <c r="G106" s="85">
        <f t="shared" si="13"/>
        <v>0.5724244317267678</v>
      </c>
      <c r="H106" s="85">
        <f t="shared" si="14"/>
        <v>0.8405902010935147</v>
      </c>
      <c r="I106" s="85">
        <f t="shared" si="10"/>
        <v>0.975159004681387</v>
      </c>
      <c r="J106" s="85">
        <f t="shared" si="15"/>
        <v>1.1600884752318232</v>
      </c>
      <c r="K106" s="21">
        <v>3.807</v>
      </c>
      <c r="L106" s="4">
        <f t="shared" si="16"/>
        <v>4.416456825207551</v>
      </c>
      <c r="M106" s="2"/>
      <c r="N106" s="2"/>
    </row>
    <row r="107" spans="1:14" ht="12.75">
      <c r="A107" s="88">
        <v>38811</v>
      </c>
      <c r="B107" s="2">
        <f t="shared" si="17"/>
        <v>94</v>
      </c>
      <c r="C107" s="2">
        <f t="shared" si="11"/>
        <v>14</v>
      </c>
      <c r="D107" s="85">
        <f t="shared" si="12"/>
        <v>5.59519942880937</v>
      </c>
      <c r="E107" s="85">
        <f t="shared" si="9"/>
        <v>32.40480057119063</v>
      </c>
      <c r="F107" s="85">
        <f t="shared" si="13"/>
        <v>0.09765465233842958</v>
      </c>
      <c r="G107" s="85">
        <f t="shared" si="13"/>
        <v>0.5655704634194156</v>
      </c>
      <c r="H107" s="85">
        <f t="shared" si="14"/>
        <v>0.8442830278761061</v>
      </c>
      <c r="I107" s="85">
        <f t="shared" si="10"/>
        <v>0.9766542831406106</v>
      </c>
      <c r="J107" s="85">
        <f t="shared" si="15"/>
        <v>1.156785403583796</v>
      </c>
      <c r="K107" s="21">
        <v>3.807</v>
      </c>
      <c r="L107" s="4">
        <f t="shared" si="16"/>
        <v>4.403882031443511</v>
      </c>
      <c r="M107" s="2"/>
      <c r="N107" s="2"/>
    </row>
    <row r="108" spans="1:14" ht="12.75">
      <c r="A108" s="88">
        <v>38812</v>
      </c>
      <c r="B108" s="2">
        <f t="shared" si="17"/>
        <v>95</v>
      </c>
      <c r="C108" s="2">
        <f t="shared" si="11"/>
        <v>15</v>
      </c>
      <c r="D108" s="85">
        <f t="shared" si="12"/>
        <v>5.986245920421213</v>
      </c>
      <c r="E108" s="85">
        <f t="shared" si="9"/>
        <v>32.01375407957879</v>
      </c>
      <c r="F108" s="85">
        <f t="shared" si="13"/>
        <v>0.10447970114542864</v>
      </c>
      <c r="G108" s="85">
        <f t="shared" si="13"/>
        <v>0.5587454146124167</v>
      </c>
      <c r="H108" s="85">
        <f t="shared" si="14"/>
        <v>0.8479208624974751</v>
      </c>
      <c r="I108" s="85">
        <f t="shared" si="10"/>
        <v>0.9780976625232922</v>
      </c>
      <c r="J108" s="85">
        <f t="shared" si="15"/>
        <v>1.1535247047022679</v>
      </c>
      <c r="K108" s="21">
        <v>4.569</v>
      </c>
      <c r="L108" s="4">
        <f t="shared" si="16"/>
        <v>5.270454375784662</v>
      </c>
      <c r="M108" s="2"/>
      <c r="N108" s="2"/>
    </row>
    <row r="109" spans="1:14" ht="12.75">
      <c r="A109" s="88">
        <v>38813</v>
      </c>
      <c r="B109" s="2">
        <f t="shared" si="17"/>
        <v>96</v>
      </c>
      <c r="C109" s="2">
        <f t="shared" si="11"/>
        <v>16</v>
      </c>
      <c r="D109" s="85">
        <f t="shared" si="12"/>
        <v>6.375519642002509</v>
      </c>
      <c r="E109" s="85">
        <f t="shared" si="9"/>
        <v>31.62448035799749</v>
      </c>
      <c r="F109" s="85">
        <f t="shared" si="13"/>
        <v>0.11127380927851394</v>
      </c>
      <c r="G109" s="85">
        <f t="shared" si="13"/>
        <v>0.5519513064793313</v>
      </c>
      <c r="H109" s="85">
        <f t="shared" si="14"/>
        <v>0.8515029766958909</v>
      </c>
      <c r="I109" s="85">
        <f t="shared" si="10"/>
        <v>0.9794892470640091</v>
      </c>
      <c r="J109" s="85">
        <f t="shared" si="15"/>
        <v>1.1503063099846658</v>
      </c>
      <c r="K109" s="21">
        <v>1.015</v>
      </c>
      <c r="L109" s="4">
        <f t="shared" si="16"/>
        <v>1.1675609046344357</v>
      </c>
      <c r="M109" s="2"/>
      <c r="N109" s="2"/>
    </row>
    <row r="110" spans="1:14" ht="12.75">
      <c r="A110" s="88">
        <v>38814</v>
      </c>
      <c r="B110" s="2">
        <f t="shared" si="17"/>
        <v>97</v>
      </c>
      <c r="C110" s="2">
        <f t="shared" si="11"/>
        <v>17</v>
      </c>
      <c r="D110" s="85">
        <f t="shared" si="12"/>
        <v>6.76290531382762</v>
      </c>
      <c r="E110" s="85">
        <f t="shared" si="9"/>
        <v>31.23709468617238</v>
      </c>
      <c r="F110" s="85">
        <f t="shared" si="13"/>
        <v>0.11803496472691236</v>
      </c>
      <c r="G110" s="85">
        <f t="shared" si="13"/>
        <v>0.5451901510309328</v>
      </c>
      <c r="H110" s="85">
        <f t="shared" si="14"/>
        <v>0.8550286975871653</v>
      </c>
      <c r="I110" s="85">
        <f t="shared" si="10"/>
        <v>0.9808291977102161</v>
      </c>
      <c r="J110" s="85">
        <f t="shared" si="15"/>
        <v>1.1471301495236963</v>
      </c>
      <c r="K110" s="21">
        <v>3.553</v>
      </c>
      <c r="L110" s="4">
        <f t="shared" si="16"/>
        <v>4.0757534212576925</v>
      </c>
      <c r="M110" s="2"/>
      <c r="N110" s="2"/>
    </row>
    <row r="111" spans="1:14" ht="12.75">
      <c r="A111" s="88">
        <v>38815</v>
      </c>
      <c r="B111" s="2">
        <f t="shared" si="17"/>
        <v>98</v>
      </c>
      <c r="C111" s="2">
        <f t="shared" si="11"/>
        <v>18</v>
      </c>
      <c r="D111" s="85">
        <f t="shared" si="12"/>
        <v>7.14828821529896</v>
      </c>
      <c r="E111" s="85">
        <f t="shared" si="9"/>
        <v>30.85171178470104</v>
      </c>
      <c r="F111" s="85">
        <f t="shared" si="13"/>
        <v>0.12476116523847615</v>
      </c>
      <c r="G111" s="85">
        <f t="shared" si="13"/>
        <v>0.538463950519369</v>
      </c>
      <c r="H111" s="85">
        <f t="shared" si="14"/>
        <v>0.8584974075168984</v>
      </c>
      <c r="I111" s="85">
        <f t="shared" si="10"/>
        <v>0.9821177313745918</v>
      </c>
      <c r="J111" s="85">
        <f t="shared" si="15"/>
        <v>1.1439961527842588</v>
      </c>
      <c r="K111" s="21">
        <v>2.792</v>
      </c>
      <c r="L111" s="4">
        <f t="shared" si="16"/>
        <v>3.1940372585736503</v>
      </c>
      <c r="M111" s="2"/>
      <c r="N111" s="2"/>
    </row>
    <row r="112" spans="1:14" ht="12.75">
      <c r="A112" s="88">
        <v>38816</v>
      </c>
      <c r="B112" s="2">
        <f t="shared" si="17"/>
        <v>99</v>
      </c>
      <c r="C112" s="2">
        <f t="shared" si="11"/>
        <v>19</v>
      </c>
      <c r="D112" s="85">
        <f t="shared" si="12"/>
        <v>7.531554218920418</v>
      </c>
      <c r="E112" s="85">
        <f t="shared" si="9"/>
        <v>30.46844578107958</v>
      </c>
      <c r="F112" s="85">
        <f t="shared" si="13"/>
        <v>0.1314504189126311</v>
      </c>
      <c r="G112" s="85">
        <f t="shared" si="13"/>
        <v>0.5317746968452141</v>
      </c>
      <c r="H112" s="85">
        <f t="shared" si="14"/>
        <v>0.8619085438337502</v>
      </c>
      <c r="I112" s="85">
        <f t="shared" si="10"/>
        <v>0.983355120111398</v>
      </c>
      <c r="J112" s="85">
        <f t="shared" si="15"/>
        <v>1.1409042492344446</v>
      </c>
      <c r="K112" s="21">
        <v>4.822</v>
      </c>
      <c r="L112" s="4">
        <f t="shared" si="16"/>
        <v>5.5014402898084915</v>
      </c>
      <c r="M112" s="2"/>
      <c r="N112" s="2"/>
    </row>
    <row r="113" spans="1:14" ht="12.75">
      <c r="A113" s="88">
        <v>38817</v>
      </c>
      <c r="B113" s="2">
        <f t="shared" si="17"/>
        <v>100</v>
      </c>
      <c r="C113" s="2">
        <f t="shared" si="11"/>
        <v>20</v>
      </c>
      <c r="D113" s="85">
        <f t="shared" si="12"/>
        <v>7.912589824095129</v>
      </c>
      <c r="E113" s="85">
        <f t="shared" si="9"/>
        <v>30.08741017590487</v>
      </c>
      <c r="F113" s="85">
        <f t="shared" si="13"/>
        <v>0.13810074479025894</v>
      </c>
      <c r="G113" s="85">
        <f t="shared" si="13"/>
        <v>0.5251243709675862</v>
      </c>
      <c r="H113" s="85">
        <f t="shared" si="14"/>
        <v>0.865261598584269</v>
      </c>
      <c r="I113" s="85">
        <f t="shared" si="10"/>
        <v>0.9845416902183752</v>
      </c>
      <c r="J113" s="85">
        <f t="shared" si="15"/>
        <v>1.137854368932206</v>
      </c>
      <c r="K113" s="21">
        <v>4.822</v>
      </c>
      <c r="L113" s="4">
        <f t="shared" si="16"/>
        <v>5.486733766991097</v>
      </c>
      <c r="M113" s="2"/>
      <c r="N113" s="2"/>
    </row>
    <row r="114" spans="1:14" ht="12.75">
      <c r="A114" s="88">
        <v>38818</v>
      </c>
      <c r="B114" s="2">
        <f t="shared" si="17"/>
        <v>101</v>
      </c>
      <c r="C114" s="2">
        <f t="shared" si="11"/>
        <v>21</v>
      </c>
      <c r="D114" s="85">
        <f t="shared" si="12"/>
        <v>8.291282190737604</v>
      </c>
      <c r="E114" s="85">
        <f t="shared" si="9"/>
        <v>29.708717809262396</v>
      </c>
      <c r="F114" s="85">
        <f t="shared" si="13"/>
        <v>0.14471017344033968</v>
      </c>
      <c r="G114" s="85">
        <f t="shared" si="13"/>
        <v>0.5185149423175055</v>
      </c>
      <c r="H114" s="85">
        <f t="shared" si="14"/>
        <v>0.8685561181299714</v>
      </c>
      <c r="I114" s="85">
        <f t="shared" si="10"/>
        <v>0.985677821265827</v>
      </c>
      <c r="J114" s="85">
        <f t="shared" si="15"/>
        <v>1.1348464430692429</v>
      </c>
      <c r="K114" s="21">
        <v>3.807</v>
      </c>
      <c r="L114" s="4">
        <f t="shared" si="16"/>
        <v>4.320360408764608</v>
      </c>
      <c r="M114" s="2"/>
      <c r="N114" s="2"/>
    </row>
    <row r="115" spans="1:14" ht="12.75">
      <c r="A115" s="88">
        <v>38819</v>
      </c>
      <c r="B115" s="2">
        <f t="shared" si="17"/>
        <v>102</v>
      </c>
      <c r="C115" s="2">
        <f t="shared" si="11"/>
        <v>22</v>
      </c>
      <c r="D115" s="85">
        <f t="shared" si="12"/>
        <v>8.667519172690248</v>
      </c>
      <c r="E115" s="85">
        <f t="shared" si="9"/>
        <v>29.33248082730975</v>
      </c>
      <c r="F115" s="85">
        <f t="shared" si="13"/>
        <v>0.15127674754317982</v>
      </c>
      <c r="G115" s="85">
        <f t="shared" si="13"/>
        <v>0.5119483682146654</v>
      </c>
      <c r="H115" s="85">
        <f t="shared" si="14"/>
        <v>0.8717917026875076</v>
      </c>
      <c r="I115" s="85">
        <f t="shared" si="10"/>
        <v>0.9867639450546708</v>
      </c>
      <c r="J115" s="85">
        <f t="shared" si="15"/>
        <v>1.1318804044736073</v>
      </c>
      <c r="K115" s="21">
        <v>4.569</v>
      </c>
      <c r="L115" s="4">
        <f t="shared" si="16"/>
        <v>5.171561568039912</v>
      </c>
      <c r="M115" s="2"/>
      <c r="N115" s="2"/>
    </row>
    <row r="116" spans="1:14" ht="12.75">
      <c r="A116" s="88">
        <v>38820</v>
      </c>
      <c r="B116" s="2">
        <f t="shared" si="17"/>
        <v>103</v>
      </c>
      <c r="C116" s="2">
        <f t="shared" si="11"/>
        <v>23</v>
      </c>
      <c r="D116" s="85">
        <f t="shared" si="12"/>
        <v>9.041189350934388</v>
      </c>
      <c r="E116" s="85">
        <f t="shared" si="9"/>
        <v>28.95881064906561</v>
      </c>
      <c r="F116" s="85">
        <f t="shared" si="13"/>
        <v>0.15779852247005413</v>
      </c>
      <c r="G116" s="85">
        <f t="shared" si="13"/>
        <v>0.505426593287791</v>
      </c>
      <c r="H116" s="85">
        <f t="shared" si="14"/>
        <v>0.8749680057929092</v>
      </c>
      <c r="I116" s="85">
        <f t="shared" si="10"/>
        <v>0.9878005445053549</v>
      </c>
      <c r="J116" s="85">
        <f t="shared" si="15"/>
        <v>1.1289561880724943</v>
      </c>
      <c r="K116" s="21">
        <v>3.807</v>
      </c>
      <c r="L116" s="4">
        <f t="shared" si="16"/>
        <v>4.297936207991985</v>
      </c>
      <c r="M116" s="2"/>
      <c r="N116" s="2"/>
    </row>
    <row r="117" spans="1:14" ht="12.75">
      <c r="A117" s="88">
        <v>38821</v>
      </c>
      <c r="B117" s="2">
        <f t="shared" si="17"/>
        <v>104</v>
      </c>
      <c r="C117" s="2">
        <f t="shared" si="11"/>
        <v>24</v>
      </c>
      <c r="D117" s="85">
        <f t="shared" si="12"/>
        <v>9.41218206658596</v>
      </c>
      <c r="E117" s="85">
        <f t="shared" si="9"/>
        <v>28.58781793341404</v>
      </c>
      <c r="F117" s="85">
        <f t="shared" si="13"/>
        <v>0.16427356685908914</v>
      </c>
      <c r="G117" s="85">
        <f t="shared" si="13"/>
        <v>0.4989515488987561</v>
      </c>
      <c r="H117" s="85">
        <f t="shared" si="14"/>
        <v>0.8780847336910514</v>
      </c>
      <c r="I117" s="85">
        <f t="shared" si="10"/>
        <v>0.988788152479656</v>
      </c>
      <c r="J117" s="85">
        <f t="shared" si="15"/>
        <v>1.126073731316635</v>
      </c>
      <c r="K117" s="21">
        <v>3.807</v>
      </c>
      <c r="L117" s="4">
        <f t="shared" si="16"/>
        <v>4.286962695122429</v>
      </c>
      <c r="M117" s="2"/>
      <c r="N117" s="2"/>
    </row>
    <row r="118" spans="1:14" ht="12.75">
      <c r="A118" s="88">
        <v>38822</v>
      </c>
      <c r="B118" s="2">
        <f t="shared" si="17"/>
        <v>105</v>
      </c>
      <c r="C118" s="2">
        <f t="shared" si="11"/>
        <v>25</v>
      </c>
      <c r="D118" s="85">
        <f t="shared" si="12"/>
        <v>9.78038745366608</v>
      </c>
      <c r="E118" s="85">
        <f t="shared" si="9"/>
        <v>28.21961254633392</v>
      </c>
      <c r="F118" s="85">
        <f t="shared" si="13"/>
        <v>0.17069996318721745</v>
      </c>
      <c r="G118" s="85">
        <f t="shared" si="13"/>
        <v>0.4925251525706278</v>
      </c>
      <c r="H118" s="85">
        <f t="shared" si="14"/>
        <v>0.8811416446516134</v>
      </c>
      <c r="I118" s="85">
        <f t="shared" si="10"/>
        <v>0.9897273505374832</v>
      </c>
      <c r="J118" s="85">
        <f t="shared" si="15"/>
        <v>1.123232974567673</v>
      </c>
      <c r="K118" s="21">
        <v>4.569</v>
      </c>
      <c r="L118" s="4">
        <f t="shared" si="16"/>
        <v>5.132051460799698</v>
      </c>
      <c r="M118" s="2"/>
      <c r="N118" s="2"/>
    </row>
    <row r="119" spans="1:14" ht="12.75">
      <c r="A119" s="88">
        <v>38823</v>
      </c>
      <c r="B119" s="2">
        <f t="shared" si="17"/>
        <v>106</v>
      </c>
      <c r="C119" s="2">
        <f t="shared" si="11"/>
        <v>26</v>
      </c>
      <c r="D119" s="85">
        <f t="shared" si="12"/>
        <v>10.145696471636828</v>
      </c>
      <c r="E119" s="85">
        <f t="shared" si="9"/>
        <v>27.85430352836317</v>
      </c>
      <c r="F119" s="85">
        <f t="shared" si="13"/>
        <v>0.17707580833803413</v>
      </c>
      <c r="G119" s="85">
        <f t="shared" si="13"/>
        <v>0.4861493074198111</v>
      </c>
      <c r="H119" s="85">
        <f t="shared" si="14"/>
        <v>0.8841385482129533</v>
      </c>
      <c r="I119" s="85">
        <f t="shared" si="10"/>
        <v>0.9906187676309162</v>
      </c>
      <c r="J119" s="85">
        <f t="shared" si="15"/>
        <v>1.1204338614498641</v>
      </c>
      <c r="K119" s="21">
        <v>4.061</v>
      </c>
      <c r="L119" s="4">
        <f t="shared" si="16"/>
        <v>4.550081911347898</v>
      </c>
      <c r="M119" s="2"/>
      <c r="N119" s="2"/>
    </row>
    <row r="120" spans="1:14" ht="12.75">
      <c r="A120" s="88">
        <v>38824</v>
      </c>
      <c r="B120" s="2">
        <f t="shared" si="17"/>
        <v>107</v>
      </c>
      <c r="C120" s="2">
        <f t="shared" si="11"/>
        <v>27</v>
      </c>
      <c r="D120" s="85">
        <f t="shared" si="12"/>
        <v>10.508000937692563</v>
      </c>
      <c r="E120" s="85">
        <f t="shared" si="9"/>
        <v>27.491999062307436</v>
      </c>
      <c r="F120" s="85">
        <f t="shared" si="13"/>
        <v>0.18339921416538674</v>
      </c>
      <c r="G120" s="85">
        <f t="shared" si="13"/>
        <v>0.47982590159245847</v>
      </c>
      <c r="H120" s="85">
        <f t="shared" si="14"/>
        <v>0.8870753043554543</v>
      </c>
      <c r="I120" s="85">
        <f t="shared" si="10"/>
        <v>0.9914630787378047</v>
      </c>
      <c r="J120" s="85">
        <f t="shared" si="15"/>
        <v>1.1176763391673925</v>
      </c>
      <c r="K120" s="21">
        <v>4.315</v>
      </c>
      <c r="L120" s="4">
        <f t="shared" si="16"/>
        <v>4.822773403507299</v>
      </c>
      <c r="M120" s="2"/>
      <c r="N120" s="2"/>
    </row>
    <row r="121" spans="1:14" ht="12.75">
      <c r="A121" s="88">
        <v>38825</v>
      </c>
      <c r="B121" s="2">
        <f t="shared" si="17"/>
        <v>108</v>
      </c>
      <c r="C121" s="2">
        <f t="shared" si="11"/>
        <v>28</v>
      </c>
      <c r="D121" s="85">
        <f t="shared" si="12"/>
        <v>10.867193558797227</v>
      </c>
      <c r="E121" s="85">
        <f t="shared" si="9"/>
        <v>27.132806441202774</v>
      </c>
      <c r="F121" s="85">
        <f t="shared" si="13"/>
        <v>0.1896683080525316</v>
      </c>
      <c r="G121" s="85">
        <f t="shared" si="13"/>
        <v>0.47355680770531366</v>
      </c>
      <c r="H121" s="85">
        <f t="shared" si="14"/>
        <v>0.8899518226060249</v>
      </c>
      <c r="I121" s="85">
        <f t="shared" si="10"/>
        <v>0.992261003437347</v>
      </c>
      <c r="J121" s="85">
        <f t="shared" si="15"/>
        <v>1.1149603587885606</v>
      </c>
      <c r="K121" s="21">
        <v>3.3</v>
      </c>
      <c r="L121" s="4">
        <f t="shared" si="16"/>
        <v>3.6793691840022498</v>
      </c>
      <c r="M121" s="2"/>
      <c r="N121" s="2"/>
    </row>
    <row r="122" spans="1:14" ht="12.75">
      <c r="A122" s="88">
        <v>38826</v>
      </c>
      <c r="B122" s="2">
        <f t="shared" si="17"/>
        <v>109</v>
      </c>
      <c r="C122" s="2">
        <f t="shared" si="11"/>
        <v>29</v>
      </c>
      <c r="D122" s="85">
        <f t="shared" si="12"/>
        <v>11.22316796345818</v>
      </c>
      <c r="E122" s="85">
        <f t="shared" si="9"/>
        <v>26.77683203654182</v>
      </c>
      <c r="F122" s="85">
        <f t="shared" si="13"/>
        <v>0.19588123346669187</v>
      </c>
      <c r="G122" s="85">
        <f t="shared" si="13"/>
        <v>0.4673438822911533</v>
      </c>
      <c r="H122" s="85">
        <f t="shared" si="14"/>
        <v>0.8927680610755654</v>
      </c>
      <c r="I122" s="85">
        <f t="shared" si="10"/>
        <v>0.9930133044301531</v>
      </c>
      <c r="J122" s="85">
        <f t="shared" si="15"/>
        <v>1.1122858754980738</v>
      </c>
      <c r="K122" s="21">
        <v>4.315</v>
      </c>
      <c r="L122" s="4">
        <f t="shared" si="16"/>
        <v>4.799513552774189</v>
      </c>
      <c r="M122" s="2"/>
      <c r="N122" s="2"/>
    </row>
    <row r="123" spans="1:14" ht="12.75">
      <c r="A123" s="88">
        <v>38827</v>
      </c>
      <c r="B123" s="2">
        <f t="shared" si="17"/>
        <v>110</v>
      </c>
      <c r="C123" s="2">
        <f t="shared" si="11"/>
        <v>30</v>
      </c>
      <c r="D123" s="85">
        <f t="shared" si="12"/>
        <v>11.575818733227093</v>
      </c>
      <c r="E123" s="85">
        <f t="shared" si="9"/>
        <v>26.424181266772905</v>
      </c>
      <c r="F123" s="85">
        <f t="shared" si="13"/>
        <v>0.2020361505088519</v>
      </c>
      <c r="G123" s="85">
        <f t="shared" si="13"/>
        <v>0.4611889652489933</v>
      </c>
      <c r="H123" s="85">
        <f t="shared" si="14"/>
        <v>0.8955240254313307</v>
      </c>
      <c r="I123" s="85">
        <f t="shared" si="10"/>
        <v>0.9937207860053724</v>
      </c>
      <c r="J123" s="85">
        <f t="shared" si="15"/>
        <v>1.1096528488185955</v>
      </c>
      <c r="K123" s="21">
        <v>0.508</v>
      </c>
      <c r="L123" s="4">
        <f t="shared" si="16"/>
        <v>0.5637036471998466</v>
      </c>
      <c r="M123" s="2"/>
      <c r="N123" s="2"/>
    </row>
    <row r="124" spans="1:14" ht="12.75">
      <c r="A124" s="88">
        <v>38828</v>
      </c>
      <c r="B124" s="2">
        <f t="shared" si="17"/>
        <v>111</v>
      </c>
      <c r="C124" s="2">
        <f t="shared" si="11"/>
        <v>31</v>
      </c>
      <c r="D124" s="85">
        <f t="shared" si="12"/>
        <v>11.925041433918638</v>
      </c>
      <c r="E124" s="85">
        <f t="shared" si="9"/>
        <v>26.074958566081364</v>
      </c>
      <c r="F124" s="85">
        <f t="shared" si="13"/>
        <v>0.20813123645862605</v>
      </c>
      <c r="G124" s="85">
        <f t="shared" si="13"/>
        <v>0.45509387929921924</v>
      </c>
      <c r="H124" s="85">
        <f t="shared" si="14"/>
        <v>0.8982197678062361</v>
      </c>
      <c r="I124" s="85">
        <f t="shared" si="10"/>
        <v>0.9943842924575411</v>
      </c>
      <c r="J124" s="85">
        <f t="shared" si="15"/>
        <v>1.1070612428027187</v>
      </c>
      <c r="K124" s="21">
        <v>4.569</v>
      </c>
      <c r="L124" s="4">
        <f t="shared" si="16"/>
        <v>5.058162818365622</v>
      </c>
      <c r="M124" s="2"/>
      <c r="N124" s="2"/>
    </row>
    <row r="125" spans="1:14" ht="12.75">
      <c r="A125" s="88">
        <v>38829</v>
      </c>
      <c r="B125" s="2">
        <f t="shared" si="17"/>
        <v>112</v>
      </c>
      <c r="C125" s="2">
        <f t="shared" si="11"/>
        <v>32</v>
      </c>
      <c r="D125" s="85">
        <f t="shared" si="12"/>
        <v>12.270732646537668</v>
      </c>
      <c r="E125" s="85">
        <f t="shared" si="9"/>
        <v>25.729267353462333</v>
      </c>
      <c r="F125" s="85">
        <f t="shared" si="13"/>
        <v>0.2141646863140399</v>
      </c>
      <c r="G125" s="85">
        <f t="shared" si="13"/>
        <v>0.44906042944380536</v>
      </c>
      <c r="H125" s="85">
        <f t="shared" si="14"/>
        <v>0.9008553856472635</v>
      </c>
      <c r="I125" s="85">
        <f t="shared" si="10"/>
        <v>0.995004706455871</v>
      </c>
      <c r="J125" s="85">
        <f t="shared" si="15"/>
        <v>1.1045110261964648</v>
      </c>
      <c r="K125" s="21">
        <v>4.061</v>
      </c>
      <c r="L125" s="4">
        <f t="shared" si="16"/>
        <v>4.485419277383843</v>
      </c>
      <c r="M125" s="2"/>
      <c r="N125" s="2"/>
    </row>
    <row r="126" spans="1:14" ht="12.75">
      <c r="A126" s="88">
        <v>38830</v>
      </c>
      <c r="B126" s="2">
        <f t="shared" si="17"/>
        <v>113</v>
      </c>
      <c r="C126" s="2">
        <f t="shared" si="11"/>
        <v>33</v>
      </c>
      <c r="D126" s="85">
        <f t="shared" si="12"/>
        <v>12.612789997905784</v>
      </c>
      <c r="E126" s="85">
        <f t="shared" si="9"/>
        <v>25.387210002094214</v>
      </c>
      <c r="F126" s="85">
        <f t="shared" si="13"/>
        <v>0.22013471332606463</v>
      </c>
      <c r="G126" s="85">
        <f t="shared" si="13"/>
        <v>0.44309040243178055</v>
      </c>
      <c r="H126" s="85">
        <f t="shared" si="14"/>
        <v>0.9034310205052255</v>
      </c>
      <c r="I126" s="85">
        <f t="shared" si="10"/>
        <v>0.9955829473687541</v>
      </c>
      <c r="J126" s="85">
        <f t="shared" si="15"/>
        <v>1.1020021725753832</v>
      </c>
      <c r="K126" s="21">
        <v>4.822</v>
      </c>
      <c r="L126" s="4">
        <f t="shared" si="16"/>
        <v>5.3138544761584985</v>
      </c>
      <c r="M126" s="2"/>
      <c r="N126" s="2"/>
    </row>
    <row r="127" spans="1:14" ht="12.75">
      <c r="A127" s="88">
        <v>38831</v>
      </c>
      <c r="B127" s="2">
        <f t="shared" si="17"/>
        <v>114</v>
      </c>
      <c r="C127" s="2">
        <f t="shared" si="11"/>
        <v>34</v>
      </c>
      <c r="D127" s="85">
        <f t="shared" si="12"/>
        <v>12.951112190978183</v>
      </c>
      <c r="E127" s="85">
        <f t="shared" si="9"/>
        <v>25.048887809021817</v>
      </c>
      <c r="F127" s="85">
        <f t="shared" si="13"/>
        <v>0.22603954952774594</v>
      </c>
      <c r="G127" s="85">
        <f t="shared" si="13"/>
        <v>0.4371855662300993</v>
      </c>
      <c r="H127" s="85">
        <f t="shared" si="14"/>
        <v>0.9059468567682483</v>
      </c>
      <c r="I127" s="85">
        <f t="shared" si="10"/>
        <v>0.9961199695463159</v>
      </c>
      <c r="J127" s="85">
        <f t="shared" si="15"/>
        <v>1.0995346604542997</v>
      </c>
      <c r="K127" s="21">
        <v>5.584</v>
      </c>
      <c r="L127" s="4">
        <f t="shared" si="16"/>
        <v>6.139801543976809</v>
      </c>
      <c r="M127" s="2"/>
      <c r="N127" s="2"/>
    </row>
    <row r="128" spans="1:14" ht="12.75">
      <c r="A128" s="88">
        <v>38832</v>
      </c>
      <c r="B128" s="2">
        <f t="shared" si="17"/>
        <v>115</v>
      </c>
      <c r="C128" s="2">
        <f t="shared" si="11"/>
        <v>35</v>
      </c>
      <c r="D128" s="85">
        <f t="shared" si="12"/>
        <v>13.285599034841798</v>
      </c>
      <c r="E128" s="85">
        <f t="shared" si="9"/>
        <v>24.7144009651582</v>
      </c>
      <c r="F128" s="85">
        <f t="shared" si="13"/>
        <v>0.23187744625777024</v>
      </c>
      <c r="G128" s="85">
        <f t="shared" si="13"/>
        <v>0.431347669500075</v>
      </c>
      <c r="H128" s="85">
        <f t="shared" si="14"/>
        <v>0.9084031203414211</v>
      </c>
      <c r="I128" s="85">
        <f t="shared" si="10"/>
        <v>0.9966167605638903</v>
      </c>
      <c r="J128" s="85">
        <f t="shared" si="15"/>
        <v>1.0971084733717276</v>
      </c>
      <c r="K128" s="21">
        <v>5.838</v>
      </c>
      <c r="L128" s="4">
        <f t="shared" si="16"/>
        <v>6.4049192675441455</v>
      </c>
      <c r="M128" s="2"/>
      <c r="N128" s="2"/>
    </row>
    <row r="129" spans="1:14" ht="12.75">
      <c r="A129" s="88">
        <v>38833</v>
      </c>
      <c r="B129" s="2">
        <f t="shared" si="17"/>
        <v>116</v>
      </c>
      <c r="C129" s="2">
        <f t="shared" si="11"/>
        <v>36</v>
      </c>
      <c r="D129" s="85">
        <f t="shared" si="12"/>
        <v>13.616151474385925</v>
      </c>
      <c r="E129" s="85">
        <f t="shared" si="9"/>
        <v>24.383848525614077</v>
      </c>
      <c r="F129" s="85">
        <f t="shared" si="13"/>
        <v>0.23764667467831474</v>
      </c>
      <c r="G129" s="85">
        <f t="shared" si="13"/>
        <v>0.4255784410795305</v>
      </c>
      <c r="H129" s="85">
        <f t="shared" si="14"/>
        <v>0.9108000772751492</v>
      </c>
      <c r="I129" s="85">
        <f t="shared" si="10"/>
        <v>0.9970743394293284</v>
      </c>
      <c r="J129" s="85">
        <f t="shared" si="15"/>
        <v>1.094723599949933</v>
      </c>
      <c r="K129" s="21">
        <v>4.569</v>
      </c>
      <c r="L129" s="4">
        <f t="shared" si="16"/>
        <v>5.001792128171243</v>
      </c>
      <c r="M129" s="2"/>
      <c r="N129" s="2"/>
    </row>
    <row r="130" spans="1:14" ht="12.75">
      <c r="A130" s="88">
        <v>38834</v>
      </c>
      <c r="B130" s="2">
        <f t="shared" si="17"/>
        <v>117</v>
      </c>
      <c r="C130" s="2">
        <f t="shared" si="11"/>
        <v>37</v>
      </c>
      <c r="D130" s="85">
        <f t="shared" si="12"/>
        <v>13.942671619636418</v>
      </c>
      <c r="E130" s="85">
        <f t="shared" si="9"/>
        <v>24.057328380363582</v>
      </c>
      <c r="F130" s="85">
        <f t="shared" si="13"/>
        <v>0.24334552628702596</v>
      </c>
      <c r="G130" s="85">
        <f t="shared" si="13"/>
        <v>0.41987958947081927</v>
      </c>
      <c r="H130" s="85">
        <f t="shared" si="14"/>
        <v>0.9131380323448223</v>
      </c>
      <c r="I130" s="85">
        <f t="shared" si="10"/>
        <v>0.997493754757087</v>
      </c>
      <c r="J130" s="85">
        <f t="shared" si="15"/>
        <v>1.092380033931617</v>
      </c>
      <c r="K130" s="21">
        <v>4.569</v>
      </c>
      <c r="L130" s="4">
        <f t="shared" si="16"/>
        <v>4.991084375033558</v>
      </c>
      <c r="M130" s="2"/>
      <c r="N130" s="2"/>
    </row>
    <row r="131" spans="1:14" ht="12.75">
      <c r="A131" s="88">
        <v>38835</v>
      </c>
      <c r="B131" s="2">
        <f t="shared" si="17"/>
        <v>118</v>
      </c>
      <c r="C131" s="2">
        <f t="shared" si="11"/>
        <v>38</v>
      </c>
      <c r="D131" s="85">
        <f t="shared" si="12"/>
        <v>14.265062774744896</v>
      </c>
      <c r="E131" s="85">
        <f t="shared" si="9"/>
        <v>23.734937225255102</v>
      </c>
      <c r="F131" s="85">
        <f t="shared" si="13"/>
        <v>0.24897231342297665</v>
      </c>
      <c r="G131" s="85">
        <f t="shared" si="13"/>
        <v>0.41425280233486855</v>
      </c>
      <c r="H131" s="85">
        <f t="shared" si="14"/>
        <v>0.915417327584488</v>
      </c>
      <c r="I131" s="85">
        <f t="shared" si="10"/>
        <v>0.997876082912061</v>
      </c>
      <c r="J131" s="85">
        <f t="shared" si="15"/>
        <v>1.0900777741941556</v>
      </c>
      <c r="K131" s="21">
        <v>5.076</v>
      </c>
      <c r="L131" s="4">
        <f t="shared" si="16"/>
        <v>5.533234781809534</v>
      </c>
      <c r="M131" s="2"/>
      <c r="N131" s="2"/>
    </row>
    <row r="132" spans="1:14" ht="12.75">
      <c r="A132" s="88">
        <v>38836</v>
      </c>
      <c r="B132" s="2">
        <f t="shared" si="17"/>
        <v>119</v>
      </c>
      <c r="C132" s="2">
        <f t="shared" si="11"/>
        <v>39</v>
      </c>
      <c r="D132" s="85">
        <f t="shared" si="12"/>
        <v>14.583229466624312</v>
      </c>
      <c r="E132" s="85">
        <f t="shared" si="9"/>
        <v>23.41677053337569</v>
      </c>
      <c r="F132" s="85">
        <f t="shared" si="13"/>
        <v>0.25452536976645074</v>
      </c>
      <c r="G132" s="85">
        <f t="shared" si="13"/>
        <v>0.4086997459913945</v>
      </c>
      <c r="H132" s="85">
        <f t="shared" si="14"/>
        <v>0.9176383407772822</v>
      </c>
      <c r="I132" s="85">
        <f t="shared" si="10"/>
        <v>0.9982224261261508</v>
      </c>
      <c r="J132" s="85">
        <f t="shared" si="15"/>
        <v>1.0878168247423163</v>
      </c>
      <c r="K132" s="21">
        <v>5.584</v>
      </c>
      <c r="L132" s="4">
        <f t="shared" si="16"/>
        <v>6.074369149361094</v>
      </c>
      <c r="M132" s="2"/>
      <c r="N132" s="2"/>
    </row>
    <row r="133" spans="1:14" ht="12.75">
      <c r="A133" s="88">
        <v>38837</v>
      </c>
      <c r="B133" s="2">
        <f t="shared" si="17"/>
        <v>120</v>
      </c>
      <c r="C133" s="2">
        <f t="shared" si="11"/>
        <v>40</v>
      </c>
      <c r="D133" s="85">
        <f t="shared" si="12"/>
        <v>14.897077473222378</v>
      </c>
      <c r="E133" s="85">
        <f t="shared" si="9"/>
        <v>23.102922526777622</v>
      </c>
      <c r="F133" s="85">
        <f t="shared" si="13"/>
        <v>0.2600030508324079</v>
      </c>
      <c r="G133" s="85">
        <f t="shared" si="13"/>
        <v>0.40322206492543733</v>
      </c>
      <c r="H133" s="85">
        <f t="shared" si="14"/>
        <v>0.919801483905428</v>
      </c>
      <c r="I133" s="85">
        <f t="shared" si="10"/>
        <v>0.9985339105905566</v>
      </c>
      <c r="J133" s="85">
        <f t="shared" si="15"/>
        <v>1.0855971946803509</v>
      </c>
      <c r="K133" s="21">
        <v>5.584</v>
      </c>
      <c r="L133" s="4">
        <f t="shared" si="16"/>
        <v>6.061974735095079</v>
      </c>
      <c r="M133" s="2"/>
      <c r="N133" s="2"/>
    </row>
    <row r="134" spans="1:14" ht="12.75">
      <c r="A134" s="88">
        <v>38838</v>
      </c>
      <c r="B134" s="2">
        <f t="shared" si="17"/>
        <v>121</v>
      </c>
      <c r="C134" s="2">
        <f t="shared" si="11"/>
        <v>41</v>
      </c>
      <c r="D134" s="85">
        <f t="shared" si="12"/>
        <v>15.206513851424562</v>
      </c>
      <c r="E134" s="85">
        <f t="shared" si="9"/>
        <v>22.79348614857544</v>
      </c>
      <c r="F134" s="85">
        <f t="shared" si="13"/>
        <v>0.26540373445748244</v>
      </c>
      <c r="G134" s="85">
        <f t="shared" si="13"/>
        <v>0.3978213813003628</v>
      </c>
      <c r="H134" s="85">
        <f t="shared" si="14"/>
        <v>0.92190720156267</v>
      </c>
      <c r="I134" s="85">
        <f t="shared" si="10"/>
        <v>0.9988116845268075</v>
      </c>
      <c r="J134" s="85">
        <f t="shared" si="15"/>
        <v>1.0834188981643502</v>
      </c>
      <c r="K134" s="21">
        <v>6.091</v>
      </c>
      <c r="L134" s="4">
        <f t="shared" si="16"/>
        <v>6.599104508719058</v>
      </c>
      <c r="M134" s="2"/>
      <c r="N134" s="2"/>
    </row>
    <row r="135" spans="1:14" ht="12.75">
      <c r="A135" s="88">
        <v>38839</v>
      </c>
      <c r="B135" s="2">
        <f t="shared" si="17"/>
        <v>122</v>
      </c>
      <c r="C135" s="2">
        <f t="shared" si="11"/>
        <v>42</v>
      </c>
      <c r="D135" s="85">
        <f t="shared" si="12"/>
        <v>15.511446964578283</v>
      </c>
      <c r="E135" s="85">
        <f t="shared" si="9"/>
        <v>22.488553035421717</v>
      </c>
      <c r="F135" s="85">
        <f t="shared" si="13"/>
        <v>0.2707258212803713</v>
      </c>
      <c r="G135" s="85">
        <f t="shared" si="13"/>
        <v>0.39249929447747395</v>
      </c>
      <c r="H135" s="85">
        <f t="shared" si="14"/>
        <v>0.9239559693320537</v>
      </c>
      <c r="I135" s="85">
        <f t="shared" si="10"/>
        <v>0.9990569162395224</v>
      </c>
      <c r="J135" s="85">
        <f t="shared" si="15"/>
        <v>1.0812819543357253</v>
      </c>
      <c r="K135" s="21">
        <v>8.376</v>
      </c>
      <c r="L135" s="4">
        <f t="shared" si="16"/>
        <v>9.056817649516034</v>
      </c>
      <c r="M135" s="2"/>
      <c r="N135" s="2"/>
    </row>
    <row r="136" spans="1:14" ht="12.75">
      <c r="A136" s="88">
        <v>38840</v>
      </c>
      <c r="B136" s="2">
        <f t="shared" si="17"/>
        <v>123</v>
      </c>
      <c r="C136" s="2">
        <f t="shared" si="11"/>
        <v>43</v>
      </c>
      <c r="D136" s="85">
        <f t="shared" si="12"/>
        <v>15.811786509630256</v>
      </c>
      <c r="E136" s="85">
        <f t="shared" si="9"/>
        <v>22.188213490369744</v>
      </c>
      <c r="F136" s="85">
        <f t="shared" si="13"/>
        <v>0.2759677352154701</v>
      </c>
      <c r="G136" s="85">
        <f t="shared" si="13"/>
        <v>0.3872573805423752</v>
      </c>
      <c r="H136" s="85">
        <f t="shared" si="14"/>
        <v>0.9259482921320029</v>
      </c>
      <c r="I136" s="85">
        <f t="shared" si="10"/>
        <v>0.9992707921539001</v>
      </c>
      <c r="J136" s="85">
        <f t="shared" si="15"/>
        <v>1.0791863872366692</v>
      </c>
      <c r="K136" s="21">
        <v>7.614</v>
      </c>
      <c r="L136" s="4">
        <f t="shared" si="16"/>
        <v>8.216925152419998</v>
      </c>
      <c r="M136" s="2"/>
      <c r="N136" s="2"/>
    </row>
    <row r="137" spans="1:14" ht="12.75">
      <c r="A137" s="88">
        <v>38841</v>
      </c>
      <c r="B137" s="2">
        <f t="shared" si="17"/>
        <v>124</v>
      </c>
      <c r="C137" s="2">
        <f t="shared" si="11"/>
        <v>44</v>
      </c>
      <c r="D137" s="85">
        <f t="shared" si="12"/>
        <v>16.10744354386889</v>
      </c>
      <c r="E137" s="85">
        <f t="shared" si="9"/>
        <v>21.89255645613111</v>
      </c>
      <c r="F137" s="85">
        <f t="shared" si="13"/>
        <v>0.28112792391961583</v>
      </c>
      <c r="G137" s="85">
        <f t="shared" si="13"/>
        <v>0.38209719183822943</v>
      </c>
      <c r="H137" s="85">
        <f t="shared" si="14"/>
        <v>0.9278847025336776</v>
      </c>
      <c r="I137" s="85">
        <f t="shared" si="10"/>
        <v>0.9994545148409164</v>
      </c>
      <c r="J137" s="85">
        <f t="shared" si="15"/>
        <v>1.0771322257084426</v>
      </c>
      <c r="K137" s="21">
        <v>6.599</v>
      </c>
      <c r="L137" s="4">
        <f t="shared" si="16"/>
        <v>7.107995557450013</v>
      </c>
      <c r="M137" s="2"/>
      <c r="N137" s="2"/>
    </row>
    <row r="138" spans="1:14" ht="12.75">
      <c r="A138" s="88">
        <v>38842</v>
      </c>
      <c r="B138" s="2">
        <f t="shared" si="17"/>
        <v>125</v>
      </c>
      <c r="C138" s="2">
        <f t="shared" si="11"/>
        <v>45</v>
      </c>
      <c r="D138" s="85">
        <f t="shared" si="12"/>
        <v>16.398330511263808</v>
      </c>
      <c r="E138" s="85">
        <f t="shared" si="9"/>
        <v>21.601669488736192</v>
      </c>
      <c r="F138" s="85">
        <f t="shared" si="13"/>
        <v>0.28620485925179856</v>
      </c>
      <c r="G138" s="85">
        <f t="shared" si="13"/>
        <v>0.3770202565060467</v>
      </c>
      <c r="H138" s="85">
        <f t="shared" si="14"/>
        <v>0.9297657590526246</v>
      </c>
      <c r="I138" s="85">
        <f t="shared" si="10"/>
        <v>0.9996093010331955</v>
      </c>
      <c r="J138" s="85">
        <f t="shared" si="15"/>
        <v>1.075119503273316</v>
      </c>
      <c r="K138" s="21">
        <v>6.091</v>
      </c>
      <c r="L138" s="4">
        <f t="shared" si="16"/>
        <v>6.548552894437768</v>
      </c>
      <c r="M138" s="2"/>
      <c r="N138" s="2"/>
    </row>
    <row r="139" spans="1:14" ht="12.75">
      <c r="A139" s="88">
        <v>38843</v>
      </c>
      <c r="B139" s="2">
        <f t="shared" si="17"/>
        <v>126</v>
      </c>
      <c r="C139" s="2">
        <f t="shared" si="11"/>
        <v>46</v>
      </c>
      <c r="D139" s="85">
        <f t="shared" si="12"/>
        <v>16.684361268394756</v>
      </c>
      <c r="E139" s="85">
        <f t="shared" si="9"/>
        <v>21.315638731605244</v>
      </c>
      <c r="F139" s="85">
        <f t="shared" si="13"/>
        <v>0.2911970377257058</v>
      </c>
      <c r="G139" s="85">
        <f t="shared" si="13"/>
        <v>0.3720280780321394</v>
      </c>
      <c r="H139" s="85">
        <f t="shared" si="14"/>
        <v>0.9315920444177502</v>
      </c>
      <c r="I139" s="85">
        <f t="shared" si="10"/>
        <v>0.9997363796344894</v>
      </c>
      <c r="J139" s="85">
        <f t="shared" si="15"/>
        <v>1.0731482580009897</v>
      </c>
      <c r="K139" s="21">
        <v>6.345</v>
      </c>
      <c r="L139" s="4">
        <f t="shared" si="16"/>
        <v>6.809125697016279</v>
      </c>
      <c r="M139" s="2"/>
      <c r="N139" s="2"/>
    </row>
    <row r="140" spans="1:14" ht="12.75">
      <c r="A140" s="88">
        <v>38844</v>
      </c>
      <c r="B140" s="2">
        <f t="shared" si="17"/>
        <v>127</v>
      </c>
      <c r="C140" s="2">
        <f t="shared" si="11"/>
        <v>47</v>
      </c>
      <c r="D140" s="85">
        <f t="shared" si="12"/>
        <v>16.965451109962153</v>
      </c>
      <c r="E140" s="85">
        <f t="shared" si="9"/>
        <v>21.034548890037847</v>
      </c>
      <c r="F140" s="85">
        <f t="shared" si="13"/>
        <v>0.2961029809549661</v>
      </c>
      <c r="G140" s="85">
        <f t="shared" si="13"/>
        <v>0.3671221348028791</v>
      </c>
      <c r="H140" s="85">
        <f t="shared" si="14"/>
        <v>0.9333641638206617</v>
      </c>
      <c r="I140" s="85">
        <f t="shared" si="10"/>
        <v>0.9998369897256781</v>
      </c>
      <c r="J140" s="85">
        <f t="shared" si="15"/>
        <v>1.071218532360311</v>
      </c>
      <c r="K140" s="21">
        <v>6.599</v>
      </c>
      <c r="L140" s="4">
        <f t="shared" si="16"/>
        <v>7.0689710950456925</v>
      </c>
      <c r="M140" s="2"/>
      <c r="N140" s="2"/>
    </row>
    <row r="141" spans="1:14" ht="12.75">
      <c r="A141" s="88">
        <v>38845</v>
      </c>
      <c r="B141" s="2">
        <f t="shared" si="17"/>
        <v>128</v>
      </c>
      <c r="C141" s="2">
        <f t="shared" si="11"/>
        <v>48</v>
      </c>
      <c r="D141" s="85">
        <f t="shared" si="12"/>
        <v>17.241516793871764</v>
      </c>
      <c r="E141" s="85">
        <f t="shared" si="9"/>
        <v>20.758483206128236</v>
      </c>
      <c r="F141" s="85">
        <f t="shared" si="13"/>
        <v>0.3009212360909588</v>
      </c>
      <c r="G141" s="85">
        <f t="shared" si="13"/>
        <v>0.3623038796668865</v>
      </c>
      <c r="H141" s="85">
        <f t="shared" si="14"/>
        <v>0.935082743148429</v>
      </c>
      <c r="I141" s="85">
        <f t="shared" si="10"/>
        <v>0.9999123785701653</v>
      </c>
      <c r="J141" s="85">
        <f t="shared" si="15"/>
        <v>1.0693303730570993</v>
      </c>
      <c r="K141" s="21">
        <v>6.599</v>
      </c>
      <c r="L141" s="4">
        <f t="shared" si="16"/>
        <v>7.0565111318037985</v>
      </c>
      <c r="M141" s="2"/>
      <c r="N141" s="2"/>
    </row>
    <row r="142" spans="1:14" ht="12.75">
      <c r="A142" s="88">
        <v>38846</v>
      </c>
      <c r="B142" s="2">
        <f t="shared" si="17"/>
        <v>129</v>
      </c>
      <c r="C142" s="2">
        <f t="shared" si="11"/>
        <v>49</v>
      </c>
      <c r="D142" s="85">
        <f t="shared" si="12"/>
        <v>17.512476565886054</v>
      </c>
      <c r="E142" s="85">
        <f aca="true" t="shared" si="18" ref="E142:E205">C$9-D142</f>
        <v>20.487523434113946</v>
      </c>
      <c r="F142" s="85">
        <f t="shared" si="13"/>
        <v>0.3056503762530613</v>
      </c>
      <c r="G142" s="85">
        <f t="shared" si="13"/>
        <v>0.3575747395047839</v>
      </c>
      <c r="H142" s="85">
        <f t="shared" si="14"/>
        <v>0.9367484272028223</v>
      </c>
      <c r="I142" s="85">
        <f aca="true" t="shared" si="19" ref="I142:I205">COS(D$10)*COS(G142)+SIN(D$10)*SIN(G142)*COS(RADIANS(180)-D$11)</f>
        <v>0.999963799621505</v>
      </c>
      <c r="J142" s="85">
        <f t="shared" si="15"/>
        <v>1.0674838308588859</v>
      </c>
      <c r="K142" s="21">
        <v>6.345</v>
      </c>
      <c r="L142" s="4">
        <f t="shared" si="16"/>
        <v>6.773184906799631</v>
      </c>
      <c r="M142" s="2"/>
      <c r="N142" s="2"/>
    </row>
    <row r="143" spans="1:14" ht="12.75">
      <c r="A143" s="88">
        <v>38847</v>
      </c>
      <c r="B143" s="2">
        <f t="shared" si="17"/>
        <v>130</v>
      </c>
      <c r="C143" s="2">
        <f aca="true" t="shared" si="20" ref="C143:C206">(B143-80)</f>
        <v>50</v>
      </c>
      <c r="D143" s="85">
        <f aca="true" t="shared" si="21" ref="D143:D206">23.45*SIN(RADIANS(0.986*C143))</f>
        <v>17.778250183834945</v>
      </c>
      <c r="E143" s="85">
        <f t="shared" si="18"/>
        <v>20.221749816165055</v>
      </c>
      <c r="F143" s="85">
        <f aca="true" t="shared" si="22" ref="F143:G206">RADIANS(D143)</f>
        <v>0.310289000951207</v>
      </c>
      <c r="G143" s="85">
        <f t="shared" si="22"/>
        <v>0.3529361148066383</v>
      </c>
      <c r="H143" s="85">
        <f aca="true" t="shared" si="23" ref="H143:H206">COS(0)*COS(G143)+SIN(0)*SIN(G143)*COS(RADIANS(180-0))</f>
        <v>0.9383618779090754</v>
      </c>
      <c r="I143" s="85">
        <f t="shared" si="19"/>
        <v>0.9999925105360556</v>
      </c>
      <c r="J143" s="85">
        <f aca="true" t="shared" si="24" ref="J143:J206">I143/H143</f>
        <v>1.065678960407375</v>
      </c>
      <c r="K143" s="21">
        <v>6.345</v>
      </c>
      <c r="L143" s="4">
        <f aca="true" t="shared" si="25" ref="L143:L206">J143*K143</f>
        <v>6.761733003784794</v>
      </c>
      <c r="M143" s="2"/>
      <c r="N143" s="2"/>
    </row>
    <row r="144" spans="1:14" ht="12.75">
      <c r="A144" s="88">
        <v>38848</v>
      </c>
      <c r="B144" s="2">
        <f aca="true" t="shared" si="26" ref="B144:B207">B143+1</f>
        <v>131</v>
      </c>
      <c r="C144" s="2">
        <f t="shared" si="20"/>
        <v>51</v>
      </c>
      <c r="D144" s="85">
        <f t="shared" si="21"/>
        <v>18.038758941378752</v>
      </c>
      <c r="E144" s="85">
        <f t="shared" si="18"/>
        <v>19.961241058621248</v>
      </c>
      <c r="F144" s="85">
        <f t="shared" si="22"/>
        <v>0.314835736500626</v>
      </c>
      <c r="G144" s="85">
        <f t="shared" si="22"/>
        <v>0.3483893792572192</v>
      </c>
      <c r="H144" s="85">
        <f t="shared" si="23"/>
        <v>0.939923772517216</v>
      </c>
      <c r="I144" s="85">
        <f t="shared" si="19"/>
        <v>0.9999997711934061</v>
      </c>
      <c r="J144" s="85">
        <f t="shared" si="24"/>
        <v>1.0639158200194259</v>
      </c>
      <c r="K144" s="21">
        <v>5.838</v>
      </c>
      <c r="L144" s="4">
        <f t="shared" si="25"/>
        <v>6.211140557273408</v>
      </c>
      <c r="M144" s="2"/>
      <c r="N144" s="2"/>
    </row>
    <row r="145" spans="1:14" ht="12.75">
      <c r="A145" s="88">
        <v>38849</v>
      </c>
      <c r="B145" s="2">
        <f t="shared" si="26"/>
        <v>132</v>
      </c>
      <c r="C145" s="2">
        <f t="shared" si="20"/>
        <v>52</v>
      </c>
      <c r="D145" s="85">
        <f t="shared" si="21"/>
        <v>18.293925691316346</v>
      </c>
      <c r="E145" s="85">
        <f t="shared" si="18"/>
        <v>19.706074308683654</v>
      </c>
      <c r="F145" s="85">
        <f t="shared" si="22"/>
        <v>0.3192892364286501</v>
      </c>
      <c r="G145" s="85">
        <f t="shared" si="22"/>
        <v>0.34393587932919517</v>
      </c>
      <c r="H145" s="85">
        <f t="shared" si="23"/>
        <v>0.9414348017989884</v>
      </c>
      <c r="I145" s="85">
        <f t="shared" si="19"/>
        <v>0.999986841727269</v>
      </c>
      <c r="J145" s="85">
        <f t="shared" si="24"/>
        <v>1.0621944714773592</v>
      </c>
      <c r="K145" s="21">
        <v>4.822</v>
      </c>
      <c r="L145" s="4">
        <f t="shared" si="25"/>
        <v>5.121901741463827</v>
      </c>
      <c r="M145" s="2"/>
      <c r="N145" s="2"/>
    </row>
    <row r="146" spans="1:14" ht="12.75">
      <c r="A146" s="88">
        <v>38850</v>
      </c>
      <c r="B146" s="2">
        <f t="shared" si="26"/>
        <v>133</v>
      </c>
      <c r="C146" s="2">
        <f t="shared" si="20"/>
        <v>53</v>
      </c>
      <c r="D146" s="85">
        <f t="shared" si="21"/>
        <v>18.543674868431548</v>
      </c>
      <c r="E146" s="85">
        <f t="shared" si="18"/>
        <v>19.456325131568452</v>
      </c>
      <c r="F146" s="85">
        <f t="shared" si="22"/>
        <v>0.32364818187345684</v>
      </c>
      <c r="G146" s="85">
        <f t="shared" si="22"/>
        <v>0.3395769338843884</v>
      </c>
      <c r="H146" s="85">
        <f t="shared" si="23"/>
        <v>0.9428956682433746</v>
      </c>
      <c r="I146" s="85">
        <f t="shared" si="19"/>
        <v>0.9999549805694863</v>
      </c>
      <c r="J146" s="85">
        <f t="shared" si="24"/>
        <v>1.0605149798093927</v>
      </c>
      <c r="K146" s="21">
        <v>3.807</v>
      </c>
      <c r="L146" s="4">
        <f t="shared" si="25"/>
        <v>4.037380528134358</v>
      </c>
      <c r="M146" s="2"/>
      <c r="N146" s="2"/>
    </row>
    <row r="147" spans="1:14" ht="12.75">
      <c r="A147" s="88">
        <v>38851</v>
      </c>
      <c r="B147" s="2">
        <f t="shared" si="26"/>
        <v>134</v>
      </c>
      <c r="C147" s="2">
        <f t="shared" si="20"/>
        <v>54</v>
      </c>
      <c r="D147" s="85">
        <f t="shared" si="21"/>
        <v>18.78793251187105</v>
      </c>
      <c r="E147" s="85">
        <f t="shared" si="18"/>
        <v>19.21206748812895</v>
      </c>
      <c r="F147" s="85">
        <f t="shared" si="22"/>
        <v>0.3279112819746384</v>
      </c>
      <c r="G147" s="85">
        <f t="shared" si="22"/>
        <v>0.3353138337832068</v>
      </c>
      <c r="H147" s="85">
        <f t="shared" si="23"/>
        <v>0.944307084253692</v>
      </c>
      <c r="I147" s="85">
        <f t="shared" si="19"/>
        <v>0.9999054425097255</v>
      </c>
      <c r="J147" s="85">
        <f t="shared" si="24"/>
        <v>1.0588774130610004</v>
      </c>
      <c r="K147" s="21">
        <v>5.33</v>
      </c>
      <c r="L147" s="4">
        <f t="shared" si="25"/>
        <v>5.643816611615132</v>
      </c>
      <c r="M147" s="2"/>
      <c r="N147" s="2"/>
    </row>
    <row r="148" spans="1:14" ht="12.75">
      <c r="A148" s="88">
        <v>38852</v>
      </c>
      <c r="B148" s="2">
        <f t="shared" si="26"/>
        <v>135</v>
      </c>
      <c r="C148" s="2">
        <f t="shared" si="20"/>
        <v>55</v>
      </c>
      <c r="D148" s="85">
        <f t="shared" si="21"/>
        <v>19.02662628704724</v>
      </c>
      <c r="E148" s="85">
        <f t="shared" si="18"/>
        <v>18.97337371295276</v>
      </c>
      <c r="F148" s="85">
        <f t="shared" si="22"/>
        <v>0.33207727425547806</v>
      </c>
      <c r="G148" s="85">
        <f t="shared" si="22"/>
        <v>0.33114784150236715</v>
      </c>
      <c r="H148" s="85">
        <f t="shared" si="23"/>
        <v>0.9456697703492187</v>
      </c>
      <c r="I148" s="85">
        <f t="shared" si="19"/>
        <v>0.9998394767733941</v>
      </c>
      <c r="J148" s="85">
        <f t="shared" si="24"/>
        <v>1.0572818420580068</v>
      </c>
      <c r="K148" s="21">
        <v>4.569</v>
      </c>
      <c r="L148" s="4">
        <f t="shared" si="25"/>
        <v>4.830720736363033</v>
      </c>
      <c r="M148" s="2"/>
      <c r="N148" s="2"/>
    </row>
    <row r="149" spans="1:14" ht="12.75">
      <c r="A149" s="88">
        <v>38853</v>
      </c>
      <c r="B149" s="2">
        <f t="shared" si="26"/>
        <v>136</v>
      </c>
      <c r="C149" s="2">
        <f t="shared" si="20"/>
        <v>56</v>
      </c>
      <c r="D149" s="85">
        <f t="shared" si="21"/>
        <v>19.259685507059395</v>
      </c>
      <c r="E149" s="85">
        <f t="shared" si="18"/>
        <v>18.740314492940605</v>
      </c>
      <c r="F149" s="85">
        <f t="shared" si="22"/>
        <v>0.33614492499682</v>
      </c>
      <c r="G149" s="85">
        <f t="shared" si="22"/>
        <v>0.3270801907610252</v>
      </c>
      <c r="H149" s="85">
        <f t="shared" si="23"/>
        <v>0.9469844533742579</v>
      </c>
      <c r="I149" s="85">
        <f t="shared" si="19"/>
        <v>0.9997583251202299</v>
      </c>
      <c r="J149" s="85">
        <f t="shared" si="24"/>
        <v>1.0557283401622173</v>
      </c>
      <c r="K149" s="21">
        <v>5.838</v>
      </c>
      <c r="L149" s="4">
        <f t="shared" si="25"/>
        <v>6.163342049867024</v>
      </c>
      <c r="M149" s="2"/>
      <c r="N149" s="2"/>
    </row>
    <row r="150" spans="1:14" ht="12.75">
      <c r="A150" s="88">
        <v>38854</v>
      </c>
      <c r="B150" s="2">
        <f t="shared" si="26"/>
        <v>137</v>
      </c>
      <c r="C150" s="2">
        <f t="shared" si="20"/>
        <v>57</v>
      </c>
      <c r="D150" s="85">
        <f t="shared" si="21"/>
        <v>19.487041153626915</v>
      </c>
      <c r="E150" s="85">
        <f t="shared" si="18"/>
        <v>18.512958846373085</v>
      </c>
      <c r="F150" s="85">
        <f t="shared" si="22"/>
        <v>0.3401130296024238</v>
      </c>
      <c r="G150" s="85">
        <f t="shared" si="22"/>
        <v>0.3231120861554214</v>
      </c>
      <c r="H150" s="85">
        <f t="shared" si="23"/>
        <v>0.9482518647175181</v>
      </c>
      <c r="I150" s="85">
        <f t="shared" si="19"/>
        <v>0.999663219965961</v>
      </c>
      <c r="J150" s="85">
        <f t="shared" si="24"/>
        <v>1.05421698302039</v>
      </c>
      <c r="K150" s="21">
        <v>5.838</v>
      </c>
      <c r="L150" s="4">
        <f t="shared" si="25"/>
        <v>6.154518746873037</v>
      </c>
      <c r="M150" s="2"/>
      <c r="N150" s="2"/>
    </row>
    <row r="151" spans="1:14" ht="12.75">
      <c r="A151" s="88">
        <v>38855</v>
      </c>
      <c r="B151" s="2">
        <f t="shared" si="26"/>
        <v>138</v>
      </c>
      <c r="C151" s="2">
        <f t="shared" si="20"/>
        <v>58</v>
      </c>
      <c r="D151" s="85">
        <f t="shared" si="21"/>
        <v>19.70862589752849</v>
      </c>
      <c r="E151" s="85">
        <f t="shared" si="18"/>
        <v>18.29137410247151</v>
      </c>
      <c r="F151" s="85">
        <f t="shared" si="22"/>
        <v>0.3439804129556947</v>
      </c>
      <c r="G151" s="85">
        <f t="shared" si="22"/>
        <v>0.31924470280215056</v>
      </c>
      <c r="H151" s="85">
        <f t="shared" si="23"/>
        <v>0.9494727385446392</v>
      </c>
      <c r="I151" s="85">
        <f t="shared" si="19"/>
        <v>0.9995553825293637</v>
      </c>
      <c r="J151" s="85">
        <f t="shared" si="24"/>
        <v>1.052747848307358</v>
      </c>
      <c r="K151" s="21">
        <v>6.345</v>
      </c>
      <c r="L151" s="4">
        <f t="shared" si="25"/>
        <v>6.679685097510187</v>
      </c>
      <c r="M151" s="2"/>
      <c r="N151" s="2"/>
    </row>
    <row r="152" spans="1:14" ht="12.75">
      <c r="A152" s="88">
        <v>38856</v>
      </c>
      <c r="B152" s="2">
        <f t="shared" si="26"/>
        <v>139</v>
      </c>
      <c r="C152" s="2">
        <f t="shared" si="20"/>
        <v>59</v>
      </c>
      <c r="D152" s="85">
        <f t="shared" si="21"/>
        <v>19.924374118540943</v>
      </c>
      <c r="E152" s="85">
        <f t="shared" si="18"/>
        <v>18.075625881459057</v>
      </c>
      <c r="F152" s="85">
        <f t="shared" si="22"/>
        <v>0.3477459297676824</v>
      </c>
      <c r="G152" s="85">
        <f t="shared" si="22"/>
        <v>0.3154791859901628</v>
      </c>
      <c r="H152" s="85">
        <f t="shared" si="23"/>
        <v>0.9506478100466448</v>
      </c>
      <c r="I152" s="85">
        <f t="shared" si="19"/>
        <v>0.9994360210069735</v>
      </c>
      <c r="J152" s="85">
        <f t="shared" si="24"/>
        <v>1.0513210154641126</v>
      </c>
      <c r="K152" s="21">
        <v>6.091</v>
      </c>
      <c r="L152" s="4">
        <f t="shared" si="25"/>
        <v>6.40359630519191</v>
      </c>
      <c r="M152" s="2"/>
      <c r="N152" s="2"/>
    </row>
    <row r="153" spans="1:14" ht="12.75">
      <c r="A153" s="88">
        <v>38857</v>
      </c>
      <c r="B153" s="2">
        <f t="shared" si="26"/>
        <v>140</v>
      </c>
      <c r="C153" s="2">
        <f t="shared" si="20"/>
        <v>60</v>
      </c>
      <c r="D153" s="85">
        <f t="shared" si="21"/>
        <v>20.134221924872083</v>
      </c>
      <c r="E153" s="85">
        <f t="shared" si="18"/>
        <v>17.865778075127917</v>
      </c>
      <c r="F153" s="85">
        <f t="shared" si="22"/>
        <v>0.3514084649162482</v>
      </c>
      <c r="G153" s="85">
        <f t="shared" si="22"/>
        <v>0.311816650841597</v>
      </c>
      <c r="H153" s="85">
        <f t="shared" si="23"/>
        <v>0.9517778137070557</v>
      </c>
      <c r="I153" s="85">
        <f t="shared" si="19"/>
        <v>0.9993063287776368</v>
      </c>
      <c r="J153" s="85">
        <f t="shared" si="24"/>
        <v>1.0499365654316561</v>
      </c>
      <c r="K153" s="21">
        <v>6.345</v>
      </c>
      <c r="L153" s="4">
        <f t="shared" si="25"/>
        <v>6.661847507663858</v>
      </c>
      <c r="M153" s="2"/>
      <c r="N153" s="2"/>
    </row>
    <row r="154" spans="1:14" ht="12.75">
      <c r="A154" s="88">
        <v>38858</v>
      </c>
      <c r="B154" s="2">
        <f t="shared" si="26"/>
        <v>141</v>
      </c>
      <c r="C154" s="2">
        <f t="shared" si="20"/>
        <v>61</v>
      </c>
      <c r="D154" s="85">
        <f t="shared" si="21"/>
        <v>20.338107172081646</v>
      </c>
      <c r="E154" s="85">
        <f t="shared" si="18"/>
        <v>17.661892827918354</v>
      </c>
      <c r="F154" s="85">
        <f t="shared" si="22"/>
        <v>0.3549669337762977</v>
      </c>
      <c r="G154" s="85">
        <f t="shared" si="22"/>
        <v>0.30825818198154753</v>
      </c>
      <c r="H154" s="85">
        <f t="shared" si="23"/>
        <v>0.952863481590339</v>
      </c>
      <c r="I154" s="85">
        <f t="shared" si="19"/>
        <v>0.9991674826390153</v>
      </c>
      <c r="J154" s="85">
        <f t="shared" si="24"/>
        <v>1.0485945803814356</v>
      </c>
      <c r="K154" s="21">
        <v>7.107</v>
      </c>
      <c r="L154" s="4">
        <f t="shared" si="25"/>
        <v>7.452361682770863</v>
      </c>
      <c r="M154" s="2"/>
      <c r="N154" s="2"/>
    </row>
    <row r="155" spans="1:14" ht="12.75">
      <c r="A155" s="88">
        <v>38859</v>
      </c>
      <c r="B155" s="2">
        <f t="shared" si="26"/>
        <v>142</v>
      </c>
      <c r="C155" s="2">
        <f t="shared" si="20"/>
        <v>62</v>
      </c>
      <c r="D155" s="85">
        <f t="shared" si="21"/>
        <v>20.53596948148477</v>
      </c>
      <c r="E155" s="85">
        <f t="shared" si="18"/>
        <v>17.46403051851523</v>
      </c>
      <c r="F155" s="85">
        <f t="shared" si="22"/>
        <v>0.3584202825409819</v>
      </c>
      <c r="G155" s="85">
        <f t="shared" si="22"/>
        <v>0.3048048332168633</v>
      </c>
      <c r="H155" s="85">
        <f t="shared" si="23"/>
        <v>0.9539055416543084</v>
      </c>
      <c r="I155" s="85">
        <f t="shared" si="19"/>
        <v>0.9990206410780855</v>
      </c>
      <c r="J155" s="85">
        <f t="shared" si="24"/>
        <v>1.0472951434431719</v>
      </c>
      <c r="K155" s="21">
        <v>6.091</v>
      </c>
      <c r="L155" s="4">
        <f t="shared" si="25"/>
        <v>6.37907471871236</v>
      </c>
      <c r="M155" s="2"/>
      <c r="N155" s="2"/>
    </row>
    <row r="156" spans="1:14" ht="12.75">
      <c r="A156" s="88">
        <v>38860</v>
      </c>
      <c r="B156" s="2">
        <f t="shared" si="26"/>
        <v>143</v>
      </c>
      <c r="C156" s="2">
        <f t="shared" si="20"/>
        <v>63</v>
      </c>
      <c r="D156" s="85">
        <f t="shared" si="21"/>
        <v>20.72775025803258</v>
      </c>
      <c r="E156" s="85">
        <f t="shared" si="18"/>
        <v>17.27224974196742</v>
      </c>
      <c r="F156" s="85">
        <f t="shared" si="22"/>
        <v>0.3617674885337727</v>
      </c>
      <c r="G156" s="85">
        <f t="shared" si="22"/>
        <v>0.3014576272240725</v>
      </c>
      <c r="H156" s="85">
        <f t="shared" si="23"/>
        <v>0.9549047160890374</v>
      </c>
      <c r="I156" s="85">
        <f t="shared" si="19"/>
        <v>0.9988669425775976</v>
      </c>
      <c r="J156" s="85">
        <f t="shared" si="24"/>
        <v>1.0460383384308902</v>
      </c>
      <c r="K156" s="21">
        <v>6.345</v>
      </c>
      <c r="L156" s="4">
        <f t="shared" si="25"/>
        <v>6.637113257343998</v>
      </c>
      <c r="M156" s="2"/>
      <c r="N156" s="2"/>
    </row>
    <row r="157" spans="1:14" ht="12.75">
      <c r="A157" s="88">
        <v>38861</v>
      </c>
      <c r="B157" s="2">
        <f t="shared" si="26"/>
        <v>144</v>
      </c>
      <c r="C157" s="2">
        <f t="shared" si="20"/>
        <v>64</v>
      </c>
      <c r="D157" s="85">
        <f t="shared" si="21"/>
        <v>20.91339270766455</v>
      </c>
      <c r="E157" s="85">
        <f t="shared" si="18"/>
        <v>17.08660729233545</v>
      </c>
      <c r="F157" s="85">
        <f t="shared" si="22"/>
        <v>0.36500756051131833</v>
      </c>
      <c r="G157" s="85">
        <f t="shared" si="22"/>
        <v>0.2982175552465269</v>
      </c>
      <c r="H157" s="85">
        <f t="shared" si="23"/>
        <v>0.9558617196847721</v>
      </c>
      <c r="I157" s="85">
        <f t="shared" si="19"/>
        <v>0.9987075039603889</v>
      </c>
      <c r="J157" s="85">
        <f t="shared" si="24"/>
        <v>1.0448242495679674</v>
      </c>
      <c r="K157" s="21">
        <v>6.345</v>
      </c>
      <c r="L157" s="4">
        <f t="shared" si="25"/>
        <v>6.629409863508752</v>
      </c>
      <c r="M157" s="2"/>
      <c r="N157" s="2"/>
    </row>
    <row r="158" spans="1:14" ht="12.75">
      <c r="A158" s="88">
        <v>38862</v>
      </c>
      <c r="B158" s="2">
        <f t="shared" si="26"/>
        <v>145</v>
      </c>
      <c r="C158" s="2">
        <f t="shared" si="20"/>
        <v>65</v>
      </c>
      <c r="D158" s="85">
        <f t="shared" si="21"/>
        <v>21.092841854127542</v>
      </c>
      <c r="E158" s="85">
        <f t="shared" si="18"/>
        <v>16.907158145872458</v>
      </c>
      <c r="F158" s="85">
        <f t="shared" si="22"/>
        <v>0.3681395389569911</v>
      </c>
      <c r="G158" s="85">
        <f t="shared" si="22"/>
        <v>0.2950855768008541</v>
      </c>
      <c r="H158" s="85">
        <f t="shared" si="23"/>
        <v>0.9567772582312728</v>
      </c>
      <c r="I158" s="85">
        <f t="shared" si="19"/>
        <v>0.9985434187733656</v>
      </c>
      <c r="J158" s="85">
        <f t="shared" si="24"/>
        <v>1.0436529612119994</v>
      </c>
      <c r="K158" s="21">
        <v>4.569</v>
      </c>
      <c r="L158" s="4">
        <f t="shared" si="25"/>
        <v>4.768450379777625</v>
      </c>
      <c r="M158" s="2"/>
      <c r="N158" s="2"/>
    </row>
    <row r="159" spans="1:14" ht="12.75">
      <c r="A159" s="88">
        <v>38863</v>
      </c>
      <c r="B159" s="2">
        <f t="shared" si="26"/>
        <v>146</v>
      </c>
      <c r="C159" s="2">
        <f t="shared" si="20"/>
        <v>66</v>
      </c>
      <c r="D159" s="85">
        <f t="shared" si="21"/>
        <v>21.266044555256478</v>
      </c>
      <c r="E159" s="85">
        <f t="shared" si="18"/>
        <v>16.733955444743522</v>
      </c>
      <c r="F159" s="85">
        <f t="shared" si="22"/>
        <v>0.37116249636503873</v>
      </c>
      <c r="G159" s="85">
        <f t="shared" si="22"/>
        <v>0.2920626193928065</v>
      </c>
      <c r="H159" s="85">
        <f t="shared" si="23"/>
        <v>0.9576520269509395</v>
      </c>
      <c r="I159" s="85">
        <f t="shared" si="19"/>
        <v>0.9983757557128976</v>
      </c>
      <c r="J159" s="85">
        <f t="shared" si="24"/>
        <v>1.0425245575802915</v>
      </c>
      <c r="K159" s="21">
        <v>4.569</v>
      </c>
      <c r="L159" s="4">
        <f t="shared" si="25"/>
        <v>4.763294703584352</v>
      </c>
      <c r="M159" s="2"/>
      <c r="N159" s="2"/>
    </row>
    <row r="160" spans="1:14" ht="12.75">
      <c r="A160" s="88">
        <v>38864</v>
      </c>
      <c r="B160" s="2">
        <f t="shared" si="26"/>
        <v>147</v>
      </c>
      <c r="C160" s="2">
        <f t="shared" si="20"/>
        <v>67</v>
      </c>
      <c r="D160" s="85">
        <f t="shared" si="21"/>
        <v>21.432949518711922</v>
      </c>
      <c r="E160" s="85">
        <f t="shared" si="18"/>
        <v>16.567050481288078</v>
      </c>
      <c r="F160" s="85">
        <f t="shared" si="22"/>
        <v>0.374075537515257</v>
      </c>
      <c r="G160" s="85">
        <f t="shared" si="22"/>
        <v>0.2891495782425882</v>
      </c>
      <c r="H160" s="85">
        <f t="shared" si="23"/>
        <v>0.9584867089680058</v>
      </c>
      <c r="I160" s="85">
        <f t="shared" si="19"/>
        <v>0.9982055570932934</v>
      </c>
      <c r="J160" s="85">
        <f t="shared" si="24"/>
        <v>1.0414391224767765</v>
      </c>
      <c r="K160" s="21">
        <v>5.076</v>
      </c>
      <c r="L160" s="4">
        <f t="shared" si="25"/>
        <v>5.286344985692117</v>
      </c>
      <c r="M160" s="2"/>
      <c r="N160" s="2"/>
    </row>
    <row r="161" spans="1:14" ht="12.75">
      <c r="A161" s="88">
        <v>38865</v>
      </c>
      <c r="B161" s="2">
        <f t="shared" si="26"/>
        <v>148</v>
      </c>
      <c r="C161" s="2">
        <f t="shared" si="20"/>
        <v>68</v>
      </c>
      <c r="D161" s="85">
        <f t="shared" si="21"/>
        <v>21.593507317169777</v>
      </c>
      <c r="E161" s="85">
        <f t="shared" si="18"/>
        <v>16.406492682830223</v>
      </c>
      <c r="F161" s="85">
        <f t="shared" si="22"/>
        <v>0.3768777997381001</v>
      </c>
      <c r="G161" s="85">
        <f t="shared" si="22"/>
        <v>0.2863473160197451</v>
      </c>
      <c r="H161" s="85">
        <f t="shared" si="23"/>
        <v>0.9592819738160128</v>
      </c>
      <c r="I161" s="85">
        <f t="shared" si="19"/>
        <v>0.9980338373599483</v>
      </c>
      <c r="J161" s="85">
        <f t="shared" si="24"/>
        <v>1.0403967390211464</v>
      </c>
      <c r="K161" s="21">
        <v>5.838</v>
      </c>
      <c r="L161" s="4">
        <f t="shared" si="25"/>
        <v>6.073836162405453</v>
      </c>
      <c r="M161" s="2"/>
      <c r="N161" s="2"/>
    </row>
    <row r="162" spans="1:14" ht="12.75">
      <c r="A162" s="88">
        <v>38866</v>
      </c>
      <c r="B162" s="2">
        <f t="shared" si="26"/>
        <v>149</v>
      </c>
      <c r="C162" s="2">
        <f t="shared" si="20"/>
        <v>69</v>
      </c>
      <c r="D162" s="85">
        <f t="shared" si="21"/>
        <v>21.74767040295876</v>
      </c>
      <c r="E162" s="85">
        <f t="shared" si="18"/>
        <v>16.25232959704124</v>
      </c>
      <c r="F162" s="85">
        <f t="shared" si="22"/>
        <v>0.3795684531701523</v>
      </c>
      <c r="G162" s="85">
        <f t="shared" si="22"/>
        <v>0.2836566625876929</v>
      </c>
      <c r="H162" s="85">
        <f t="shared" si="23"/>
        <v>0.9600384759857014</v>
      </c>
      <c r="I162" s="85">
        <f t="shared" si="19"/>
        <v>0.997861581648687</v>
      </c>
      <c r="J162" s="85">
        <f t="shared" si="24"/>
        <v>1.039397489380987</v>
      </c>
      <c r="K162" s="21">
        <v>6.345</v>
      </c>
      <c r="L162" s="4">
        <f t="shared" si="25"/>
        <v>6.594977070122362</v>
      </c>
      <c r="M162" s="2"/>
      <c r="N162" s="2"/>
    </row>
    <row r="163" spans="1:14" ht="12.75">
      <c r="A163" s="88">
        <v>38867</v>
      </c>
      <c r="B163" s="2">
        <f t="shared" si="26"/>
        <v>150</v>
      </c>
      <c r="C163" s="2">
        <f t="shared" si="20"/>
        <v>70</v>
      </c>
      <c r="D163" s="85">
        <f t="shared" si="21"/>
        <v>21.89539312214117</v>
      </c>
      <c r="E163" s="85">
        <f t="shared" si="18"/>
        <v>16.10460687785883</v>
      </c>
      <c r="F163" s="85">
        <f t="shared" si="22"/>
        <v>0.38214670099988435</v>
      </c>
      <c r="G163" s="85">
        <f t="shared" si="22"/>
        <v>0.2810784147579609</v>
      </c>
      <c r="H163" s="85">
        <f t="shared" si="23"/>
        <v>0.9607568535153808</v>
      </c>
      <c r="I163" s="85">
        <f t="shared" si="19"/>
        <v>0.9976897443927442</v>
      </c>
      <c r="J163" s="85">
        <f t="shared" si="24"/>
        <v>1.0384414545076905</v>
      </c>
      <c r="K163" s="21">
        <v>6.853</v>
      </c>
      <c r="L163" s="4">
        <f t="shared" si="25"/>
        <v>7.116439287741203</v>
      </c>
      <c r="M163" s="2"/>
      <c r="N163" s="2"/>
    </row>
    <row r="164" spans="1:14" ht="12.75">
      <c r="A164" s="88">
        <v>38868</v>
      </c>
      <c r="B164" s="2">
        <f t="shared" si="26"/>
        <v>151</v>
      </c>
      <c r="C164" s="2">
        <f t="shared" si="20"/>
        <v>71</v>
      </c>
      <c r="D164" s="85">
        <f t="shared" si="21"/>
        <v>22.036631728032877</v>
      </c>
      <c r="E164" s="85">
        <f t="shared" si="18"/>
        <v>15.963368271967123</v>
      </c>
      <c r="F164" s="85">
        <f t="shared" si="22"/>
        <v>0.3846117797036213</v>
      </c>
      <c r="G164" s="85">
        <f t="shared" si="22"/>
        <v>0.27861333605422395</v>
      </c>
      <c r="H164" s="85">
        <f t="shared" si="23"/>
        <v>0.9614377266257561</v>
      </c>
      <c r="I164" s="85">
        <f t="shared" si="19"/>
        <v>0.99751924797876</v>
      </c>
      <c r="J164" s="85">
        <f t="shared" si="24"/>
        <v>1.0375287138769091</v>
      </c>
      <c r="K164" s="21">
        <v>7.868</v>
      </c>
      <c r="L164" s="4">
        <f t="shared" si="25"/>
        <v>8.163275920783521</v>
      </c>
      <c r="M164" s="2"/>
      <c r="N164" s="2"/>
    </row>
    <row r="165" spans="1:14" ht="12.75">
      <c r="A165" s="88">
        <v>38869</v>
      </c>
      <c r="B165" s="2">
        <f t="shared" si="26"/>
        <v>152</v>
      </c>
      <c r="C165" s="2">
        <f t="shared" si="20"/>
        <v>72</v>
      </c>
      <c r="D165" s="85">
        <f t="shared" si="21"/>
        <v>22.171344394158492</v>
      </c>
      <c r="E165" s="85">
        <f t="shared" si="18"/>
        <v>15.828655605841508</v>
      </c>
      <c r="F165" s="85">
        <f t="shared" si="22"/>
        <v>0.38696295927165314</v>
      </c>
      <c r="G165" s="85">
        <f t="shared" si="22"/>
        <v>0.2762621564861921</v>
      </c>
      <c r="H165" s="85">
        <f t="shared" si="23"/>
        <v>0.9620816964011182</v>
      </c>
      <c r="I165" s="85">
        <f t="shared" si="19"/>
        <v>0.9973509814530919</v>
      </c>
      <c r="J165" s="85">
        <f t="shared" si="24"/>
        <v>1.0366593452343043</v>
      </c>
      <c r="K165" s="21">
        <v>5.584</v>
      </c>
      <c r="L165" s="4">
        <f t="shared" si="25"/>
        <v>5.788705783788354</v>
      </c>
      <c r="M165" s="2"/>
      <c r="N165" s="2"/>
    </row>
    <row r="166" spans="1:14" ht="12.75">
      <c r="A166" s="88">
        <v>38870</v>
      </c>
      <c r="B166" s="2">
        <f t="shared" si="26"/>
        <v>153</v>
      </c>
      <c r="C166" s="2">
        <f t="shared" si="20"/>
        <v>73</v>
      </c>
      <c r="D166" s="85">
        <f t="shared" si="21"/>
        <v>22.29949122663787</v>
      </c>
      <c r="E166" s="85">
        <f t="shared" si="18"/>
        <v>15.700508773362131</v>
      </c>
      <c r="F166" s="85">
        <f t="shared" si="22"/>
        <v>0.38919954342441987</v>
      </c>
      <c r="G166" s="85">
        <f t="shared" si="22"/>
        <v>0.27402557233342534</v>
      </c>
      <c r="H166" s="85">
        <f t="shared" si="23"/>
        <v>0.9626893435187169</v>
      </c>
      <c r="I166" s="85">
        <f t="shared" si="19"/>
        <v>0.9971857992796744</v>
      </c>
      <c r="J166" s="85">
        <f t="shared" si="24"/>
        <v>1.0358334243473288</v>
      </c>
      <c r="K166" s="21">
        <v>6.091</v>
      </c>
      <c r="L166" s="4">
        <f t="shared" si="25"/>
        <v>6.30926138769958</v>
      </c>
      <c r="M166" s="2"/>
      <c r="N166" s="2"/>
    </row>
    <row r="167" spans="1:14" ht="12.75">
      <c r="A167" s="88">
        <v>38871</v>
      </c>
      <c r="B167" s="2">
        <f t="shared" si="26"/>
        <v>154</v>
      </c>
      <c r="C167" s="2">
        <f t="shared" si="20"/>
        <v>74</v>
      </c>
      <c r="D167" s="85">
        <f t="shared" si="21"/>
        <v>22.42103427600032</v>
      </c>
      <c r="E167" s="85">
        <f t="shared" si="18"/>
        <v>15.57896572399968</v>
      </c>
      <c r="F167" s="85">
        <f t="shared" si="22"/>
        <v>0.3913208698187086</v>
      </c>
      <c r="G167" s="85">
        <f t="shared" si="22"/>
        <v>0.2719042459391366</v>
      </c>
      <c r="H167" s="85">
        <f t="shared" si="23"/>
        <v>0.9632612270280617</v>
      </c>
      <c r="I167" s="85">
        <f t="shared" si="19"/>
        <v>0.9970245201505925</v>
      </c>
      <c r="J167" s="85">
        <f t="shared" si="24"/>
        <v>1.0350510247637603</v>
      </c>
      <c r="K167" s="21">
        <v>6.599</v>
      </c>
      <c r="L167" s="4">
        <f t="shared" si="25"/>
        <v>6.8303017124160545</v>
      </c>
      <c r="M167" s="2"/>
      <c r="N167" s="2"/>
    </row>
    <row r="168" spans="1:14" ht="12.75">
      <c r="A168" s="88">
        <v>38872</v>
      </c>
      <c r="B168" s="2">
        <f t="shared" si="26"/>
        <v>155</v>
      </c>
      <c r="C168" s="2">
        <f t="shared" si="20"/>
        <v>75</v>
      </c>
      <c r="D168" s="85">
        <f t="shared" si="21"/>
        <v>22.53593754842297</v>
      </c>
      <c r="E168" s="85">
        <f t="shared" si="18"/>
        <v>15.464062451577028</v>
      </c>
      <c r="F168" s="85">
        <f t="shared" si="22"/>
        <v>0.3933263102437999</v>
      </c>
      <c r="G168" s="85">
        <f t="shared" si="22"/>
        <v>0.2698988055140453</v>
      </c>
      <c r="H168" s="85">
        <f t="shared" si="23"/>
        <v>0.963797883181805</v>
      </c>
      <c r="I168" s="85">
        <f t="shared" si="19"/>
        <v>0.9968679258504606</v>
      </c>
      <c r="J168" s="85">
        <f t="shared" si="24"/>
        <v>1.0343122175776946</v>
      </c>
      <c r="K168" s="21">
        <v>6.599</v>
      </c>
      <c r="L168" s="4">
        <f t="shared" si="25"/>
        <v>6.825426323795207</v>
      </c>
      <c r="M168" s="2"/>
      <c r="N168" s="2"/>
    </row>
    <row r="169" spans="1:14" ht="12.75">
      <c r="A169" s="88">
        <v>38873</v>
      </c>
      <c r="B169" s="2">
        <f t="shared" si="26"/>
        <v>156</v>
      </c>
      <c r="C169" s="2">
        <f t="shared" si="20"/>
        <v>76</v>
      </c>
      <c r="D169" s="85">
        <f t="shared" si="21"/>
        <v>22.644167016389996</v>
      </c>
      <c r="E169" s="85">
        <f t="shared" si="18"/>
        <v>15.355832983610004</v>
      </c>
      <c r="F169" s="85">
        <f t="shared" si="22"/>
        <v>0.39521527080750624</v>
      </c>
      <c r="G169" s="85">
        <f t="shared" si="22"/>
        <v>0.268009844950339</v>
      </c>
      <c r="H169" s="85">
        <f t="shared" si="23"/>
        <v>0.964299824319789</v>
      </c>
      <c r="I169" s="85">
        <f t="shared" si="19"/>
        <v>0.9967167601756378</v>
      </c>
      <c r="J169" s="85">
        <f t="shared" si="24"/>
        <v>1.033617071203674</v>
      </c>
      <c r="K169" s="21">
        <v>6.599</v>
      </c>
      <c r="L169" s="4">
        <f t="shared" si="25"/>
        <v>6.820839052873046</v>
      </c>
      <c r="M169" s="2"/>
      <c r="N169" s="2"/>
    </row>
    <row r="170" spans="1:14" ht="12.75">
      <c r="A170" s="88">
        <v>38874</v>
      </c>
      <c r="B170" s="2">
        <f t="shared" si="26"/>
        <v>157</v>
      </c>
      <c r="C170" s="2">
        <f t="shared" si="20"/>
        <v>77</v>
      </c>
      <c r="D170" s="85">
        <f t="shared" si="21"/>
        <v>22.74569062876956</v>
      </c>
      <c r="E170" s="85">
        <f t="shared" si="18"/>
        <v>15.254309371230441</v>
      </c>
      <c r="F170" s="85">
        <f t="shared" si="22"/>
        <v>0.3969871921120481</v>
      </c>
      <c r="G170" s="85">
        <f t="shared" si="22"/>
        <v>0.2662379236457972</v>
      </c>
      <c r="H170" s="85">
        <f t="shared" si="23"/>
        <v>0.9647675378077473</v>
      </c>
      <c r="I170" s="85">
        <f t="shared" si="19"/>
        <v>0.9965717279092425</v>
      </c>
      <c r="J170" s="85">
        <f t="shared" si="24"/>
        <v>1.0329656511596195</v>
      </c>
      <c r="K170" s="21">
        <v>6.599</v>
      </c>
      <c r="L170" s="4">
        <f t="shared" si="25"/>
        <v>6.8165403320023294</v>
      </c>
      <c r="M170" s="2"/>
      <c r="N170" s="2"/>
    </row>
    <row r="171" spans="1:14" ht="12.75">
      <c r="A171" s="88">
        <v>38875</v>
      </c>
      <c r="B171" s="2">
        <f t="shared" si="26"/>
        <v>158</v>
      </c>
      <c r="C171" s="2">
        <f t="shared" si="20"/>
        <v>78</v>
      </c>
      <c r="D171" s="85">
        <f t="shared" si="21"/>
        <v>22.840478320305433</v>
      </c>
      <c r="E171" s="85">
        <f t="shared" si="18"/>
        <v>15.159521679694567</v>
      </c>
      <c r="F171" s="85">
        <f t="shared" si="22"/>
        <v>0.3986415494197138</v>
      </c>
      <c r="G171" s="85">
        <f t="shared" si="22"/>
        <v>0.2645835663381314</v>
      </c>
      <c r="H171" s="85">
        <f t="shared" si="23"/>
        <v>0.9652014850320714</v>
      </c>
      <c r="I171" s="85">
        <f t="shared" si="19"/>
        <v>0.9964334938528641</v>
      </c>
      <c r="J171" s="85">
        <f t="shared" si="24"/>
        <v>1.0323580198591955</v>
      </c>
      <c r="K171" s="21">
        <v>3.046</v>
      </c>
      <c r="L171" s="4">
        <f t="shared" si="25"/>
        <v>3.144562528491109</v>
      </c>
      <c r="M171" s="2"/>
      <c r="N171" s="2"/>
    </row>
    <row r="172" spans="1:14" ht="12.75">
      <c r="A172" s="88">
        <v>38876</v>
      </c>
      <c r="B172" s="2">
        <f t="shared" si="26"/>
        <v>159</v>
      </c>
      <c r="C172" s="2">
        <f t="shared" si="20"/>
        <v>79</v>
      </c>
      <c r="D172" s="85">
        <f t="shared" si="21"/>
        <v>22.92850202052055</v>
      </c>
      <c r="E172" s="85">
        <f t="shared" si="18"/>
        <v>15.07149797947945</v>
      </c>
      <c r="F172" s="85">
        <f t="shared" si="22"/>
        <v>0.4001778528082561</v>
      </c>
      <c r="G172" s="85">
        <f t="shared" si="22"/>
        <v>0.2630472629495892</v>
      </c>
      <c r="H172" s="85">
        <f t="shared" si="23"/>
        <v>0.9656021004519705</v>
      </c>
      <c r="I172" s="85">
        <f t="shared" si="19"/>
        <v>0.9963026819158107</v>
      </c>
      <c r="J172" s="85">
        <f t="shared" si="24"/>
        <v>1.031794236414223</v>
      </c>
      <c r="K172" s="21">
        <v>2.284</v>
      </c>
      <c r="L172" s="4">
        <f t="shared" si="25"/>
        <v>2.3566180359700852</v>
      </c>
      <c r="M172" s="2"/>
      <c r="N172" s="2"/>
    </row>
    <row r="173" spans="1:14" ht="12.75">
      <c r="A173" s="88">
        <v>38877</v>
      </c>
      <c r="B173" s="2">
        <f t="shared" si="26"/>
        <v>160</v>
      </c>
      <c r="C173" s="2">
        <f t="shared" si="20"/>
        <v>80</v>
      </c>
      <c r="D173" s="85">
        <f t="shared" si="21"/>
        <v>23.009735662029808</v>
      </c>
      <c r="E173" s="85">
        <f t="shared" si="18"/>
        <v>14.990264337970192</v>
      </c>
      <c r="F173" s="85">
        <f t="shared" si="22"/>
        <v>0.40159564731597736</v>
      </c>
      <c r="G173" s="85">
        <f t="shared" si="22"/>
        <v>0.2616294684418679</v>
      </c>
      <c r="H173" s="85">
        <f t="shared" si="23"/>
        <v>0.9659697907102636</v>
      </c>
      <c r="I173" s="85">
        <f t="shared" si="19"/>
        <v>0.9961798742626662</v>
      </c>
      <c r="J173" s="85">
        <f t="shared" si="24"/>
        <v>1.0312743564477205</v>
      </c>
      <c r="K173" s="21">
        <v>2.031</v>
      </c>
      <c r="L173" s="4">
        <f t="shared" si="25"/>
        <v>2.0945182179453203</v>
      </c>
      <c r="M173" s="2"/>
      <c r="N173" s="2"/>
    </row>
    <row r="174" spans="1:14" ht="12.75">
      <c r="A174" s="88">
        <v>38878</v>
      </c>
      <c r="B174" s="2">
        <f t="shared" si="26"/>
        <v>161</v>
      </c>
      <c r="C174" s="2">
        <f t="shared" si="20"/>
        <v>81</v>
      </c>
      <c r="D174" s="85">
        <f t="shared" si="21"/>
        <v>23.08415518825969</v>
      </c>
      <c r="E174" s="85">
        <f t="shared" si="18"/>
        <v>14.91584481174031</v>
      </c>
      <c r="F174" s="85">
        <f t="shared" si="22"/>
        <v>0.40289451307646307</v>
      </c>
      <c r="G174" s="85">
        <f t="shared" si="22"/>
        <v>0.2603306026813822</v>
      </c>
      <c r="H174" s="85">
        <f t="shared" si="23"/>
        <v>0.966304933803965</v>
      </c>
      <c r="I174" s="85">
        <f t="shared" si="19"/>
        <v>0.9960656105198751</v>
      </c>
      <c r="J174" s="85">
        <f t="shared" si="24"/>
        <v>1.0307984319181254</v>
      </c>
      <c r="K174" s="21">
        <v>2.031</v>
      </c>
      <c r="L174" s="4">
        <f t="shared" si="25"/>
        <v>2.0935516152257128</v>
      </c>
      <c r="M174" s="2"/>
      <c r="N174" s="2"/>
    </row>
    <row r="175" spans="1:14" ht="12.75">
      <c r="A175" s="88">
        <v>38879</v>
      </c>
      <c r="B175" s="2">
        <f t="shared" si="26"/>
        <v>162</v>
      </c>
      <c r="C175" s="2">
        <f t="shared" si="20"/>
        <v>82</v>
      </c>
      <c r="D175" s="85">
        <f t="shared" si="21"/>
        <v>23.15173856057236</v>
      </c>
      <c r="E175" s="85">
        <f t="shared" si="18"/>
        <v>14.848261439427642</v>
      </c>
      <c r="F175" s="85">
        <f t="shared" si="22"/>
        <v>0.4040740654429203</v>
      </c>
      <c r="G175" s="85">
        <f t="shared" si="22"/>
        <v>0.2591510503149249</v>
      </c>
      <c r="H175" s="85">
        <f t="shared" si="23"/>
        <v>0.9666078783157351</v>
      </c>
      <c r="I175" s="85">
        <f t="shared" si="19"/>
        <v>0.995960387042009</v>
      </c>
      <c r="J175" s="85">
        <f t="shared" si="24"/>
        <v>1.030366510955217</v>
      </c>
      <c r="K175" s="21">
        <v>3.3</v>
      </c>
      <c r="L175" s="4">
        <f t="shared" si="25"/>
        <v>3.4002094861522156</v>
      </c>
      <c r="M175" s="2"/>
      <c r="N175" s="2"/>
    </row>
    <row r="176" spans="1:14" ht="12.75">
      <c r="A176" s="88">
        <v>38880</v>
      </c>
      <c r="B176" s="2">
        <f t="shared" si="26"/>
        <v>163</v>
      </c>
      <c r="C176" s="2">
        <f t="shared" si="20"/>
        <v>83</v>
      </c>
      <c r="D176" s="85">
        <f t="shared" si="21"/>
        <v>23.212465764792217</v>
      </c>
      <c r="E176" s="85">
        <f t="shared" si="18"/>
        <v>14.787534235207783</v>
      </c>
      <c r="F176" s="85">
        <f t="shared" si="22"/>
        <v>0.40513395510208783</v>
      </c>
      <c r="G176" s="85">
        <f t="shared" si="22"/>
        <v>0.2580911606557574</v>
      </c>
      <c r="H176" s="85">
        <f t="shared" si="23"/>
        <v>0.966878942707186</v>
      </c>
      <c r="I176" s="85">
        <f t="shared" si="19"/>
        <v>0.9958646562383188</v>
      </c>
      <c r="J176" s="85">
        <f t="shared" si="24"/>
        <v>1.0299786377082274</v>
      </c>
      <c r="K176" s="21">
        <v>6.853</v>
      </c>
      <c r="L176" s="4">
        <f t="shared" si="25"/>
        <v>7.0584436042144825</v>
      </c>
      <c r="M176" s="2"/>
      <c r="N176" s="2"/>
    </row>
    <row r="177" spans="1:14" ht="12.75">
      <c r="A177" s="88">
        <v>38881</v>
      </c>
      <c r="B177" s="2">
        <f t="shared" si="26"/>
        <v>164</v>
      </c>
      <c r="C177" s="2">
        <f t="shared" si="20"/>
        <v>84</v>
      </c>
      <c r="D177" s="85">
        <f t="shared" si="21"/>
        <v>23.266318817132923</v>
      </c>
      <c r="E177" s="85">
        <f t="shared" si="18"/>
        <v>14.733681182867077</v>
      </c>
      <c r="F177" s="85">
        <f t="shared" si="22"/>
        <v>0.406073868177682</v>
      </c>
      <c r="G177" s="85">
        <f t="shared" si="22"/>
        <v>0.2571512475801632</v>
      </c>
      <c r="H177" s="85">
        <f t="shared" si="23"/>
        <v>0.9671184146749471</v>
      </c>
      <c r="I177" s="85">
        <f t="shared" si="19"/>
        <v>0.9957788259601146</v>
      </c>
      <c r="J177" s="85">
        <f t="shared" si="24"/>
        <v>1.029634852206594</v>
      </c>
      <c r="K177" s="21">
        <v>7.868</v>
      </c>
      <c r="L177" s="4">
        <f t="shared" si="25"/>
        <v>8.101167017161481</v>
      </c>
      <c r="M177" s="2"/>
      <c r="N177" s="2"/>
    </row>
    <row r="178" spans="1:14" ht="12.75">
      <c r="A178" s="88">
        <v>38882</v>
      </c>
      <c r="B178" s="2">
        <f t="shared" si="26"/>
        <v>165</v>
      </c>
      <c r="C178" s="2">
        <f t="shared" si="20"/>
        <v>85</v>
      </c>
      <c r="D178" s="85">
        <f t="shared" si="21"/>
        <v>23.313281769523087</v>
      </c>
      <c r="E178" s="85">
        <f t="shared" si="18"/>
        <v>14.686718230476913</v>
      </c>
      <c r="F178" s="85">
        <f t="shared" si="22"/>
        <v>0.4068935263233477</v>
      </c>
      <c r="G178" s="85">
        <f t="shared" si="22"/>
        <v>0.2563315894344975</v>
      </c>
      <c r="H178" s="85">
        <f t="shared" si="23"/>
        <v>0.9673265505703124</v>
      </c>
      <c r="I178" s="85">
        <f t="shared" si="19"/>
        <v>0.995703258949465</v>
      </c>
      <c r="J178" s="85">
        <f t="shared" si="24"/>
        <v>1.0293351902337657</v>
      </c>
      <c r="K178" s="21">
        <v>7.36</v>
      </c>
      <c r="L178" s="4">
        <f t="shared" si="25"/>
        <v>7.575907000120516</v>
      </c>
      <c r="M178" s="2"/>
      <c r="N178" s="2"/>
    </row>
    <row r="179" spans="1:14" ht="12.75">
      <c r="A179" s="88">
        <v>38883</v>
      </c>
      <c r="B179" s="2">
        <f t="shared" si="26"/>
        <v>166</v>
      </c>
      <c r="C179" s="2">
        <f t="shared" si="20"/>
        <v>86</v>
      </c>
      <c r="D179" s="85">
        <f t="shared" si="21"/>
        <v>23.353340714329175</v>
      </c>
      <c r="E179" s="85">
        <f t="shared" si="18"/>
        <v>14.646659285670825</v>
      </c>
      <c r="F179" s="85">
        <f t="shared" si="22"/>
        <v>0.4075926868050886</v>
      </c>
      <c r="G179" s="85">
        <f t="shared" si="22"/>
        <v>0.2556324289527566</v>
      </c>
      <c r="H179" s="85">
        <f t="shared" si="23"/>
        <v>0.9675035748832032</v>
      </c>
      <c r="I179" s="85">
        <f t="shared" si="19"/>
        <v>0.9956382723496502</v>
      </c>
      <c r="J179" s="85">
        <f t="shared" si="24"/>
        <v>1.0290796832144455</v>
      </c>
      <c r="K179" s="21">
        <v>7.107</v>
      </c>
      <c r="L179" s="4">
        <f t="shared" si="25"/>
        <v>7.313669308605065</v>
      </c>
      <c r="M179" s="2"/>
      <c r="N179" s="2"/>
    </row>
    <row r="180" spans="1:14" ht="12.75">
      <c r="A180" s="88">
        <v>38884</v>
      </c>
      <c r="B180" s="2">
        <f t="shared" si="26"/>
        <v>167</v>
      </c>
      <c r="C180" s="2">
        <f t="shared" si="20"/>
        <v>87</v>
      </c>
      <c r="D180" s="85">
        <f t="shared" si="21"/>
        <v>23.386483788474102</v>
      </c>
      <c r="E180" s="85">
        <f t="shared" si="18"/>
        <v>14.613516211525898</v>
      </c>
      <c r="F180" s="85">
        <f t="shared" si="22"/>
        <v>0.4081711425731502</v>
      </c>
      <c r="G180" s="85">
        <f t="shared" si="22"/>
        <v>0.255053973184695</v>
      </c>
      <c r="H180" s="85">
        <f t="shared" si="23"/>
        <v>0.9676496797911013</v>
      </c>
      <c r="I180" s="85">
        <f t="shared" si="19"/>
        <v>0.9955841372777551</v>
      </c>
      <c r="J180" s="85">
        <f t="shared" si="24"/>
        <v>1.0288683581155986</v>
      </c>
      <c r="K180" s="21">
        <v>7.107</v>
      </c>
      <c r="L180" s="4">
        <f t="shared" si="25"/>
        <v>7.31216742112756</v>
      </c>
      <c r="M180" s="2"/>
      <c r="N180" s="2"/>
    </row>
    <row r="181" spans="1:14" ht="12.75">
      <c r="A181" s="88">
        <v>38885</v>
      </c>
      <c r="B181" s="2">
        <f t="shared" si="26"/>
        <v>168</v>
      </c>
      <c r="C181" s="2">
        <f t="shared" si="20"/>
        <v>88</v>
      </c>
      <c r="D181" s="85">
        <f t="shared" si="21"/>
        <v>23.412701176950367</v>
      </c>
      <c r="E181" s="85">
        <f t="shared" si="18"/>
        <v>14.587298823049633</v>
      </c>
      <c r="F181" s="85">
        <f t="shared" si="22"/>
        <v>0.4086287223233354</v>
      </c>
      <c r="G181" s="85">
        <f t="shared" si="22"/>
        <v>0.2545963934345098</v>
      </c>
      <c r="H181" s="85">
        <f t="shared" si="23"/>
        <v>0.9677650247735188</v>
      </c>
      <c r="I181" s="85">
        <f t="shared" si="19"/>
        <v>0.9955410784597338</v>
      </c>
      <c r="J181" s="85">
        <f t="shared" si="24"/>
        <v>1.0287012373615334</v>
      </c>
      <c r="K181" s="21">
        <v>6.853</v>
      </c>
      <c r="L181" s="4">
        <f t="shared" si="25"/>
        <v>7.0496895796385886</v>
      </c>
      <c r="M181" s="2"/>
      <c r="N181" s="2"/>
    </row>
    <row r="182" spans="1:14" ht="12.75">
      <c r="A182" s="88">
        <v>38886</v>
      </c>
      <c r="B182" s="2">
        <f t="shared" si="26"/>
        <v>169</v>
      </c>
      <c r="C182" s="2">
        <f t="shared" si="20"/>
        <v>89</v>
      </c>
      <c r="D182" s="85">
        <f t="shared" si="21"/>
        <v>23.4319851157267</v>
      </c>
      <c r="E182" s="85">
        <f t="shared" si="18"/>
        <v>14.5680148842733</v>
      </c>
      <c r="F182" s="85">
        <f t="shared" si="22"/>
        <v>0.40896529054773545</v>
      </c>
      <c r="G182" s="85">
        <f t="shared" si="22"/>
        <v>0.25425982521010976</v>
      </c>
      <c r="H182" s="85">
        <f t="shared" si="23"/>
        <v>0.9678497362924893</v>
      </c>
      <c r="I182" s="85">
        <f t="shared" si="19"/>
        <v>0.9955092739282275</v>
      </c>
      <c r="J182" s="85">
        <f t="shared" si="24"/>
        <v>1.028578338763301</v>
      </c>
      <c r="K182" s="21">
        <v>7.36</v>
      </c>
      <c r="L182" s="4">
        <f t="shared" si="25"/>
        <v>7.5703365732978956</v>
      </c>
      <c r="M182" s="2"/>
      <c r="N182" s="2"/>
    </row>
    <row r="183" spans="1:14" ht="12.75">
      <c r="A183" s="88">
        <v>38887</v>
      </c>
      <c r="B183" s="2">
        <f t="shared" si="26"/>
        <v>170</v>
      </c>
      <c r="C183" s="2">
        <f t="shared" si="20"/>
        <v>90</v>
      </c>
      <c r="D183" s="85">
        <f t="shared" si="21"/>
        <v>23.444329894047275</v>
      </c>
      <c r="E183" s="85">
        <f t="shared" si="18"/>
        <v>14.555670105952725</v>
      </c>
      <c r="F183" s="85">
        <f t="shared" si="22"/>
        <v>0.4091807475748583</v>
      </c>
      <c r="G183" s="85">
        <f t="shared" si="22"/>
        <v>0.2540443681829869</v>
      </c>
      <c r="H183" s="85">
        <f t="shared" si="23"/>
        <v>0.9679039075394805</v>
      </c>
      <c r="I183" s="85">
        <f t="shared" si="19"/>
        <v>0.9954888547833688</v>
      </c>
      <c r="J183" s="85">
        <f t="shared" si="24"/>
        <v>1.0284996754626317</v>
      </c>
      <c r="K183" s="21">
        <v>7.36</v>
      </c>
      <c r="L183" s="4">
        <f t="shared" si="25"/>
        <v>7.569757611404969</v>
      </c>
      <c r="M183" s="2"/>
      <c r="N183" s="2"/>
    </row>
    <row r="184" spans="1:14" ht="12.75">
      <c r="A184" s="88">
        <v>38888</v>
      </c>
      <c r="B184" s="2">
        <f t="shared" si="26"/>
        <v>171</v>
      </c>
      <c r="C184" s="2">
        <f t="shared" si="20"/>
        <v>91</v>
      </c>
      <c r="D184" s="85">
        <f t="shared" si="21"/>
        <v>23.449731856122916</v>
      </c>
      <c r="E184" s="85">
        <f t="shared" si="18"/>
        <v>14.550268143877084</v>
      </c>
      <c r="F184" s="85">
        <f t="shared" si="22"/>
        <v>0.40927502959914613</v>
      </c>
      <c r="G184" s="85">
        <f t="shared" si="22"/>
        <v>0.25395008615869913</v>
      </c>
      <c r="H184" s="85">
        <f t="shared" si="23"/>
        <v>0.9679275982490446</v>
      </c>
      <c r="I184" s="85">
        <f t="shared" si="19"/>
        <v>0.9954799050167529</v>
      </c>
      <c r="J184" s="85">
        <f t="shared" si="24"/>
        <v>1.0284652558905745</v>
      </c>
      <c r="K184" s="21">
        <v>7.614</v>
      </c>
      <c r="L184" s="4">
        <f t="shared" si="25"/>
        <v>7.830734458350834</v>
      </c>
      <c r="M184" s="2"/>
      <c r="N184" s="2"/>
    </row>
    <row r="185" spans="1:14" ht="12.75">
      <c r="A185" s="88">
        <v>38889</v>
      </c>
      <c r="B185" s="2">
        <f t="shared" si="26"/>
        <v>172</v>
      </c>
      <c r="C185" s="2">
        <f t="shared" si="20"/>
        <v>92</v>
      </c>
      <c r="D185" s="85">
        <f t="shared" si="21"/>
        <v>23.448189402213725</v>
      </c>
      <c r="E185" s="85">
        <f t="shared" si="18"/>
        <v>14.551810597786275</v>
      </c>
      <c r="F185" s="85">
        <f t="shared" si="22"/>
        <v>0.40924810869987044</v>
      </c>
      <c r="G185" s="85">
        <f t="shared" si="22"/>
        <v>0.25397700705797477</v>
      </c>
      <c r="H185" s="85">
        <f t="shared" si="23"/>
        <v>0.9679208345794391</v>
      </c>
      <c r="I185" s="85">
        <f t="shared" si="19"/>
        <v>0.9954824613987132</v>
      </c>
      <c r="J185" s="85">
        <f t="shared" si="24"/>
        <v>1.0284750837409649</v>
      </c>
      <c r="K185" s="21">
        <v>7.107</v>
      </c>
      <c r="L185" s="4">
        <f t="shared" si="25"/>
        <v>7.309372420147038</v>
      </c>
      <c r="M185" s="2"/>
      <c r="N185" s="2"/>
    </row>
    <row r="186" spans="1:14" ht="12.75">
      <c r="A186" s="88">
        <v>38890</v>
      </c>
      <c r="B186" s="2">
        <f t="shared" si="26"/>
        <v>173</v>
      </c>
      <c r="C186" s="2">
        <f t="shared" si="20"/>
        <v>93</v>
      </c>
      <c r="D186" s="85">
        <f t="shared" si="21"/>
        <v>23.43970298910281</v>
      </c>
      <c r="E186" s="85">
        <f t="shared" si="18"/>
        <v>14.560297010897191</v>
      </c>
      <c r="F186" s="85">
        <f t="shared" si="22"/>
        <v>0.4090999928494006</v>
      </c>
      <c r="G186" s="85">
        <f t="shared" si="22"/>
        <v>0.2541251229084447</v>
      </c>
      <c r="H186" s="85">
        <f t="shared" si="23"/>
        <v>0.9678836090603657</v>
      </c>
      <c r="I186" s="85">
        <f t="shared" si="19"/>
        <v>0.995496513428984</v>
      </c>
      <c r="J186" s="85">
        <f t="shared" si="24"/>
        <v>1.0285291579588018</v>
      </c>
      <c r="K186" s="21">
        <v>6.853</v>
      </c>
      <c r="L186" s="4">
        <f t="shared" si="25"/>
        <v>7.048510319491669</v>
      </c>
      <c r="M186" s="2"/>
      <c r="N186" s="2"/>
    </row>
    <row r="187" spans="1:14" ht="12.75">
      <c r="A187" s="88">
        <v>38891</v>
      </c>
      <c r="B187" s="2">
        <f t="shared" si="26"/>
        <v>174</v>
      </c>
      <c r="C187" s="2">
        <f t="shared" si="20"/>
        <v>94</v>
      </c>
      <c r="D187" s="85">
        <f t="shared" si="21"/>
        <v>23.42427512996104</v>
      </c>
      <c r="E187" s="85">
        <f t="shared" si="18"/>
        <v>14.575724870038961</v>
      </c>
      <c r="F187" s="85">
        <f t="shared" si="22"/>
        <v>0.40883072591084274</v>
      </c>
      <c r="G187" s="85">
        <f t="shared" si="22"/>
        <v>0.25439438984700247</v>
      </c>
      <c r="H187" s="85">
        <f t="shared" si="23"/>
        <v>0.9678158806078943</v>
      </c>
      <c r="I187" s="85">
        <f t="shared" si="19"/>
        <v>0.9955220033507879</v>
      </c>
      <c r="J187" s="85">
        <f t="shared" si="24"/>
        <v>1.028627472743567</v>
      </c>
      <c r="K187" s="21">
        <v>5.33</v>
      </c>
      <c r="L187" s="4">
        <f t="shared" si="25"/>
        <v>5.482584429723212</v>
      </c>
      <c r="M187" s="2"/>
      <c r="N187" s="2"/>
    </row>
    <row r="188" spans="1:14" ht="12.75">
      <c r="A188" s="88">
        <v>38892</v>
      </c>
      <c r="B188" s="2">
        <f t="shared" si="26"/>
        <v>175</v>
      </c>
      <c r="C188" s="2">
        <f t="shared" si="20"/>
        <v>95</v>
      </c>
      <c r="D188" s="85">
        <f t="shared" si="21"/>
        <v>23.40191039360277</v>
      </c>
      <c r="E188" s="85">
        <f t="shared" si="18"/>
        <v>14.598089606397231</v>
      </c>
      <c r="F188" s="85">
        <f t="shared" si="22"/>
        <v>0.40844038762505047</v>
      </c>
      <c r="G188" s="85">
        <f t="shared" si="22"/>
        <v>0.25478472813279474</v>
      </c>
      <c r="H188" s="85">
        <f t="shared" si="23"/>
        <v>0.967717574606552</v>
      </c>
      <c r="I188" s="85">
        <f t="shared" si="19"/>
        <v>0.9955588262283397</v>
      </c>
      <c r="J188" s="85">
        <f t="shared" si="24"/>
        <v>1.028770017567478</v>
      </c>
      <c r="K188" s="21">
        <v>5.33</v>
      </c>
      <c r="L188" s="4">
        <f t="shared" si="25"/>
        <v>5.483344193634658</v>
      </c>
      <c r="M188" s="2"/>
      <c r="N188" s="2"/>
    </row>
    <row r="189" spans="1:14" ht="12.75">
      <c r="A189" s="88">
        <v>38893</v>
      </c>
      <c r="B189" s="2">
        <f t="shared" si="26"/>
        <v>176</v>
      </c>
      <c r="C189" s="2">
        <f t="shared" si="20"/>
        <v>96</v>
      </c>
      <c r="D189" s="85">
        <f t="shared" si="21"/>
        <v>23.372615403132848</v>
      </c>
      <c r="E189" s="85">
        <f t="shared" si="18"/>
        <v>14.627384596867152</v>
      </c>
      <c r="F189" s="85">
        <f t="shared" si="22"/>
        <v>0.40792909358700996</v>
      </c>
      <c r="G189" s="85">
        <f t="shared" si="22"/>
        <v>0.25529602217083525</v>
      </c>
      <c r="H189" s="85">
        <f t="shared" si="23"/>
        <v>0.967588583058475</v>
      </c>
      <c r="I189" s="85">
        <f t="shared" si="19"/>
        <v>0.9956068300877042</v>
      </c>
      <c r="J189" s="85">
        <f t="shared" si="24"/>
        <v>1.0289567772086208</v>
      </c>
      <c r="K189" s="21">
        <v>2.538</v>
      </c>
      <c r="L189" s="4">
        <f t="shared" si="25"/>
        <v>2.6114923005554793</v>
      </c>
      <c r="M189" s="2"/>
      <c r="N189" s="2"/>
    </row>
    <row r="190" spans="1:14" ht="12.75">
      <c r="A190" s="88">
        <v>38894</v>
      </c>
      <c r="B190" s="2">
        <f t="shared" si="26"/>
        <v>177</v>
      </c>
      <c r="C190" s="2">
        <f t="shared" si="20"/>
        <v>97</v>
      </c>
      <c r="D190" s="85">
        <f t="shared" si="21"/>
        <v>23.336398833985236</v>
      </c>
      <c r="E190" s="85">
        <f t="shared" si="18"/>
        <v>14.663601166014764</v>
      </c>
      <c r="F190" s="85">
        <f t="shared" si="22"/>
        <v>0.40729699521160795</v>
      </c>
      <c r="G190" s="85">
        <f t="shared" si="22"/>
        <v>0.25592812054623726</v>
      </c>
      <c r="H190" s="85">
        <f t="shared" si="23"/>
        <v>0.9674287647994388</v>
      </c>
      <c r="I190" s="85">
        <f t="shared" si="19"/>
        <v>0.9956658161209055</v>
      </c>
      <c r="J190" s="85">
        <f t="shared" si="24"/>
        <v>1.0291877317988583</v>
      </c>
      <c r="K190" s="21">
        <v>3.807</v>
      </c>
      <c r="L190" s="4">
        <f t="shared" si="25"/>
        <v>3.9181176949582532</v>
      </c>
      <c r="M190" s="2"/>
      <c r="N190" s="2"/>
    </row>
    <row r="191" spans="1:14" ht="12.75">
      <c r="A191" s="88">
        <v>38895</v>
      </c>
      <c r="B191" s="2">
        <f t="shared" si="26"/>
        <v>178</v>
      </c>
      <c r="C191" s="2">
        <f t="shared" si="20"/>
        <v>98</v>
      </c>
      <c r="D191" s="85">
        <f t="shared" si="21"/>
        <v>23.293271411353857</v>
      </c>
      <c r="E191" s="85">
        <f t="shared" si="18"/>
        <v>14.706728588646143</v>
      </c>
      <c r="F191" s="85">
        <f t="shared" si="22"/>
        <v>0.40654427968879125</v>
      </c>
      <c r="G191" s="85">
        <f t="shared" si="22"/>
        <v>0.25668083606905395</v>
      </c>
      <c r="H191" s="85">
        <f t="shared" si="23"/>
        <v>0.9672379457814946</v>
      </c>
      <c r="I191" s="85">
        <f t="shared" si="19"/>
        <v>0.9957355389531265</v>
      </c>
      <c r="J191" s="85">
        <f t="shared" si="24"/>
        <v>1.0294628568863755</v>
      </c>
      <c r="K191" s="21">
        <v>0.761</v>
      </c>
      <c r="L191" s="4">
        <f t="shared" si="25"/>
        <v>0.7834212340905318</v>
      </c>
      <c r="M191" s="2"/>
      <c r="N191" s="2"/>
    </row>
    <row r="192" spans="1:14" ht="12.75">
      <c r="A192" s="88">
        <v>38896</v>
      </c>
      <c r="B192" s="2">
        <f t="shared" si="26"/>
        <v>179</v>
      </c>
      <c r="C192" s="2">
        <f t="shared" si="20"/>
        <v>99</v>
      </c>
      <c r="D192" s="85">
        <f t="shared" si="21"/>
        <v>23.243245907016444</v>
      </c>
      <c r="E192" s="85">
        <f t="shared" si="18"/>
        <v>14.756754092983556</v>
      </c>
      <c r="F192" s="85">
        <f t="shared" si="22"/>
        <v>0.40567116992813274</v>
      </c>
      <c r="G192" s="85">
        <f t="shared" si="22"/>
        <v>0.2575539458297125</v>
      </c>
      <c r="H192" s="85">
        <f t="shared" si="23"/>
        <v>0.9670159194218605</v>
      </c>
      <c r="I192" s="85">
        <f t="shared" si="19"/>
        <v>0.9958157069728002</v>
      </c>
      <c r="J192" s="85">
        <f t="shared" si="24"/>
        <v>1.0297821235126696</v>
      </c>
      <c r="K192" s="21">
        <v>5.584</v>
      </c>
      <c r="L192" s="4">
        <f t="shared" si="25"/>
        <v>5.750303377694747</v>
      </c>
      <c r="M192" s="2"/>
      <c r="N192" s="2"/>
    </row>
    <row r="193" spans="1:14" ht="12.75">
      <c r="A193" s="88">
        <v>38897</v>
      </c>
      <c r="B193" s="2">
        <f t="shared" si="26"/>
        <v>180</v>
      </c>
      <c r="C193" s="2">
        <f t="shared" si="20"/>
        <v>100</v>
      </c>
      <c r="D193" s="85">
        <f t="shared" si="21"/>
        <v>23.18633713555229</v>
      </c>
      <c r="E193" s="85">
        <f t="shared" si="18"/>
        <v>14.81366286444771</v>
      </c>
      <c r="F193" s="85">
        <f t="shared" si="22"/>
        <v>0.40467792449281825</v>
      </c>
      <c r="G193" s="85">
        <f t="shared" si="22"/>
        <v>0.258547191265027</v>
      </c>
      <c r="H193" s="85">
        <f t="shared" si="23"/>
        <v>0.9667624470176293</v>
      </c>
      <c r="I193" s="85">
        <f t="shared" si="19"/>
        <v>0.9959059827243333</v>
      </c>
      <c r="J193" s="85">
        <f t="shared" si="24"/>
        <v>1.030145498303755</v>
      </c>
      <c r="K193" s="21">
        <v>6.091</v>
      </c>
      <c r="L193" s="4">
        <f t="shared" si="25"/>
        <v>6.274616230168172</v>
      </c>
      <c r="M193" s="2"/>
      <c r="N193" s="2"/>
    </row>
    <row r="194" spans="1:14" ht="12.75">
      <c r="A194" s="88">
        <v>38898</v>
      </c>
      <c r="B194" s="2">
        <f t="shared" si="26"/>
        <v>181</v>
      </c>
      <c r="C194" s="2">
        <f t="shared" si="20"/>
        <v>101</v>
      </c>
      <c r="D194" s="85">
        <f t="shared" si="21"/>
        <v>23.122561949955045</v>
      </c>
      <c r="E194" s="85">
        <f t="shared" si="18"/>
        <v>14.877438050044955</v>
      </c>
      <c r="F194" s="85">
        <f t="shared" si="22"/>
        <v>0.40356483752307587</v>
      </c>
      <c r="G194" s="85">
        <f t="shared" si="22"/>
        <v>0.2596602782347694</v>
      </c>
      <c r="H194" s="85">
        <f t="shared" si="23"/>
        <v>0.9664772582257712</v>
      </c>
      <c r="I194" s="85">
        <f t="shared" si="19"/>
        <v>0.9960059833631607</v>
      </c>
      <c r="J194" s="85">
        <f t="shared" si="24"/>
        <v>1.0305529435753071</v>
      </c>
      <c r="K194" s="21">
        <v>6.599</v>
      </c>
      <c r="L194" s="4">
        <f t="shared" si="25"/>
        <v>6.800618874653452</v>
      </c>
      <c r="M194" s="2"/>
      <c r="N194" s="2"/>
    </row>
    <row r="195" spans="1:14" ht="12.75">
      <c r="A195" s="88">
        <v>38899</v>
      </c>
      <c r="B195" s="2">
        <f t="shared" si="26"/>
        <v>182</v>
      </c>
      <c r="C195" s="2">
        <f t="shared" si="20"/>
        <v>102</v>
      </c>
      <c r="D195" s="85">
        <f t="shared" si="21"/>
        <v>23.05193923664189</v>
      </c>
      <c r="E195" s="85">
        <f t="shared" si="18"/>
        <v>14.94806076335811</v>
      </c>
      <c r="F195" s="85">
        <f t="shared" si="22"/>
        <v>0.40233223864906925</v>
      </c>
      <c r="G195" s="85">
        <f t="shared" si="22"/>
        <v>0.26089287710877596</v>
      </c>
      <c r="H195" s="85">
        <f t="shared" si="23"/>
        <v>0.9661600516078277</v>
      </c>
      <c r="I195" s="85">
        <f t="shared" si="19"/>
        <v>0.996115281172776</v>
      </c>
      <c r="J195" s="85">
        <f t="shared" si="24"/>
        <v>1.0310044174514343</v>
      </c>
      <c r="K195" s="21">
        <v>6.599</v>
      </c>
      <c r="L195" s="4">
        <f t="shared" si="25"/>
        <v>6.803598150762015</v>
      </c>
      <c r="M195" s="2"/>
      <c r="N195" s="2"/>
    </row>
    <row r="196" spans="1:14" ht="12.75">
      <c r="A196" s="88">
        <v>38900</v>
      </c>
      <c r="B196" s="2">
        <f t="shared" si="26"/>
        <v>183</v>
      </c>
      <c r="C196" s="2">
        <f t="shared" si="20"/>
        <v>103</v>
      </c>
      <c r="D196" s="85">
        <f t="shared" si="21"/>
        <v>22.974489909860456</v>
      </c>
      <c r="E196" s="85">
        <f t="shared" si="18"/>
        <v>15.025510090139544</v>
      </c>
      <c r="F196" s="85">
        <f t="shared" si="22"/>
        <v>0.4009804928932802</v>
      </c>
      <c r="G196" s="85">
        <f t="shared" si="22"/>
        <v>0.262244622864565</v>
      </c>
      <c r="H196" s="85">
        <f t="shared" si="23"/>
        <v>0.9658104952386027</v>
      </c>
      <c r="I196" s="85">
        <f t="shared" si="19"/>
        <v>0.9962334041433276</v>
      </c>
      <c r="J196" s="85">
        <f t="shared" si="24"/>
        <v>1.0314998739967192</v>
      </c>
      <c r="K196" s="21">
        <v>7.107</v>
      </c>
      <c r="L196" s="4">
        <f t="shared" si="25"/>
        <v>7.3308696044946835</v>
      </c>
      <c r="M196" s="2"/>
      <c r="N196" s="2"/>
    </row>
    <row r="197" spans="1:14" ht="12.75">
      <c r="A197" s="88">
        <v>38901</v>
      </c>
      <c r="B197" s="2">
        <f t="shared" si="26"/>
        <v>184</v>
      </c>
      <c r="C197" s="2">
        <f t="shared" si="20"/>
        <v>104</v>
      </c>
      <c r="D197" s="85">
        <f t="shared" si="21"/>
        <v>22.890236905495314</v>
      </c>
      <c r="E197" s="85">
        <f t="shared" si="18"/>
        <v>15.109763094504686</v>
      </c>
      <c r="F197" s="85">
        <f t="shared" si="22"/>
        <v>0.3995100005624113</v>
      </c>
      <c r="G197" s="85">
        <f t="shared" si="22"/>
        <v>0.2637151151954339</v>
      </c>
      <c r="H197" s="85">
        <f t="shared" si="23"/>
        <v>0.9654282273780844</v>
      </c>
      <c r="I197" s="85">
        <f t="shared" si="19"/>
        <v>0.996359836611324</v>
      </c>
      <c r="J197" s="85">
        <f t="shared" si="24"/>
        <v>1.0320392633611344</v>
      </c>
      <c r="K197" s="21">
        <v>7.107</v>
      </c>
      <c r="L197" s="4">
        <f t="shared" si="25"/>
        <v>7.334703044707583</v>
      </c>
      <c r="M197" s="2"/>
      <c r="N197" s="2"/>
    </row>
    <row r="198" spans="1:14" ht="12.75">
      <c r="A198" s="88">
        <v>38902</v>
      </c>
      <c r="B198" s="2">
        <f t="shared" si="26"/>
        <v>185</v>
      </c>
      <c r="C198" s="2">
        <f t="shared" si="20"/>
        <v>105</v>
      </c>
      <c r="D198" s="85">
        <f t="shared" si="21"/>
        <v>22.799205174275706</v>
      </c>
      <c r="E198" s="85">
        <f t="shared" si="18"/>
        <v>15.200794825724294</v>
      </c>
      <c r="F198" s="85">
        <f t="shared" si="22"/>
        <v>0.39792119712883867</v>
      </c>
      <c r="G198" s="85">
        <f t="shared" si="22"/>
        <v>0.2653039186290066</v>
      </c>
      <c r="H198" s="85">
        <f t="shared" si="23"/>
        <v>0.9650128572057317</v>
      </c>
      <c r="I198" s="85">
        <f t="shared" si="19"/>
        <v>0.9964940199599317</v>
      </c>
      <c r="J198" s="85">
        <f t="shared" si="24"/>
        <v>1.0326225319374045</v>
      </c>
      <c r="K198" s="21">
        <v>4.822</v>
      </c>
      <c r="L198" s="4">
        <f t="shared" si="25"/>
        <v>4.979305849002165</v>
      </c>
      <c r="M198" s="2"/>
      <c r="N198" s="2"/>
    </row>
    <row r="199" spans="1:14" ht="12.75">
      <c r="A199" s="88">
        <v>38903</v>
      </c>
      <c r="B199" s="2">
        <f t="shared" si="26"/>
        <v>186</v>
      </c>
      <c r="C199" s="2">
        <f t="shared" si="20"/>
        <v>106</v>
      </c>
      <c r="D199" s="85">
        <f t="shared" si="21"/>
        <v>22.701421674386616</v>
      </c>
      <c r="E199" s="85">
        <f t="shared" si="18"/>
        <v>15.298578325613384</v>
      </c>
      <c r="F199" s="85">
        <f t="shared" si="22"/>
        <v>0.39621455310165055</v>
      </c>
      <c r="G199" s="85">
        <f t="shared" si="22"/>
        <v>0.2670105626561947</v>
      </c>
      <c r="H199" s="85">
        <f t="shared" si="23"/>
        <v>0.9645639656161893</v>
      </c>
      <c r="I199" s="85">
        <f t="shared" si="19"/>
        <v>0.9966353533792982</v>
      </c>
      <c r="J199" s="85">
        <f t="shared" si="24"/>
        <v>1.033249622530343</v>
      </c>
      <c r="K199" s="21">
        <v>6.345</v>
      </c>
      <c r="L199" s="4">
        <f t="shared" si="25"/>
        <v>6.555968854955026</v>
      </c>
      <c r="M199" s="2"/>
      <c r="N199" s="2"/>
    </row>
    <row r="200" spans="1:14" ht="12.75">
      <c r="A200" s="88">
        <v>38904</v>
      </c>
      <c r="B200" s="2">
        <f t="shared" si="26"/>
        <v>187</v>
      </c>
      <c r="C200" s="2">
        <f t="shared" si="20"/>
        <v>107</v>
      </c>
      <c r="D200" s="85">
        <f t="shared" si="21"/>
        <v>22.596915363485387</v>
      </c>
      <c r="E200" s="85">
        <f t="shared" si="18"/>
        <v>15.403084636514613</v>
      </c>
      <c r="F200" s="85">
        <f t="shared" si="22"/>
        <v>0.39439057388731125</v>
      </c>
      <c r="G200" s="85">
        <f t="shared" si="22"/>
        <v>0.268834541870534</v>
      </c>
      <c r="H200" s="85">
        <f t="shared" si="23"/>
        <v>0.9640811060754004</v>
      </c>
      <c r="I200" s="85">
        <f t="shared" si="19"/>
        <v>0.9967831946862727</v>
      </c>
      <c r="J200" s="85">
        <f t="shared" si="24"/>
        <v>1.0339204745376627</v>
      </c>
      <c r="K200" s="21">
        <v>6.091</v>
      </c>
      <c r="L200" s="4">
        <f t="shared" si="25"/>
        <v>6.297609610408903</v>
      </c>
      <c r="M200" s="2"/>
      <c r="N200" s="2"/>
    </row>
    <row r="201" spans="1:14" ht="12.75">
      <c r="A201" s="88">
        <v>38905</v>
      </c>
      <c r="B201" s="2">
        <f t="shared" si="26"/>
        <v>188</v>
      </c>
      <c r="C201" s="2">
        <f t="shared" si="20"/>
        <v>108</v>
      </c>
      <c r="D201" s="85">
        <f t="shared" si="21"/>
        <v>22.485717190126152</v>
      </c>
      <c r="E201" s="85">
        <f t="shared" si="18"/>
        <v>15.514282809873848</v>
      </c>
      <c r="F201" s="85">
        <f t="shared" si="22"/>
        <v>0.39244979963998916</v>
      </c>
      <c r="G201" s="85">
        <f t="shared" si="22"/>
        <v>0.2707753161178561</v>
      </c>
      <c r="H201" s="85">
        <f t="shared" si="23"/>
        <v>0.9635638055360088</v>
      </c>
      <c r="I201" s="85">
        <f t="shared" si="19"/>
        <v>0.9969368612028436</v>
      </c>
      <c r="J201" s="85">
        <f t="shared" si="24"/>
        <v>1.034635024141728</v>
      </c>
      <c r="K201" s="21">
        <v>6.345</v>
      </c>
      <c r="L201" s="4">
        <f t="shared" si="25"/>
        <v>6.5647592281792635</v>
      </c>
      <c r="M201" s="2"/>
      <c r="N201" s="2"/>
    </row>
    <row r="202" spans="1:14" ht="12.75">
      <c r="A202" s="88">
        <v>38906</v>
      </c>
      <c r="B202" s="2">
        <f t="shared" si="26"/>
        <v>189</v>
      </c>
      <c r="C202" s="2">
        <f t="shared" si="20"/>
        <v>109</v>
      </c>
      <c r="D202" s="85">
        <f t="shared" si="21"/>
        <v>22.367860084594746</v>
      </c>
      <c r="E202" s="85">
        <f t="shared" si="18"/>
        <v>15.632139915405254</v>
      </c>
      <c r="F202" s="85">
        <f t="shared" si="22"/>
        <v>0.3903928051015957</v>
      </c>
      <c r="G202" s="85">
        <f t="shared" si="22"/>
        <v>0.2728323106562495</v>
      </c>
      <c r="H202" s="85">
        <f t="shared" si="23"/>
        <v>0.963011565410852</v>
      </c>
      <c r="I202" s="85">
        <f t="shared" si="19"/>
        <v>0.9970956306925478</v>
      </c>
      <c r="J202" s="85">
        <f t="shared" si="24"/>
        <v>1.0353932045116763</v>
      </c>
      <c r="K202" s="21">
        <v>6.345</v>
      </c>
      <c r="L202" s="4">
        <f t="shared" si="25"/>
        <v>6.569569882626586</v>
      </c>
      <c r="M202" s="2"/>
      <c r="N202" s="2"/>
    </row>
    <row r="203" spans="1:14" ht="12.75">
      <c r="A203" s="88">
        <v>38907</v>
      </c>
      <c r="B203" s="2">
        <f t="shared" si="26"/>
        <v>190</v>
      </c>
      <c r="C203" s="2">
        <f t="shared" si="20"/>
        <v>110</v>
      </c>
      <c r="D203" s="85">
        <f t="shared" si="21"/>
        <v>22.243378949156682</v>
      </c>
      <c r="E203" s="85">
        <f t="shared" si="18"/>
        <v>15.756621050843318</v>
      </c>
      <c r="F203" s="85">
        <f t="shared" si="22"/>
        <v>0.3882201994315805</v>
      </c>
      <c r="G203" s="85">
        <f t="shared" si="22"/>
        <v>0.2750049163262647</v>
      </c>
      <c r="H203" s="85">
        <f t="shared" si="23"/>
        <v>0.9624238626032686</v>
      </c>
      <c r="I203" s="85">
        <f t="shared" si="19"/>
        <v>0.9972587423540529</v>
      </c>
      <c r="J203" s="85">
        <f t="shared" si="24"/>
        <v>1.0361949460153232</v>
      </c>
      <c r="K203" s="21">
        <v>6.091</v>
      </c>
      <c r="L203" s="4">
        <f t="shared" si="25"/>
        <v>6.311463416179334</v>
      </c>
      <c r="M203" s="2"/>
      <c r="N203" s="2"/>
    </row>
    <row r="204" spans="1:14" ht="12.75">
      <c r="A204" s="88">
        <v>38908</v>
      </c>
      <c r="B204" s="2">
        <f t="shared" si="26"/>
        <v>191</v>
      </c>
      <c r="C204" s="2">
        <f t="shared" si="20"/>
        <v>111</v>
      </c>
      <c r="D204" s="85">
        <f t="shared" si="21"/>
        <v>22.1123106477212</v>
      </c>
      <c r="E204" s="85">
        <f t="shared" si="18"/>
        <v>15.887689352278802</v>
      </c>
      <c r="F204" s="85">
        <f t="shared" si="22"/>
        <v>0.3859326260265349</v>
      </c>
      <c r="G204" s="85">
        <f t="shared" si="22"/>
        <v>0.2772924897313104</v>
      </c>
      <c r="H204" s="85">
        <f t="shared" si="23"/>
        <v>0.9618001505928552</v>
      </c>
      <c r="I204" s="85">
        <f t="shared" si="19"/>
        <v>0.9974253978710443</v>
      </c>
      <c r="J204" s="85">
        <f t="shared" si="24"/>
        <v>1.0370401764402197</v>
      </c>
      <c r="K204" s="21">
        <v>5.584</v>
      </c>
      <c r="L204" s="4">
        <f t="shared" si="25"/>
        <v>5.790832345242187</v>
      </c>
      <c r="M204" s="2"/>
      <c r="N204" s="2"/>
    </row>
    <row r="205" spans="1:14" ht="12.75">
      <c r="A205" s="88">
        <v>38909</v>
      </c>
      <c r="B205" s="2">
        <f t="shared" si="26"/>
        <v>192</v>
      </c>
      <c r="C205" s="2">
        <f t="shared" si="20"/>
        <v>112</v>
      </c>
      <c r="D205" s="85">
        <f t="shared" si="21"/>
        <v>21.974693994924344</v>
      </c>
      <c r="E205" s="85">
        <f t="shared" si="18"/>
        <v>16.025306005075656</v>
      </c>
      <c r="F205" s="85">
        <f t="shared" si="22"/>
        <v>0.3835307623296559</v>
      </c>
      <c r="G205" s="85">
        <f t="shared" si="22"/>
        <v>0.2796943534281893</v>
      </c>
      <c r="H205" s="85">
        <f t="shared" si="23"/>
        <v>0.9611398605752239</v>
      </c>
      <c r="I205" s="85">
        <f t="shared" si="19"/>
        <v>0.9975947625174912</v>
      </c>
      <c r="J205" s="85">
        <f t="shared" si="24"/>
        <v>1.037928821223219</v>
      </c>
      <c r="K205" s="21">
        <v>5.838</v>
      </c>
      <c r="L205" s="4">
        <f t="shared" si="25"/>
        <v>6.059428458301152</v>
      </c>
      <c r="M205" s="2"/>
      <c r="N205" s="2"/>
    </row>
    <row r="206" spans="1:14" ht="12.75">
      <c r="A206" s="88">
        <v>38910</v>
      </c>
      <c r="B206" s="2">
        <f t="shared" si="26"/>
        <v>193</v>
      </c>
      <c r="C206" s="2">
        <f t="shared" si="20"/>
        <v>113</v>
      </c>
      <c r="D206" s="85">
        <f t="shared" si="21"/>
        <v>21.83056974463442</v>
      </c>
      <c r="E206" s="85">
        <f aca="true" t="shared" si="27" ref="E206:E269">C$9-D206</f>
        <v>16.16943025536558</v>
      </c>
      <c r="F206" s="85">
        <f t="shared" si="22"/>
        <v>0.38101531963012836</v>
      </c>
      <c r="G206" s="85">
        <f t="shared" si="22"/>
        <v>0.2822097961277169</v>
      </c>
      <c r="H206" s="85">
        <f t="shared" si="23"/>
        <v>0.9604424026542338</v>
      </c>
      <c r="I206" s="85">
        <f aca="true" t="shared" si="28" ref="I206:I269">COS(D$10)*COS(G206)+SIN(D$10)*SIN(G206)*COS(RADIANS(180)-D$11)</f>
        <v>0.997765966317301</v>
      </c>
      <c r="J206" s="85">
        <f t="shared" si="24"/>
        <v>1.0388608036878855</v>
      </c>
      <c r="K206" s="21">
        <v>5.838</v>
      </c>
      <c r="L206" s="4">
        <f t="shared" si="25"/>
        <v>6.064869371929875</v>
      </c>
      <c r="M206" s="2"/>
      <c r="N206" s="2"/>
    </row>
    <row r="207" spans="1:14" ht="12.75">
      <c r="A207" s="88">
        <v>38911</v>
      </c>
      <c r="B207" s="2">
        <f t="shared" si="26"/>
        <v>194</v>
      </c>
      <c r="C207" s="2">
        <f aca="true" t="shared" si="29" ref="C207:C270">(B207-80)</f>
        <v>114</v>
      </c>
      <c r="D207" s="85">
        <f aca="true" t="shared" si="30" ref="D207:D270">23.45*SIN(RADIANS(0.986*C207))</f>
        <v>21.679980577883065</v>
      </c>
      <c r="E207" s="85">
        <f t="shared" si="27"/>
        <v>16.320019422116935</v>
      </c>
      <c r="F207" s="85">
        <f aca="true" t="shared" si="31" ref="F207:G270">RADIANS(D207)</f>
        <v>0.3783870428524824</v>
      </c>
      <c r="G207" s="85">
        <f t="shared" si="31"/>
        <v>0.28483807290536284</v>
      </c>
      <c r="H207" s="85">
        <f aca="true" t="shared" si="32" ref="H207:H270">COS(0)*COS(G207)+SIN(0)*SIN(G207)*COS(RADIANS(180-0))</f>
        <v>0.9597071670850775</v>
      </c>
      <c r="I207" s="85">
        <f t="shared" si="28"/>
        <v>0.9979381052573009</v>
      </c>
      <c r="J207" s="85">
        <f aca="true" t="shared" si="33" ref="J207:J270">I207/H207</f>
        <v>1.039836045289046</v>
      </c>
      <c r="K207" s="21">
        <v>5.838</v>
      </c>
      <c r="L207" s="4">
        <f aca="true" t="shared" si="34" ref="L207:L270">J207*K207</f>
        <v>6.070562832397451</v>
      </c>
      <c r="M207" s="2"/>
      <c r="N207" s="2"/>
    </row>
    <row r="208" spans="1:14" ht="12.75">
      <c r="A208" s="88">
        <v>38912</v>
      </c>
      <c r="B208" s="2">
        <f aca="true" t="shared" si="35" ref="B208:B271">B207+1</f>
        <v>195</v>
      </c>
      <c r="C208" s="2">
        <f t="shared" si="29"/>
        <v>115</v>
      </c>
      <c r="D208" s="85">
        <f t="shared" si="30"/>
        <v>21.522971090225706</v>
      </c>
      <c r="E208" s="85">
        <f t="shared" si="27"/>
        <v>16.477028909774294</v>
      </c>
      <c r="F208" s="85">
        <f t="shared" si="31"/>
        <v>0.3756467103359921</v>
      </c>
      <c r="G208" s="85">
        <f t="shared" si="31"/>
        <v>0.2875784054218531</v>
      </c>
      <c r="H208" s="85">
        <f t="shared" si="32"/>
        <v>0.958933525566533</v>
      </c>
      <c r="I208" s="85">
        <f t="shared" si="28"/>
        <v>0.9981102425524244</v>
      </c>
      <c r="J208" s="85">
        <f t="shared" si="33"/>
        <v>1.0408544658637793</v>
      </c>
      <c r="K208" s="21">
        <v>5.33</v>
      </c>
      <c r="L208" s="4">
        <f t="shared" si="34"/>
        <v>5.547754303053944</v>
      </c>
      <c r="M208" s="2"/>
      <c r="N208" s="2"/>
    </row>
    <row r="209" spans="1:14" ht="12.75">
      <c r="A209" s="88">
        <v>38913</v>
      </c>
      <c r="B209" s="2">
        <f t="shared" si="35"/>
        <v>196</v>
      </c>
      <c r="C209" s="2">
        <f t="shared" si="29"/>
        <v>116</v>
      </c>
      <c r="D209" s="85">
        <f t="shared" si="30"/>
        <v>21.359587778534998</v>
      </c>
      <c r="E209" s="85">
        <f t="shared" si="27"/>
        <v>16.640412221465002</v>
      </c>
      <c r="F209" s="85">
        <f t="shared" si="31"/>
        <v>0.3727951336041771</v>
      </c>
      <c r="G209" s="85">
        <f t="shared" si="31"/>
        <v>0.2904299821536681</v>
      </c>
      <c r="H209" s="85">
        <f t="shared" si="32"/>
        <v>0.9581208325805975</v>
      </c>
      <c r="I209" s="85">
        <f t="shared" si="28"/>
        <v>0.998281409961908</v>
      </c>
      <c r="J209" s="85">
        <f t="shared" si="33"/>
        <v>1.0419159838881096</v>
      </c>
      <c r="K209" s="21">
        <v>5.076</v>
      </c>
      <c r="L209" s="4">
        <f t="shared" si="34"/>
        <v>5.288765534216044</v>
      </c>
      <c r="M209" s="2"/>
      <c r="N209" s="2"/>
    </row>
    <row r="210" spans="1:14" ht="12.75">
      <c r="A210" s="88">
        <v>38914</v>
      </c>
      <c r="B210" s="2">
        <f t="shared" si="35"/>
        <v>197</v>
      </c>
      <c r="C210" s="2">
        <f t="shared" si="29"/>
        <v>117</v>
      </c>
      <c r="D210" s="85">
        <f t="shared" si="30"/>
        <v>21.189879027231214</v>
      </c>
      <c r="E210" s="85">
        <f t="shared" si="27"/>
        <v>16.810120972768786</v>
      </c>
      <c r="F210" s="85">
        <f t="shared" si="31"/>
        <v>0.36983315712447784</v>
      </c>
      <c r="G210" s="85">
        <f t="shared" si="31"/>
        <v>0.29339195863336737</v>
      </c>
      <c r="H210" s="85">
        <f t="shared" si="32"/>
        <v>0.9572684267776497</v>
      </c>
      <c r="I210" s="85">
        <f t="shared" si="28"/>
        <v>0.998450609155233</v>
      </c>
      <c r="J210" s="85">
        <f t="shared" si="33"/>
        <v>1.043020516738665</v>
      </c>
      <c r="K210" s="21">
        <v>5.584</v>
      </c>
      <c r="L210" s="4">
        <f t="shared" si="34"/>
        <v>5.824226565468705</v>
      </c>
      <c r="M210" s="2"/>
      <c r="N210" s="2"/>
    </row>
    <row r="211" spans="1:14" ht="12.75">
      <c r="A211" s="88">
        <v>38915</v>
      </c>
      <c r="B211" s="2">
        <f t="shared" si="35"/>
        <v>198</v>
      </c>
      <c r="C211" s="2">
        <f t="shared" si="29"/>
        <v>118</v>
      </c>
      <c r="D211" s="85">
        <f t="shared" si="30"/>
        <v>21.013895093953657</v>
      </c>
      <c r="E211" s="85">
        <f t="shared" si="27"/>
        <v>16.986104906046343</v>
      </c>
      <c r="F211" s="85">
        <f t="shared" si="31"/>
        <v>0.36676165805817446</v>
      </c>
      <c r="G211" s="85">
        <f t="shared" si="31"/>
        <v>0.29646345769967075</v>
      </c>
      <c r="H211" s="85">
        <f t="shared" si="32"/>
        <v>0.9563756324051986</v>
      </c>
      <c r="I211" s="85">
        <f t="shared" si="28"/>
        <v>0.998616813126481</v>
      </c>
      <c r="J211" s="85">
        <f t="shared" si="33"/>
        <v>1.0441679809585378</v>
      </c>
      <c r="K211" s="21">
        <v>5.584</v>
      </c>
      <c r="L211" s="4">
        <f t="shared" si="34"/>
        <v>5.830634005672475</v>
      </c>
      <c r="M211" s="2"/>
      <c r="N211" s="2"/>
    </row>
    <row r="212" spans="1:14" ht="12.75">
      <c r="A212" s="88">
        <v>38916</v>
      </c>
      <c r="B212" s="2">
        <f t="shared" si="35"/>
        <v>199</v>
      </c>
      <c r="C212" s="2">
        <f t="shared" si="29"/>
        <v>119</v>
      </c>
      <c r="D212" s="85">
        <f t="shared" si="30"/>
        <v>20.83168809467732</v>
      </c>
      <c r="E212" s="85">
        <f t="shared" si="27"/>
        <v>17.16831190532268</v>
      </c>
      <c r="F212" s="85">
        <f t="shared" si="31"/>
        <v>0.3635815460006235</v>
      </c>
      <c r="G212" s="85">
        <f t="shared" si="31"/>
        <v>0.29964356975722173</v>
      </c>
      <c r="H212" s="85">
        <f t="shared" si="32"/>
        <v>0.955441760778206</v>
      </c>
      <c r="I212" s="85">
        <f t="shared" si="28"/>
        <v>0.9987789676556947</v>
      </c>
      <c r="J212" s="85">
        <f t="shared" si="33"/>
        <v>1.0453582925265803</v>
      </c>
      <c r="K212" s="21">
        <v>6.091</v>
      </c>
      <c r="L212" s="4">
        <f t="shared" si="34"/>
        <v>6.367277359779401</v>
      </c>
      <c r="M212" s="2"/>
      <c r="N212" s="2"/>
    </row>
    <row r="213" spans="1:14" ht="12.75">
      <c r="A213" s="88">
        <v>38917</v>
      </c>
      <c r="B213" s="2">
        <f t="shared" si="35"/>
        <v>200</v>
      </c>
      <c r="C213" s="2">
        <f t="shared" si="29"/>
        <v>120</v>
      </c>
      <c r="D213" s="85">
        <f t="shared" si="30"/>
        <v>20.64331198827928</v>
      </c>
      <c r="E213" s="85">
        <f t="shared" si="27"/>
        <v>17.35668801172072</v>
      </c>
      <c r="F213" s="85">
        <f t="shared" si="31"/>
        <v>0.3602937627118905</v>
      </c>
      <c r="G213" s="85">
        <f t="shared" si="31"/>
        <v>0.3029313530459547</v>
      </c>
      <c r="H213" s="85">
        <f t="shared" si="32"/>
        <v>0.9544661117888844</v>
      </c>
      <c r="I213" s="85">
        <f t="shared" si="28"/>
        <v>0.9989359928157668</v>
      </c>
      <c r="J213" s="85">
        <f t="shared" si="33"/>
        <v>1.0465913671293534</v>
      </c>
      <c r="K213" s="21">
        <v>5.33</v>
      </c>
      <c r="L213" s="4">
        <f t="shared" si="34"/>
        <v>5.578331986799454</v>
      </c>
      <c r="M213" s="2"/>
      <c r="N213" s="2"/>
    </row>
    <row r="214" spans="1:14" ht="12.75">
      <c r="A214" s="88">
        <v>38918</v>
      </c>
      <c r="B214" s="2">
        <f t="shared" si="35"/>
        <v>201</v>
      </c>
      <c r="C214" s="2">
        <f t="shared" si="29"/>
        <v>121</v>
      </c>
      <c r="D214" s="85">
        <f t="shared" si="30"/>
        <v>20.448822560559233</v>
      </c>
      <c r="E214" s="85">
        <f t="shared" si="27"/>
        <v>17.551177439440767</v>
      </c>
      <c r="F214" s="85">
        <f t="shared" si="31"/>
        <v>0.3568992818378562</v>
      </c>
      <c r="G214" s="85">
        <f t="shared" si="31"/>
        <v>0.3063258339199891</v>
      </c>
      <c r="H214" s="85">
        <f t="shared" si="32"/>
        <v>0.9534479754538028</v>
      </c>
      <c r="I214" s="85">
        <f t="shared" si="28"/>
        <v>0.9990867845233021</v>
      </c>
      <c r="J214" s="85">
        <f t="shared" si="33"/>
        <v>1.0478671204349426</v>
      </c>
      <c r="K214" s="21">
        <v>5.33</v>
      </c>
      <c r="L214" s="4">
        <f t="shared" si="34"/>
        <v>5.585131751918244</v>
      </c>
      <c r="M214" s="2"/>
      <c r="N214" s="2"/>
    </row>
    <row r="215" spans="1:14" ht="12.75">
      <c r="A215" s="88">
        <v>38919</v>
      </c>
      <c r="B215" s="2">
        <f t="shared" si="35"/>
        <v>202</v>
      </c>
      <c r="C215" s="2">
        <f t="shared" si="29"/>
        <v>122</v>
      </c>
      <c r="D215" s="85">
        <f t="shared" si="30"/>
        <v>20.248277407719087</v>
      </c>
      <c r="E215" s="85">
        <f t="shared" si="27"/>
        <v>17.751722592280913</v>
      </c>
      <c r="F215" s="85">
        <f t="shared" si="31"/>
        <v>0.35339910862188034</v>
      </c>
      <c r="G215" s="85">
        <f t="shared" si="31"/>
        <v>0.30982600713596486</v>
      </c>
      <c r="H215" s="85">
        <f t="shared" si="32"/>
        <v>0.9523866334960559</v>
      </c>
      <c r="I215" s="85">
        <f t="shared" si="28"/>
        <v>0.9992302161318304</v>
      </c>
      <c r="J215" s="85">
        <f t="shared" si="33"/>
        <v>1.0491854683678405</v>
      </c>
      <c r="K215" s="21">
        <v>5.33</v>
      </c>
      <c r="L215" s="4">
        <f t="shared" si="34"/>
        <v>5.59215854640059</v>
      </c>
      <c r="M215" s="2"/>
      <c r="N215" s="2"/>
    </row>
    <row r="216" spans="1:14" ht="12.75">
      <c r="A216" s="88">
        <v>38920</v>
      </c>
      <c r="B216" s="2">
        <f t="shared" si="35"/>
        <v>203</v>
      </c>
      <c r="C216" s="2">
        <f t="shared" si="29"/>
        <v>123</v>
      </c>
      <c r="D216" s="85">
        <f t="shared" si="30"/>
        <v>20.041735919306394</v>
      </c>
      <c r="E216" s="85">
        <f t="shared" si="27"/>
        <v>17.958264080693606</v>
      </c>
      <c r="F216" s="85">
        <f t="shared" si="31"/>
        <v>0.3497942796071091</v>
      </c>
      <c r="G216" s="85">
        <f t="shared" si="31"/>
        <v>0.3134308361507361</v>
      </c>
      <c r="H216" s="85">
        <f t="shared" si="32"/>
        <v>0.951281360960178</v>
      </c>
      <c r="I216" s="85">
        <f t="shared" si="28"/>
        <v>0.9993651400656652</v>
      </c>
      <c r="J216" s="85">
        <f t="shared" si="33"/>
        <v>1.050546327384102</v>
      </c>
      <c r="K216" s="21">
        <v>6.345</v>
      </c>
      <c r="L216" s="4">
        <f t="shared" si="34"/>
        <v>6.6657164472521275</v>
      </c>
      <c r="M216" s="2"/>
      <c r="N216" s="2"/>
    </row>
    <row r="217" spans="1:14" ht="12.75">
      <c r="A217" s="88">
        <v>38921</v>
      </c>
      <c r="B217" s="2">
        <f t="shared" si="35"/>
        <v>204</v>
      </c>
      <c r="C217" s="2">
        <f t="shared" si="29"/>
        <v>124</v>
      </c>
      <c r="D217" s="85">
        <f t="shared" si="30"/>
        <v>19.82925926062669</v>
      </c>
      <c r="E217" s="85">
        <f t="shared" si="27"/>
        <v>18.17074073937331</v>
      </c>
      <c r="F217" s="85">
        <f t="shared" si="31"/>
        <v>0.3460858623295121</v>
      </c>
      <c r="G217" s="85">
        <f t="shared" si="31"/>
        <v>0.3171392534283331</v>
      </c>
      <c r="H217" s="85">
        <f t="shared" si="32"/>
        <v>0.9501314278574161</v>
      </c>
      <c r="I217" s="85">
        <f t="shared" si="28"/>
        <v>0.9994903894926352</v>
      </c>
      <c r="J217" s="85">
        <f t="shared" si="33"/>
        <v>1.0519496147459573</v>
      </c>
      <c r="K217" s="21">
        <v>5.838</v>
      </c>
      <c r="L217" s="4">
        <f t="shared" si="34"/>
        <v>6.141281850886899</v>
      </c>
      <c r="M217" s="2"/>
      <c r="N217" s="2"/>
    </row>
    <row r="218" spans="1:14" ht="12.75">
      <c r="A218" s="88">
        <v>38922</v>
      </c>
      <c r="B218" s="2">
        <f t="shared" si="35"/>
        <v>205</v>
      </c>
      <c r="C218" s="2">
        <f t="shared" si="29"/>
        <v>125</v>
      </c>
      <c r="D218" s="85">
        <f t="shared" si="30"/>
        <v>19.610910354629965</v>
      </c>
      <c r="E218" s="85">
        <f t="shared" si="27"/>
        <v>18.389089645370035</v>
      </c>
      <c r="F218" s="85">
        <f t="shared" si="31"/>
        <v>0.3422749550017417</v>
      </c>
      <c r="G218" s="85">
        <f t="shared" si="31"/>
        <v>0.32095016075610355</v>
      </c>
      <c r="H218" s="85">
        <f t="shared" si="32"/>
        <v>0.948936100838906</v>
      </c>
      <c r="I218" s="85">
        <f t="shared" si="28"/>
        <v>0.999604780033837</v>
      </c>
      <c r="J218" s="85">
        <f t="shared" si="33"/>
        <v>1.0533952487950848</v>
      </c>
      <c r="K218" s="21">
        <v>5.33</v>
      </c>
      <c r="L218" s="4">
        <f t="shared" si="34"/>
        <v>5.614596676077802</v>
      </c>
      <c r="M218" s="2"/>
      <c r="N218" s="2"/>
    </row>
    <row r="219" spans="1:14" ht="12.75">
      <c r="A219" s="88">
        <v>38923</v>
      </c>
      <c r="B219" s="2">
        <f t="shared" si="35"/>
        <v>206</v>
      </c>
      <c r="C219" s="2">
        <f t="shared" si="29"/>
        <v>126</v>
      </c>
      <c r="D219" s="85">
        <f t="shared" si="30"/>
        <v>19.386753863276628</v>
      </c>
      <c r="E219" s="85">
        <f t="shared" si="27"/>
        <v>18.613246136723372</v>
      </c>
      <c r="F219" s="85">
        <f t="shared" si="31"/>
        <v>0.33836268618790777</v>
      </c>
      <c r="G219" s="85">
        <f t="shared" si="31"/>
        <v>0.3248624295699375</v>
      </c>
      <c r="H219" s="85">
        <f t="shared" si="32"/>
        <v>0.9476946448942299</v>
      </c>
      <c r="I219" s="85">
        <f t="shared" si="28"/>
        <v>0.9997071115084837</v>
      </c>
      <c r="J219" s="85">
        <f t="shared" si="33"/>
        <v>1.0548831492237236</v>
      </c>
      <c r="K219" s="21">
        <v>5.584</v>
      </c>
      <c r="L219" s="4">
        <f t="shared" si="34"/>
        <v>5.890467505265272</v>
      </c>
      <c r="M219" s="2"/>
      <c r="N219" s="2"/>
    </row>
    <row r="220" spans="1:14" ht="12.75">
      <c r="A220" s="88">
        <v>38924</v>
      </c>
      <c r="B220" s="2">
        <f t="shared" si="35"/>
        <v>207</v>
      </c>
      <c r="C220" s="2">
        <f t="shared" si="29"/>
        <v>127</v>
      </c>
      <c r="D220" s="85">
        <f t="shared" si="30"/>
        <v>19.156856168388515</v>
      </c>
      <c r="E220" s="85">
        <f t="shared" si="27"/>
        <v>18.843143831611485</v>
      </c>
      <c r="F220" s="85">
        <f t="shared" si="31"/>
        <v>0.33435021446936486</v>
      </c>
      <c r="G220" s="85">
        <f t="shared" si="31"/>
        <v>0.3288749012884804</v>
      </c>
      <c r="H220" s="85">
        <f t="shared" si="32"/>
        <v>0.9464063250727733</v>
      </c>
      <c r="I220" s="85">
        <f t="shared" si="28"/>
        <v>0.9997961697118518</v>
      </c>
      <c r="J220" s="85">
        <f t="shared" si="33"/>
        <v>1.056413237342822</v>
      </c>
      <c r="K220" s="21">
        <v>5.33</v>
      </c>
      <c r="L220" s="4">
        <f t="shared" si="34"/>
        <v>5.630682555037242</v>
      </c>
      <c r="M220" s="2"/>
      <c r="N220" s="2"/>
    </row>
    <row r="221" spans="1:14" ht="12.75">
      <c r="A221" s="88">
        <v>38925</v>
      </c>
      <c r="B221" s="2">
        <f t="shared" si="35"/>
        <v>208</v>
      </c>
      <c r="C221" s="2">
        <f t="shared" si="29"/>
        <v>128</v>
      </c>
      <c r="D221" s="85">
        <f t="shared" si="30"/>
        <v>18.921285351990473</v>
      </c>
      <c r="E221" s="85">
        <f t="shared" si="27"/>
        <v>19.078714648009527</v>
      </c>
      <c r="F221" s="85">
        <f t="shared" si="31"/>
        <v>0.330238728101608</v>
      </c>
      <c r="G221" s="85">
        <f t="shared" si="31"/>
        <v>0.3329863876562373</v>
      </c>
      <c r="H221" s="85">
        <f t="shared" si="32"/>
        <v>0.9450704082252336</v>
      </c>
      <c r="I221" s="85">
        <f t="shared" si="28"/>
        <v>0.9998707282242488</v>
      </c>
      <c r="J221" s="85">
        <f t="shared" si="33"/>
        <v>1.057985436346405</v>
      </c>
      <c r="K221" s="21">
        <v>5.076</v>
      </c>
      <c r="L221" s="4">
        <f t="shared" si="34"/>
        <v>5.370334074894351</v>
      </c>
      <c r="M221" s="2"/>
      <c r="N221" s="2"/>
    </row>
    <row r="222" spans="1:14" ht="12.75">
      <c r="A222" s="88">
        <v>38926</v>
      </c>
      <c r="B222" s="2">
        <f t="shared" si="35"/>
        <v>209</v>
      </c>
      <c r="C222" s="2">
        <f t="shared" si="29"/>
        <v>129</v>
      </c>
      <c r="D222" s="85">
        <f t="shared" si="30"/>
        <v>18.68011117614856</v>
      </c>
      <c r="E222" s="85">
        <f t="shared" si="27"/>
        <v>19.31988882385144</v>
      </c>
      <c r="F222" s="85">
        <f t="shared" si="31"/>
        <v>0.3260294446623828</v>
      </c>
      <c r="G222" s="85">
        <f t="shared" si="31"/>
        <v>0.3371956710954624</v>
      </c>
      <c r="H222" s="85">
        <f t="shared" si="32"/>
        <v>0.9436861647625828</v>
      </c>
      <c r="I222" s="85">
        <f t="shared" si="28"/>
        <v>0.9999295502488627</v>
      </c>
      <c r="J222" s="85">
        <f t="shared" si="33"/>
        <v>1.0595996715713532</v>
      </c>
      <c r="K222" s="21">
        <v>5.33</v>
      </c>
      <c r="L222" s="4">
        <f t="shared" si="34"/>
        <v>5.6476662494753125</v>
      </c>
      <c r="M222" s="2"/>
      <c r="N222" s="2"/>
    </row>
    <row r="223" spans="1:14" ht="12.75">
      <c r="A223" s="88">
        <v>38927</v>
      </c>
      <c r="B223" s="2">
        <f t="shared" si="35"/>
        <v>210</v>
      </c>
      <c r="C223" s="2">
        <f t="shared" si="29"/>
        <v>130</v>
      </c>
      <c r="D223" s="85">
        <f t="shared" si="30"/>
        <v>18.433405062310687</v>
      </c>
      <c r="E223" s="85">
        <f t="shared" si="27"/>
        <v>19.566594937689313</v>
      </c>
      <c r="F223" s="85">
        <f t="shared" si="31"/>
        <v>0.321723610691112</v>
      </c>
      <c r="G223" s="85">
        <f t="shared" si="31"/>
        <v>0.3415015050667332</v>
      </c>
      <c r="H223" s="85">
        <f t="shared" si="32"/>
        <v>0.9422528704297285</v>
      </c>
      <c r="I223" s="85">
        <f t="shared" si="28"/>
        <v>0.9999713904762666</v>
      </c>
      <c r="J223" s="85">
        <f t="shared" si="33"/>
        <v>1.061255870751781</v>
      </c>
      <c r="K223" s="21">
        <v>5.076</v>
      </c>
      <c r="L223" s="4">
        <f t="shared" si="34"/>
        <v>5.38693479993604</v>
      </c>
      <c r="M223" s="2"/>
      <c r="N223" s="2"/>
    </row>
    <row r="224" spans="1:14" ht="12.75">
      <c r="A224" s="88">
        <v>38928</v>
      </c>
      <c r="B224" s="2">
        <f t="shared" si="35"/>
        <v>211</v>
      </c>
      <c r="C224" s="2">
        <f t="shared" si="29"/>
        <v>131</v>
      </c>
      <c r="D224" s="85">
        <f t="shared" si="30"/>
        <v>18.181240070155784</v>
      </c>
      <c r="E224" s="85">
        <f t="shared" si="27"/>
        <v>19.818759929844216</v>
      </c>
      <c r="F224" s="85">
        <f t="shared" si="31"/>
        <v>0.31732250131974327</v>
      </c>
      <c r="G224" s="85">
        <f t="shared" si="31"/>
        <v>0.34590261443810194</v>
      </c>
      <c r="H224" s="85">
        <f t="shared" si="32"/>
        <v>0.9407698080910674</v>
      </c>
      <c r="I224" s="85">
        <f t="shared" si="28"/>
        <v>0.9999949969733</v>
      </c>
      <c r="J224" s="85">
        <f t="shared" si="33"/>
        <v>1.0629539642672075</v>
      </c>
      <c r="K224" s="21">
        <v>5.838</v>
      </c>
      <c r="L224" s="4">
        <f t="shared" si="34"/>
        <v>6.205525243391957</v>
      </c>
      <c r="M224" s="2"/>
      <c r="N224" s="2"/>
    </row>
    <row r="225" spans="1:14" ht="12.75">
      <c r="A225" s="88">
        <v>38929</v>
      </c>
      <c r="B225" s="2">
        <f t="shared" si="35"/>
        <v>212</v>
      </c>
      <c r="C225" s="2">
        <f t="shared" si="29"/>
        <v>132</v>
      </c>
      <c r="D225" s="85">
        <f t="shared" si="30"/>
        <v>17.923690875957885</v>
      </c>
      <c r="E225" s="85">
        <f t="shared" si="27"/>
        <v>20.076309124042115</v>
      </c>
      <c r="F225" s="85">
        <f t="shared" si="31"/>
        <v>0.31282741989513163</v>
      </c>
      <c r="G225" s="85">
        <f t="shared" si="31"/>
        <v>0.3503976958627136</v>
      </c>
      <c r="H225" s="85">
        <f t="shared" si="32"/>
        <v>0.9392362695250829</v>
      </c>
      <c r="I225" s="85">
        <f t="shared" si="28"/>
        <v>0.9999991130939613</v>
      </c>
      <c r="J225" s="85">
        <f t="shared" si="33"/>
        <v>1.0646938853837093</v>
      </c>
      <c r="K225" s="21">
        <v>5.584</v>
      </c>
      <c r="L225" s="4">
        <f t="shared" si="34"/>
        <v>5.945250655982632</v>
      </c>
      <c r="M225" s="2"/>
      <c r="N225" s="2"/>
    </row>
    <row r="226" spans="1:14" ht="12.75">
      <c r="A226" s="88">
        <v>38930</v>
      </c>
      <c r="B226" s="2">
        <f t="shared" si="35"/>
        <v>213</v>
      </c>
      <c r="C226" s="2">
        <f t="shared" si="29"/>
        <v>133</v>
      </c>
      <c r="D226" s="85">
        <f t="shared" si="30"/>
        <v>17.660833750471465</v>
      </c>
      <c r="E226" s="85">
        <f t="shared" si="27"/>
        <v>20.339166249528535</v>
      </c>
      <c r="F226" s="85">
        <f t="shared" si="31"/>
        <v>0.3082396975930657</v>
      </c>
      <c r="G226" s="85">
        <f t="shared" si="31"/>
        <v>0.3549854181647795</v>
      </c>
      <c r="H226" s="85">
        <f t="shared" si="32"/>
        <v>0.9376515572250933</v>
      </c>
      <c r="I226" s="85">
        <f t="shared" si="28"/>
        <v>0.9999824794098945</v>
      </c>
      <c r="J226" s="85">
        <f t="shared" si="33"/>
        <v>1.066475570487255</v>
      </c>
      <c r="K226" s="21">
        <v>5.584</v>
      </c>
      <c r="L226" s="4">
        <f t="shared" si="34"/>
        <v>5.955199585600832</v>
      </c>
      <c r="M226" s="2"/>
      <c r="N226" s="2"/>
    </row>
    <row r="227" spans="1:14" ht="12.75">
      <c r="A227" s="88">
        <v>38931</v>
      </c>
      <c r="B227" s="2">
        <f t="shared" si="35"/>
        <v>214</v>
      </c>
      <c r="C227" s="2">
        <f t="shared" si="29"/>
        <v>134</v>
      </c>
      <c r="D227" s="85">
        <f t="shared" si="30"/>
        <v>17.392746536344614</v>
      </c>
      <c r="E227" s="85">
        <f t="shared" si="27"/>
        <v>20.607253463655386</v>
      </c>
      <c r="F227" s="85">
        <f t="shared" si="31"/>
        <v>0.3035606930240531</v>
      </c>
      <c r="G227" s="85">
        <f t="shared" si="31"/>
        <v>0.3596644227337921</v>
      </c>
      <c r="H227" s="85">
        <f t="shared" si="32"/>
        <v>0.9360149862032204</v>
      </c>
      <c r="I227" s="85">
        <f t="shared" si="28"/>
        <v>0.9999438356579774</v>
      </c>
      <c r="J227" s="85">
        <f t="shared" si="33"/>
        <v>1.0682989593084113</v>
      </c>
      <c r="K227" s="21">
        <v>5.584</v>
      </c>
      <c r="L227" s="4">
        <f t="shared" si="34"/>
        <v>5.965381388778169</v>
      </c>
      <c r="M227" s="2"/>
      <c r="N227" s="2"/>
    </row>
    <row r="228" spans="1:14" ht="12.75">
      <c r="A228" s="88">
        <v>38932</v>
      </c>
      <c r="B228" s="2">
        <f t="shared" si="35"/>
        <v>215</v>
      </c>
      <c r="C228" s="2">
        <f t="shared" si="29"/>
        <v>135</v>
      </c>
      <c r="D228" s="85">
        <f t="shared" si="30"/>
        <v>17.119508625066576</v>
      </c>
      <c r="E228" s="85">
        <f t="shared" si="27"/>
        <v>20.880491374933424</v>
      </c>
      <c r="F228" s="85">
        <f t="shared" si="31"/>
        <v>0.2987917918309792</v>
      </c>
      <c r="G228" s="85">
        <f t="shared" si="31"/>
        <v>0.364433323926866</v>
      </c>
      <c r="H228" s="85">
        <f t="shared" si="32"/>
        <v>0.9343258857946147</v>
      </c>
      <c r="I228" s="85">
        <f t="shared" si="28"/>
        <v>0.9998819227024643</v>
      </c>
      <c r="J228" s="85">
        <f t="shared" si="33"/>
        <v>1.070163995137624</v>
      </c>
      <c r="K228" s="21">
        <v>5.584</v>
      </c>
      <c r="L228" s="4">
        <f t="shared" si="34"/>
        <v>5.975795748848492</v>
      </c>
      <c r="M228" s="2"/>
      <c r="N228" s="2"/>
    </row>
    <row r="229" spans="1:14" ht="12.75">
      <c r="A229" s="88">
        <v>38933</v>
      </c>
      <c r="B229" s="2">
        <f t="shared" si="35"/>
        <v>216</v>
      </c>
      <c r="C229" s="2">
        <f t="shared" si="29"/>
        <v>136</v>
      </c>
      <c r="D229" s="85">
        <f t="shared" si="30"/>
        <v>16.841200933456804</v>
      </c>
      <c r="E229" s="85">
        <f t="shared" si="27"/>
        <v>21.158799066543196</v>
      </c>
      <c r="F229" s="85">
        <f t="shared" si="31"/>
        <v>0.29393440627876366</v>
      </c>
      <c r="G229" s="85">
        <f t="shared" si="31"/>
        <v>0.36929070947908155</v>
      </c>
      <c r="H229" s="85">
        <f t="shared" si="32"/>
        <v>0.9325836014589477</v>
      </c>
      <c r="I229" s="85">
        <f t="shared" si="28"/>
        <v>0.9997954845090706</v>
      </c>
      <c r="J229" s="85">
        <f t="shared" si="33"/>
        <v>1.072070625030266</v>
      </c>
      <c r="K229" s="21">
        <v>5.584</v>
      </c>
      <c r="L229" s="4">
        <f t="shared" si="34"/>
        <v>5.986442370169005</v>
      </c>
      <c r="M229" s="2"/>
      <c r="N229" s="2"/>
    </row>
    <row r="230" spans="1:14" ht="12.75">
      <c r="A230" s="88">
        <v>38934</v>
      </c>
      <c r="B230" s="2">
        <f t="shared" si="35"/>
        <v>217</v>
      </c>
      <c r="C230" s="2">
        <f t="shared" si="29"/>
        <v>137</v>
      </c>
      <c r="D230" s="85">
        <f t="shared" si="30"/>
        <v>16.557905879702194</v>
      </c>
      <c r="E230" s="85">
        <f t="shared" si="27"/>
        <v>21.442094120297806</v>
      </c>
      <c r="F230" s="85">
        <f t="shared" si="31"/>
        <v>0.2889899748361314</v>
      </c>
      <c r="G230" s="85">
        <f t="shared" si="31"/>
        <v>0.37423514092171384</v>
      </c>
      <c r="H230" s="85">
        <f t="shared" si="32"/>
        <v>0.9307874965761538</v>
      </c>
      <c r="I230" s="85">
        <f t="shared" si="28"/>
        <v>0.9996832701283358</v>
      </c>
      <c r="J230" s="85">
        <f t="shared" si="33"/>
        <v>1.0740188000006565</v>
      </c>
      <c r="K230" s="21">
        <v>6.091</v>
      </c>
      <c r="L230" s="4">
        <f t="shared" si="34"/>
        <v>6.541848510803999</v>
      </c>
      <c r="M230" s="2"/>
      <c r="N230" s="2"/>
    </row>
    <row r="231" spans="1:14" ht="12.75">
      <c r="A231" s="88">
        <v>38935</v>
      </c>
      <c r="B231" s="2">
        <f t="shared" si="35"/>
        <v>218</v>
      </c>
      <c r="C231" s="2">
        <f t="shared" si="29"/>
        <v>138</v>
      </c>
      <c r="D231" s="85">
        <f t="shared" si="30"/>
        <v>16.269707358949656</v>
      </c>
      <c r="E231" s="85">
        <f t="shared" si="27"/>
        <v>21.730292641050344</v>
      </c>
      <c r="F231" s="85">
        <f t="shared" si="31"/>
        <v>0.2839599617496224</v>
      </c>
      <c r="G231" s="85">
        <f t="shared" si="31"/>
        <v>0.3792651540082228</v>
      </c>
      <c r="H231" s="85">
        <f t="shared" si="32"/>
        <v>0.9289369542333904</v>
      </c>
      <c r="I231" s="85">
        <f t="shared" si="28"/>
        <v>0.9995440356855448</v>
      </c>
      <c r="J231" s="85">
        <f t="shared" si="33"/>
        <v>1.0760084752042438</v>
      </c>
      <c r="K231" s="21">
        <v>6.345</v>
      </c>
      <c r="L231" s="4">
        <f t="shared" si="34"/>
        <v>6.8272737751709265</v>
      </c>
      <c r="M231" s="2"/>
      <c r="N231" s="2"/>
    </row>
    <row r="232" spans="1:14" ht="12.75">
      <c r="A232" s="88">
        <v>38936</v>
      </c>
      <c r="B232" s="2">
        <f t="shared" si="35"/>
        <v>219</v>
      </c>
      <c r="C232" s="2">
        <f t="shared" si="29"/>
        <v>139</v>
      </c>
      <c r="D232" s="85">
        <f t="shared" si="30"/>
        <v>15.976690718461462</v>
      </c>
      <c r="E232" s="85">
        <f t="shared" si="27"/>
        <v>22.023309281538538</v>
      </c>
      <c r="F232" s="85">
        <f t="shared" si="31"/>
        <v>0.2788458566099709</v>
      </c>
      <c r="G232" s="85">
        <f t="shared" si="31"/>
        <v>0.3843792591478743</v>
      </c>
      <c r="H232" s="85">
        <f t="shared" si="32"/>
        <v>0.9270313790001695</v>
      </c>
      <c r="I232" s="85">
        <f t="shared" si="28"/>
        <v>0.9993765463744391</v>
      </c>
      <c r="J232" s="85">
        <f t="shared" si="33"/>
        <v>1.078039610107153</v>
      </c>
      <c r="K232" s="21">
        <v>6.345</v>
      </c>
      <c r="L232" s="4">
        <f t="shared" si="34"/>
        <v>6.840161326129885</v>
      </c>
      <c r="M232" s="2"/>
      <c r="N232" s="2"/>
    </row>
    <row r="233" spans="1:14" ht="12.75">
      <c r="A233" s="88">
        <v>38937</v>
      </c>
      <c r="B233" s="2">
        <f t="shared" si="35"/>
        <v>220</v>
      </c>
      <c r="C233" s="2">
        <f t="shared" si="29"/>
        <v>140</v>
      </c>
      <c r="D233" s="85">
        <f t="shared" si="30"/>
        <v>15.678942732340376</v>
      </c>
      <c r="E233" s="85">
        <f t="shared" si="27"/>
        <v>22.321057267659626</v>
      </c>
      <c r="F233" s="85">
        <f t="shared" si="31"/>
        <v>0.2736491739109756</v>
      </c>
      <c r="G233" s="85">
        <f t="shared" si="31"/>
        <v>0.38957594184686967</v>
      </c>
      <c r="H233" s="85">
        <f t="shared" si="32"/>
        <v>0.9250701986886084</v>
      </c>
      <c r="I233" s="85">
        <f t="shared" si="28"/>
        <v>0.9991795784519062</v>
      </c>
      <c r="J233" s="85">
        <f t="shared" si="33"/>
        <v>1.0801121686422892</v>
      </c>
      <c r="K233" s="21">
        <v>6.091</v>
      </c>
      <c r="L233" s="4">
        <f t="shared" si="34"/>
        <v>6.578963219200184</v>
      </c>
      <c r="M233" s="2"/>
      <c r="N233" s="2"/>
    </row>
    <row r="234" spans="1:14" ht="12.75">
      <c r="A234" s="88">
        <v>38938</v>
      </c>
      <c r="B234" s="2">
        <f t="shared" si="35"/>
        <v>221</v>
      </c>
      <c r="C234" s="2">
        <f t="shared" si="29"/>
        <v>141</v>
      </c>
      <c r="D234" s="85">
        <f t="shared" si="30"/>
        <v>15.376551575832343</v>
      </c>
      <c r="E234" s="85">
        <f t="shared" si="27"/>
        <v>22.623448424167655</v>
      </c>
      <c r="F234" s="85">
        <f t="shared" si="31"/>
        <v>0.26837145260099693</v>
      </c>
      <c r="G234" s="85">
        <f t="shared" si="31"/>
        <v>0.3948536631568483</v>
      </c>
      <c r="H234" s="85">
        <f t="shared" si="32"/>
        <v>0.9230528660957436</v>
      </c>
      <c r="I234" s="85">
        <f t="shared" si="28"/>
        <v>0.9989519212307898</v>
      </c>
      <c r="J234" s="85">
        <f t="shared" si="33"/>
        <v>1.0822261193511895</v>
      </c>
      <c r="K234" s="21">
        <v>5.584</v>
      </c>
      <c r="L234" s="4">
        <f t="shared" si="34"/>
        <v>6.043150650457042</v>
      </c>
      <c r="M234" s="2"/>
      <c r="N234" s="2"/>
    </row>
    <row r="235" spans="1:14" ht="12.75">
      <c r="A235" s="88">
        <v>38939</v>
      </c>
      <c r="B235" s="2">
        <f t="shared" si="35"/>
        <v>222</v>
      </c>
      <c r="C235" s="2">
        <f t="shared" si="29"/>
        <v>142</v>
      </c>
      <c r="D235" s="85">
        <f t="shared" si="30"/>
        <v>15.06960679921429</v>
      </c>
      <c r="E235" s="85">
        <f t="shared" si="27"/>
        <v>22.93039320078571</v>
      </c>
      <c r="F235" s="85">
        <f t="shared" si="31"/>
        <v>0.26301425562721337</v>
      </c>
      <c r="G235" s="85">
        <f t="shared" si="31"/>
        <v>0.4002108601306318</v>
      </c>
      <c r="H235" s="85">
        <f t="shared" si="32"/>
        <v>0.9209788607248595</v>
      </c>
      <c r="I235" s="85">
        <f t="shared" si="28"/>
        <v>0.9986923790679327</v>
      </c>
      <c r="J235" s="85">
        <f t="shared" si="33"/>
        <v>1.0843814355108092</v>
      </c>
      <c r="K235" s="21">
        <v>5.33</v>
      </c>
      <c r="L235" s="4">
        <f t="shared" si="34"/>
        <v>5.779753051272613</v>
      </c>
      <c r="M235" s="2"/>
      <c r="N235" s="2"/>
    </row>
    <row r="236" spans="1:14" ht="12.75">
      <c r="A236" s="88">
        <v>38940</v>
      </c>
      <c r="B236" s="2">
        <f t="shared" si="35"/>
        <v>223</v>
      </c>
      <c r="C236" s="2">
        <f t="shared" si="29"/>
        <v>143</v>
      </c>
      <c r="D236" s="85">
        <f t="shared" si="30"/>
        <v>14.758199301274574</v>
      </c>
      <c r="E236" s="85">
        <f t="shared" si="27"/>
        <v>23.241800698725427</v>
      </c>
      <c r="F236" s="85">
        <f t="shared" si="31"/>
        <v>0.2575791694727679</v>
      </c>
      <c r="G236" s="85">
        <f t="shared" si="31"/>
        <v>0.4056459462850774</v>
      </c>
      <c r="H236" s="85">
        <f t="shared" si="32"/>
        <v>0.9188476904827917</v>
      </c>
      <c r="I236" s="85">
        <f t="shared" si="28"/>
        <v>0.9983997733445272</v>
      </c>
      <c r="J236" s="85">
        <f t="shared" si="33"/>
        <v>1.086578095244421</v>
      </c>
      <c r="K236" s="21">
        <v>5.838</v>
      </c>
      <c r="L236" s="4">
        <f t="shared" si="34"/>
        <v>6.343442920036931</v>
      </c>
      <c r="M236" s="2"/>
      <c r="N236" s="2"/>
    </row>
    <row r="237" spans="1:14" ht="12.75">
      <c r="A237" s="88">
        <v>38941</v>
      </c>
      <c r="B237" s="2">
        <f t="shared" si="35"/>
        <v>224</v>
      </c>
      <c r="C237" s="2">
        <f t="shared" si="29"/>
        <v>144</v>
      </c>
      <c r="D237" s="85">
        <f t="shared" si="30"/>
        <v>14.442421302394196</v>
      </c>
      <c r="E237" s="85">
        <f t="shared" si="27"/>
        <v>23.557578697605805</v>
      </c>
      <c r="F237" s="85">
        <f t="shared" si="31"/>
        <v>0.2520678036869463</v>
      </c>
      <c r="G237" s="85">
        <f t="shared" si="31"/>
        <v>0.41115731207089895</v>
      </c>
      <c r="H237" s="85">
        <f t="shared" si="32"/>
        <v>0.9166588933501811</v>
      </c>
      <c r="I237" s="85">
        <f t="shared" si="28"/>
        <v>0.9980729444358238</v>
      </c>
      <c r="J237" s="85">
        <f t="shared" si="33"/>
        <v>1.0888160816158046</v>
      </c>
      <c r="K237" s="21">
        <v>4.822</v>
      </c>
      <c r="L237" s="4">
        <f t="shared" si="34"/>
        <v>5.25027114555141</v>
      </c>
      <c r="M237" s="2"/>
      <c r="N237" s="2"/>
    </row>
    <row r="238" spans="1:14" ht="12.75">
      <c r="A238" s="88">
        <v>38942</v>
      </c>
      <c r="B238" s="2">
        <f t="shared" si="35"/>
        <v>225</v>
      </c>
      <c r="C238" s="2">
        <f t="shared" si="29"/>
        <v>145</v>
      </c>
      <c r="D238" s="85">
        <f t="shared" si="30"/>
        <v>14.122366317236649</v>
      </c>
      <c r="E238" s="85">
        <f t="shared" si="27"/>
        <v>23.877633682763353</v>
      </c>
      <c r="F238" s="85">
        <f t="shared" si="31"/>
        <v>0.24648179040852555</v>
      </c>
      <c r="G238" s="85">
        <f t="shared" si="31"/>
        <v>0.4167433253493197</v>
      </c>
      <c r="H238" s="85">
        <f t="shared" si="32"/>
        <v>0.9144120390216808</v>
      </c>
      <c r="I238" s="85">
        <f t="shared" si="28"/>
        <v>0.9977107536672262</v>
      </c>
      <c r="J238" s="85">
        <f t="shared" si="33"/>
        <v>1.0910953827058814</v>
      </c>
      <c r="K238" s="21">
        <v>5.076</v>
      </c>
      <c r="L238" s="4">
        <f t="shared" si="34"/>
        <v>5.538400162615053</v>
      </c>
      <c r="M238" s="2"/>
      <c r="N238" s="2"/>
    </row>
    <row r="239" spans="1:14" ht="12.75">
      <c r="A239" s="88">
        <v>38943</v>
      </c>
      <c r="B239" s="2">
        <f t="shared" si="35"/>
        <v>226</v>
      </c>
      <c r="C239" s="2">
        <f t="shared" si="29"/>
        <v>146</v>
      </c>
      <c r="D239" s="85">
        <f t="shared" si="30"/>
        <v>13.798129127054386</v>
      </c>
      <c r="E239" s="85">
        <f t="shared" si="27"/>
        <v>24.201870872945612</v>
      </c>
      <c r="F239" s="85">
        <f t="shared" si="31"/>
        <v>0.24082278388243003</v>
      </c>
      <c r="G239" s="85">
        <f t="shared" si="31"/>
        <v>0.42240233187541515</v>
      </c>
      <c r="H239" s="85">
        <f t="shared" si="32"/>
        <v>0.9121067305131438</v>
      </c>
      <c r="I239" s="85">
        <f t="shared" si="28"/>
        <v>0.9973120852537858</v>
      </c>
      <c r="J239" s="85">
        <f t="shared" si="33"/>
        <v>1.0934159916709596</v>
      </c>
      <c r="K239" s="21">
        <v>5.076</v>
      </c>
      <c r="L239" s="4">
        <f t="shared" si="34"/>
        <v>5.550179573721791</v>
      </c>
      <c r="M239" s="2"/>
      <c r="N239" s="2"/>
    </row>
    <row r="240" spans="1:14" ht="12.75">
      <c r="A240" s="88">
        <v>38944</v>
      </c>
      <c r="B240" s="2">
        <f t="shared" si="35"/>
        <v>227</v>
      </c>
      <c r="C240" s="2">
        <f t="shared" si="29"/>
        <v>147</v>
      </c>
      <c r="D240" s="85">
        <f t="shared" si="30"/>
        <v>13.469805751620239</v>
      </c>
      <c r="E240" s="85">
        <f t="shared" si="27"/>
        <v>24.53019424837976</v>
      </c>
      <c r="F240" s="85">
        <f t="shared" si="31"/>
        <v>0.23509245996984268</v>
      </c>
      <c r="G240" s="85">
        <f t="shared" si="31"/>
        <v>0.4281326557880025</v>
      </c>
      <c r="H240" s="85">
        <f t="shared" si="32"/>
        <v>0.9097426057328593</v>
      </c>
      <c r="I240" s="85">
        <f t="shared" si="28"/>
        <v>0.9968758482200972</v>
      </c>
      <c r="J240" s="85">
        <f t="shared" si="33"/>
        <v>1.0957779067817168</v>
      </c>
      <c r="K240" s="21">
        <v>5.076</v>
      </c>
      <c r="L240" s="4">
        <f t="shared" si="34"/>
        <v>5.562168654823994</v>
      </c>
      <c r="M240" s="2"/>
      <c r="N240" s="2"/>
    </row>
    <row r="241" spans="1:14" ht="12.75">
      <c r="A241" s="88">
        <v>38945</v>
      </c>
      <c r="B241" s="2">
        <f t="shared" si="35"/>
        <v>228</v>
      </c>
      <c r="C241" s="2">
        <f t="shared" si="29"/>
        <v>148</v>
      </c>
      <c r="D241" s="85">
        <f t="shared" si="30"/>
        <v>13.137493420792147</v>
      </c>
      <c r="E241" s="85">
        <f t="shared" si="27"/>
        <v>24.862506579207853</v>
      </c>
      <c r="F241" s="85">
        <f t="shared" si="31"/>
        <v>0.22929251565191583</v>
      </c>
      <c r="G241" s="85">
        <f t="shared" si="31"/>
        <v>0.4339326001059294</v>
      </c>
      <c r="H241" s="85">
        <f t="shared" si="32"/>
        <v>0.9073193390139435</v>
      </c>
      <c r="I241" s="85">
        <f t="shared" si="28"/>
        <v>0.9964009782975916</v>
      </c>
      <c r="J241" s="85">
        <f t="shared" si="33"/>
        <v>1.0981811314420569</v>
      </c>
      <c r="K241" s="21">
        <v>5.838</v>
      </c>
      <c r="L241" s="4">
        <f t="shared" si="34"/>
        <v>6.411181445358728</v>
      </c>
      <c r="M241" s="2"/>
      <c r="N241" s="2"/>
    </row>
    <row r="242" spans="1:14" ht="12.75">
      <c r="A242" s="88">
        <v>38946</v>
      </c>
      <c r="B242" s="2">
        <f t="shared" si="35"/>
        <v>229</v>
      </c>
      <c r="C242" s="2">
        <f t="shared" si="29"/>
        <v>149</v>
      </c>
      <c r="D242" s="85">
        <f t="shared" si="30"/>
        <v>12.801290545719388</v>
      </c>
      <c r="E242" s="85">
        <f t="shared" si="27"/>
        <v>25.19870945428061</v>
      </c>
      <c r="F242" s="85">
        <f t="shared" si="31"/>
        <v>0.223424668527225</v>
      </c>
      <c r="G242" s="85">
        <f t="shared" si="31"/>
        <v>0.4398004472306202</v>
      </c>
      <c r="H242" s="85">
        <f t="shared" si="32"/>
        <v>0.9048366426050443</v>
      </c>
      <c r="I242" s="85">
        <f t="shared" si="28"/>
        <v>0.9958864397962268</v>
      </c>
      <c r="J242" s="85">
        <f t="shared" si="33"/>
        <v>1.100625674186943</v>
      </c>
      <c r="K242" s="21">
        <v>5.838</v>
      </c>
      <c r="L242" s="4">
        <f t="shared" si="34"/>
        <v>6.425452685903373</v>
      </c>
      <c r="M242" s="2"/>
      <c r="N242" s="2"/>
    </row>
    <row r="243" spans="1:14" ht="12.75">
      <c r="A243" s="88">
        <v>38947</v>
      </c>
      <c r="B243" s="2">
        <f t="shared" si="35"/>
        <v>230</v>
      </c>
      <c r="C243" s="2">
        <f t="shared" si="29"/>
        <v>150</v>
      </c>
      <c r="D243" s="85">
        <f t="shared" si="30"/>
        <v>12.46129668969904</v>
      </c>
      <c r="E243" s="85">
        <f t="shared" si="27"/>
        <v>25.53870331030096</v>
      </c>
      <c r="F243" s="85">
        <f t="shared" si="31"/>
        <v>0.2174906563031184</v>
      </c>
      <c r="G243" s="85">
        <f t="shared" si="31"/>
        <v>0.44573445945472684</v>
      </c>
      <c r="H243" s="85">
        <f t="shared" si="32"/>
        <v>0.902294268116571</v>
      </c>
      <c r="I243" s="85">
        <f t="shared" si="28"/>
        <v>0.9953312274475825</v>
      </c>
      <c r="J243" s="85">
        <f t="shared" si="33"/>
        <v>1.103111548658305</v>
      </c>
      <c r="K243" s="21">
        <v>5.33</v>
      </c>
      <c r="L243" s="4">
        <f t="shared" si="34"/>
        <v>5.8795845543487655</v>
      </c>
      <c r="M243" s="2"/>
      <c r="N243" s="2"/>
    </row>
    <row r="244" spans="1:14" ht="12.75">
      <c r="A244" s="88">
        <v>38948</v>
      </c>
      <c r="B244" s="2">
        <f t="shared" si="35"/>
        <v>231</v>
      </c>
      <c r="C244" s="2">
        <f t="shared" si="29"/>
        <v>151</v>
      </c>
      <c r="D244" s="85">
        <f t="shared" si="30"/>
        <v>12.117612538691334</v>
      </c>
      <c r="E244" s="85">
        <f t="shared" si="27"/>
        <v>25.882387461308667</v>
      </c>
      <c r="F244" s="85">
        <f t="shared" si="31"/>
        <v>0.21149223628111255</v>
      </c>
      <c r="G244" s="85">
        <f t="shared" si="31"/>
        <v>0.4517328794767327</v>
      </c>
      <c r="H244" s="85">
        <f t="shared" si="32"/>
        <v>0.899692007919728</v>
      </c>
      <c r="I244" s="85">
        <f t="shared" si="28"/>
        <v>0.9947343682163803</v>
      </c>
      <c r="J244" s="85">
        <f t="shared" si="33"/>
        <v>1.1056387735580864</v>
      </c>
      <c r="K244" s="21">
        <v>5.33</v>
      </c>
      <c r="L244" s="4">
        <f t="shared" si="34"/>
        <v>5.893054663064601</v>
      </c>
      <c r="M244" s="2"/>
      <c r="N244" s="2"/>
    </row>
    <row r="245" spans="1:14" ht="12.75">
      <c r="A245" s="88">
        <v>38949</v>
      </c>
      <c r="B245" s="2">
        <f t="shared" si="35"/>
        <v>232</v>
      </c>
      <c r="C245" s="2">
        <f t="shared" si="29"/>
        <v>152</v>
      </c>
      <c r="D245" s="85">
        <f t="shared" si="30"/>
        <v>11.770339871502387</v>
      </c>
      <c r="E245" s="85">
        <f t="shared" si="27"/>
        <v>26.229660128497613</v>
      </c>
      <c r="F245" s="85">
        <f t="shared" si="31"/>
        <v>0.20543118483648293</v>
      </c>
      <c r="G245" s="85">
        <f t="shared" si="31"/>
        <v>0.4577939309213623</v>
      </c>
      <c r="H245" s="85">
        <f t="shared" si="32"/>
        <v>0.8970296964956926</v>
      </c>
      <c r="I245" s="85">
        <f t="shared" si="28"/>
        <v>0.9940949230774698</v>
      </c>
      <c r="J245" s="85">
        <f t="shared" si="33"/>
        <v>1.1082073725774844</v>
      </c>
      <c r="K245" s="21">
        <v>4.315</v>
      </c>
      <c r="L245" s="4">
        <f t="shared" si="34"/>
        <v>4.781914812671846</v>
      </c>
      <c r="M245" s="2"/>
      <c r="N245" s="2"/>
    </row>
    <row r="246" spans="1:14" ht="12.75">
      <c r="A246" s="88">
        <v>38950</v>
      </c>
      <c r="B246" s="2">
        <f t="shared" si="35"/>
        <v>233</v>
      </c>
      <c r="C246" s="2">
        <f t="shared" si="29"/>
        <v>153</v>
      </c>
      <c r="D246" s="85">
        <f t="shared" si="30"/>
        <v>11.419581529643358</v>
      </c>
      <c r="E246" s="85">
        <f t="shared" si="27"/>
        <v>26.58041847035664</v>
      </c>
      <c r="F246" s="85">
        <f t="shared" si="31"/>
        <v>0.19930929689220703</v>
      </c>
      <c r="G246" s="85">
        <f t="shared" si="31"/>
        <v>0.46391581886563815</v>
      </c>
      <c r="H246" s="85">
        <f t="shared" si="32"/>
        <v>0.8943072117323592</v>
      </c>
      <c r="I246" s="85">
        <f t="shared" si="28"/>
        <v>0.9934119887553533</v>
      </c>
      <c r="J246" s="85">
        <f t="shared" si="33"/>
        <v>1.110817374301409</v>
      </c>
      <c r="K246" s="21">
        <v>5.076</v>
      </c>
      <c r="L246" s="4">
        <f t="shared" si="34"/>
        <v>5.638508991953951</v>
      </c>
      <c r="M246" s="2"/>
      <c r="N246" s="2"/>
    </row>
    <row r="247" spans="1:14" ht="12.75">
      <c r="A247" s="88">
        <v>38951</v>
      </c>
      <c r="B247" s="2">
        <f t="shared" si="35"/>
        <v>234</v>
      </c>
      <c r="C247" s="2">
        <f t="shared" si="29"/>
        <v>154</v>
      </c>
      <c r="D247" s="85">
        <f t="shared" si="30"/>
        <v>11.065441386875017</v>
      </c>
      <c r="E247" s="85">
        <f t="shared" si="27"/>
        <v>26.934558613124985</v>
      </c>
      <c r="F247" s="85">
        <f t="shared" si="31"/>
        <v>0.1931283853874167</v>
      </c>
      <c r="G247" s="85">
        <f t="shared" si="31"/>
        <v>0.47009673037042854</v>
      </c>
      <c r="H247" s="85">
        <f t="shared" si="32"/>
        <v>0.8915244761661533</v>
      </c>
      <c r="I247" s="85">
        <f t="shared" si="28"/>
        <v>0.9926846994233475</v>
      </c>
      <c r="J247" s="85">
        <f t="shared" si="33"/>
        <v>1.1134688120871523</v>
      </c>
      <c r="K247" s="21">
        <v>5.33</v>
      </c>
      <c r="L247" s="4">
        <f t="shared" si="34"/>
        <v>5.9347887684245215</v>
      </c>
      <c r="M247" s="2"/>
      <c r="N247" s="2"/>
    </row>
    <row r="248" spans="1:14" ht="12.75">
      <c r="A248" s="88">
        <v>38952</v>
      </c>
      <c r="B248" s="2">
        <f t="shared" si="35"/>
        <v>235</v>
      </c>
      <c r="C248" s="2">
        <f t="shared" si="29"/>
        <v>155</v>
      </c>
      <c r="D248" s="85">
        <f t="shared" si="30"/>
        <v>10.708024318446375</v>
      </c>
      <c r="E248" s="85">
        <f t="shared" si="27"/>
        <v>27.291975681553623</v>
      </c>
      <c r="F248" s="85">
        <f t="shared" si="31"/>
        <v>0.18689028074051103</v>
      </c>
      <c r="G248" s="85">
        <f t="shared" si="31"/>
        <v>0.4763348350173342</v>
      </c>
      <c r="H248" s="85">
        <f t="shared" si="32"/>
        <v>0.888681458166502</v>
      </c>
      <c r="I248" s="85">
        <f t="shared" si="28"/>
        <v>0.9919122283595323</v>
      </c>
      <c r="J248" s="85">
        <f t="shared" si="33"/>
        <v>1.116161723916253</v>
      </c>
      <c r="K248" s="21">
        <v>5.33</v>
      </c>
      <c r="L248" s="4">
        <f t="shared" si="34"/>
        <v>5.949141988473628</v>
      </c>
      <c r="M248" s="2"/>
      <c r="N248" s="2"/>
    </row>
    <row r="249" spans="1:14" ht="12.75">
      <c r="A249" s="88">
        <v>38953</v>
      </c>
      <c r="B249" s="2">
        <f t="shared" si="35"/>
        <v>236</v>
      </c>
      <c r="C249" s="2">
        <f t="shared" si="29"/>
        <v>156</v>
      </c>
      <c r="D249" s="85">
        <f t="shared" si="30"/>
        <v>10.347436170036968</v>
      </c>
      <c r="E249" s="85">
        <f t="shared" si="27"/>
        <v>27.652563829963032</v>
      </c>
      <c r="F249" s="85">
        <f t="shared" si="31"/>
        <v>0.18059683030709692</v>
      </c>
      <c r="G249" s="85">
        <f t="shared" si="31"/>
        <v>0.4826282854507483</v>
      </c>
      <c r="H249" s="85">
        <f t="shared" si="32"/>
        <v>0.8857781730606489</v>
      </c>
      <c r="I249" s="85">
        <f t="shared" si="28"/>
        <v>0.9910937895566756</v>
      </c>
      <c r="J249" s="85">
        <f t="shared" si="33"/>
        <v>1.1188961522184808</v>
      </c>
      <c r="K249" s="21">
        <v>5.076</v>
      </c>
      <c r="L249" s="4">
        <f t="shared" si="34"/>
        <v>5.6795168686610085</v>
      </c>
      <c r="M249" s="2"/>
      <c r="N249" s="2"/>
    </row>
    <row r="250" spans="1:14" ht="12.75">
      <c r="A250" s="88">
        <v>38954</v>
      </c>
      <c r="B250" s="2">
        <f t="shared" si="35"/>
        <v>237</v>
      </c>
      <c r="C250" s="2">
        <f t="shared" si="29"/>
        <v>157</v>
      </c>
      <c r="D250" s="85">
        <f t="shared" si="30"/>
        <v>9.983783726411662</v>
      </c>
      <c r="E250" s="85">
        <f t="shared" si="27"/>
        <v>28.016216273588338</v>
      </c>
      <c r="F250" s="85">
        <f t="shared" si="31"/>
        <v>0.17424989783291225</v>
      </c>
      <c r="G250" s="85">
        <f t="shared" si="31"/>
        <v>0.488975217924933</v>
      </c>
      <c r="H250" s="85">
        <f t="shared" si="32"/>
        <v>0.882814684196596</v>
      </c>
      <c r="I250" s="85">
        <f t="shared" si="28"/>
        <v>0.9902286392833817</v>
      </c>
      <c r="J250" s="85">
        <f t="shared" si="33"/>
        <v>1.1216721436668642</v>
      </c>
      <c r="K250" s="21">
        <v>5.584</v>
      </c>
      <c r="L250" s="4">
        <f t="shared" si="34"/>
        <v>6.2634172502357695</v>
      </c>
      <c r="M250" s="2"/>
      <c r="N250" s="2"/>
    </row>
    <row r="251" spans="1:14" ht="12.75">
      <c r="A251" s="88">
        <v>38955</v>
      </c>
      <c r="B251" s="2">
        <f t="shared" si="35"/>
        <v>238</v>
      </c>
      <c r="C251" s="2">
        <f t="shared" si="29"/>
        <v>158</v>
      </c>
      <c r="D251" s="85">
        <f t="shared" si="30"/>
        <v>9.61717467979726</v>
      </c>
      <c r="E251" s="85">
        <f t="shared" si="27"/>
        <v>28.38282532020274</v>
      </c>
      <c r="F251" s="85">
        <f t="shared" si="31"/>
        <v>0.1678513629018936</v>
      </c>
      <c r="G251" s="85">
        <f t="shared" si="31"/>
        <v>0.4953737528559517</v>
      </c>
      <c r="H251" s="85">
        <f t="shared" si="32"/>
        <v>0.8797911039420672</v>
      </c>
      <c r="I251" s="85">
        <f t="shared" si="28"/>
        <v>0.9893160775937722</v>
      </c>
      <c r="J251" s="85">
        <f t="shared" si="33"/>
        <v>1.1244897489426275</v>
      </c>
      <c r="K251" s="21">
        <v>5.33</v>
      </c>
      <c r="L251" s="4">
        <f t="shared" si="34"/>
        <v>5.993530361864205</v>
      </c>
      <c r="M251" s="2"/>
      <c r="N251" s="2"/>
    </row>
    <row r="252" spans="1:14" ht="12.75">
      <c r="A252" s="88">
        <v>38956</v>
      </c>
      <c r="B252" s="2">
        <f t="shared" si="35"/>
        <v>239</v>
      </c>
      <c r="C252" s="2">
        <f t="shared" si="29"/>
        <v>159</v>
      </c>
      <c r="D252" s="85">
        <f t="shared" si="30"/>
        <v>9.247717597990606</v>
      </c>
      <c r="E252" s="85">
        <f t="shared" si="27"/>
        <v>28.752282402009392</v>
      </c>
      <c r="F252" s="85">
        <f t="shared" si="31"/>
        <v>0.16140312037955742</v>
      </c>
      <c r="G252" s="85">
        <f t="shared" si="31"/>
        <v>0.5018219953782878</v>
      </c>
      <c r="H252" s="85">
        <f t="shared" si="32"/>
        <v>0.8767075946174951</v>
      </c>
      <c r="I252" s="85">
        <f t="shared" si="28"/>
        <v>0.9883554497830764</v>
      </c>
      <c r="J252" s="85">
        <f t="shared" si="33"/>
        <v>1.1273490224688802</v>
      </c>
      <c r="K252" s="21">
        <v>5.584</v>
      </c>
      <c r="L252" s="4">
        <f t="shared" si="34"/>
        <v>6.295116941466227</v>
      </c>
      <c r="M252" s="2"/>
      <c r="N252" s="2"/>
    </row>
    <row r="253" spans="1:14" ht="12.75">
      <c r="A253" s="88">
        <v>38957</v>
      </c>
      <c r="B253" s="2">
        <f t="shared" si="35"/>
        <v>240</v>
      </c>
      <c r="C253" s="2">
        <f t="shared" si="29"/>
        <v>160</v>
      </c>
      <c r="D253" s="85">
        <f t="shared" si="30"/>
        <v>8.875521892207162</v>
      </c>
      <c r="E253" s="85">
        <f t="shared" si="27"/>
        <v>29.12447810779284</v>
      </c>
      <c r="F253" s="85">
        <f t="shared" si="31"/>
        <v>0.15490707985185223</v>
      </c>
      <c r="G253" s="85">
        <f t="shared" si="31"/>
        <v>0.508318035905993</v>
      </c>
      <c r="H253" s="85">
        <f t="shared" si="32"/>
        <v>0.8735643693611548</v>
      </c>
      <c r="I253" s="85">
        <f t="shared" si="28"/>
        <v>0.9873461477865831</v>
      </c>
      <c r="J253" s="85">
        <f t="shared" si="33"/>
        <v>1.1302500221118656</v>
      </c>
      <c r="K253" s="21">
        <v>5.584</v>
      </c>
      <c r="L253" s="4">
        <f t="shared" si="34"/>
        <v>6.311316123472658</v>
      </c>
      <c r="M253" s="2"/>
      <c r="N253" s="2"/>
    </row>
    <row r="254" spans="1:14" ht="12.75">
      <c r="A254" s="88">
        <v>38958</v>
      </c>
      <c r="B254" s="2">
        <f t="shared" si="35"/>
        <v>241</v>
      </c>
      <c r="C254" s="2">
        <f t="shared" si="29"/>
        <v>161</v>
      </c>
      <c r="D254" s="85">
        <f t="shared" si="30"/>
        <v>8.50069778467991</v>
      </c>
      <c r="E254" s="85">
        <f t="shared" si="27"/>
        <v>29.499302215320093</v>
      </c>
      <c r="F254" s="85">
        <f t="shared" si="31"/>
        <v>0.14836516505965242</v>
      </c>
      <c r="G254" s="85">
        <f t="shared" si="31"/>
        <v>0.5148599506981929</v>
      </c>
      <c r="H254" s="85">
        <f t="shared" si="32"/>
        <v>0.8703616929246865</v>
      </c>
      <c r="I254" s="85">
        <f t="shared" si="28"/>
        <v>0.9862876115194856</v>
      </c>
      <c r="J254" s="85">
        <f t="shared" si="33"/>
        <v>1.1331928088485281</v>
      </c>
      <c r="K254" s="21">
        <v>4.822</v>
      </c>
      <c r="L254" s="4">
        <f t="shared" si="34"/>
        <v>5.464255724267603</v>
      </c>
      <c r="M254" s="2"/>
      <c r="N254" s="2"/>
    </row>
    <row r="255" spans="1:14" ht="12.75">
      <c r="A255" s="88">
        <v>38959</v>
      </c>
      <c r="B255" s="2">
        <f t="shared" si="35"/>
        <v>242</v>
      </c>
      <c r="C255" s="2">
        <f t="shared" si="29"/>
        <v>162</v>
      </c>
      <c r="D255" s="85">
        <f t="shared" si="30"/>
        <v>8.123356276018171</v>
      </c>
      <c r="E255" s="85">
        <f t="shared" si="27"/>
        <v>29.87664372398183</v>
      </c>
      <c r="F255" s="85">
        <f t="shared" si="31"/>
        <v>0.14177931332906238</v>
      </c>
      <c r="G255" s="85">
        <f t="shared" si="31"/>
        <v>0.5214458024287828</v>
      </c>
      <c r="H255" s="85">
        <f t="shared" si="32"/>
        <v>0.8670998823973847</v>
      </c>
      <c r="I255" s="85">
        <f t="shared" si="28"/>
        <v>0.9851793301552443</v>
      </c>
      <c r="J255" s="85">
        <f t="shared" si="33"/>
        <v>1.1361774463991274</v>
      </c>
      <c r="K255" s="21">
        <v>3.553</v>
      </c>
      <c r="L255" s="4">
        <f t="shared" si="34"/>
        <v>4.0368384670561</v>
      </c>
      <c r="M255" s="2"/>
      <c r="N255" s="2"/>
    </row>
    <row r="256" spans="1:14" ht="12.75">
      <c r="A256" s="88">
        <v>38960</v>
      </c>
      <c r="B256" s="2">
        <f t="shared" si="35"/>
        <v>243</v>
      </c>
      <c r="C256" s="2">
        <f t="shared" si="29"/>
        <v>163</v>
      </c>
      <c r="D256" s="85">
        <f t="shared" si="30"/>
        <v>7.7436091123357444</v>
      </c>
      <c r="E256" s="85">
        <f t="shared" si="27"/>
        <v>30.256390887664256</v>
      </c>
      <c r="F256" s="85">
        <f t="shared" si="31"/>
        <v>0.1351514749976942</v>
      </c>
      <c r="G256" s="85">
        <f t="shared" si="31"/>
        <v>0.5280736407601511</v>
      </c>
      <c r="H256" s="85">
        <f t="shared" si="32"/>
        <v>0.8637793078577525</v>
      </c>
      <c r="I256" s="85">
        <f t="shared" si="28"/>
        <v>0.9840208433401797</v>
      </c>
      <c r="J256" s="85">
        <f t="shared" si="33"/>
        <v>1.1392040008235862</v>
      </c>
      <c r="K256" s="21">
        <v>4.569</v>
      </c>
      <c r="L256" s="4">
        <f t="shared" si="34"/>
        <v>5.205023079762965</v>
      </c>
      <c r="M256" s="2"/>
      <c r="N256" s="2"/>
    </row>
    <row r="257" spans="1:14" ht="12.75">
      <c r="A257" s="88">
        <v>38961</v>
      </c>
      <c r="B257" s="2">
        <f t="shared" si="35"/>
        <v>244</v>
      </c>
      <c r="C257" s="2">
        <f t="shared" si="29"/>
        <v>164</v>
      </c>
      <c r="D257" s="85">
        <f t="shared" si="30"/>
        <v>7.361568752158347</v>
      </c>
      <c r="E257" s="85">
        <f t="shared" si="27"/>
        <v>30.638431247841652</v>
      </c>
      <c r="F257" s="85">
        <f t="shared" si="31"/>
        <v>0.12848361283709359</v>
      </c>
      <c r="G257" s="85">
        <f t="shared" si="31"/>
        <v>0.5347415029207516</v>
      </c>
      <c r="H257" s="85">
        <f t="shared" si="32"/>
        <v>0.8604003929509682</v>
      </c>
      <c r="I257" s="85">
        <f t="shared" si="28"/>
        <v>0.9828117423421152</v>
      </c>
      <c r="J257" s="85">
        <f t="shared" si="33"/>
        <v>1.1422725400802123</v>
      </c>
      <c r="K257" s="21">
        <v>4.822</v>
      </c>
      <c r="L257" s="4">
        <f t="shared" si="34"/>
        <v>5.5080381882667835</v>
      </c>
      <c r="M257" s="2"/>
      <c r="N257" s="2"/>
    </row>
    <row r="258" spans="1:14" ht="12.75">
      <c r="A258" s="88">
        <v>38962</v>
      </c>
      <c r="B258" s="2">
        <f t="shared" si="35"/>
        <v>245</v>
      </c>
      <c r="C258" s="2">
        <f t="shared" si="29"/>
        <v>165</v>
      </c>
      <c r="D258" s="85">
        <f t="shared" si="30"/>
        <v>6.977348333120173</v>
      </c>
      <c r="E258" s="85">
        <f t="shared" si="27"/>
        <v>31.022651666879828</v>
      </c>
      <c r="F258" s="85">
        <f t="shared" si="31"/>
        <v>0.12177770147148514</v>
      </c>
      <c r="G258" s="85">
        <f t="shared" si="31"/>
        <v>0.5414474142863601</v>
      </c>
      <c r="H258" s="85">
        <f t="shared" si="32"/>
        <v>0.8569636153910455</v>
      </c>
      <c r="I258" s="85">
        <f t="shared" si="28"/>
        <v>0.981551671130992</v>
      </c>
      <c r="J258" s="85">
        <f t="shared" si="33"/>
        <v>1.1453831335454014</v>
      </c>
      <c r="K258" s="21">
        <v>5.33</v>
      </c>
      <c r="L258" s="4">
        <f t="shared" si="34"/>
        <v>6.10489210179699</v>
      </c>
      <c r="M258" s="2"/>
      <c r="N258" s="2"/>
    </row>
    <row r="259" spans="1:14" ht="12.75">
      <c r="A259" s="88">
        <v>38963</v>
      </c>
      <c r="B259" s="2">
        <f t="shared" si="35"/>
        <v>246</v>
      </c>
      <c r="C259" s="2">
        <f t="shared" si="29"/>
        <v>166</v>
      </c>
      <c r="D259" s="85">
        <f t="shared" si="30"/>
        <v>6.591061638459177</v>
      </c>
      <c r="E259" s="85">
        <f t="shared" si="27"/>
        <v>31.408938361540823</v>
      </c>
      <c r="F259" s="85">
        <f t="shared" si="31"/>
        <v>0.11503572679300475</v>
      </c>
      <c r="G259" s="85">
        <f t="shared" si="31"/>
        <v>0.5481893889648405</v>
      </c>
      <c r="H259" s="85">
        <f t="shared" si="32"/>
        <v>0.8534695073866142</v>
      </c>
      <c r="I259" s="85">
        <f t="shared" si="28"/>
        <v>0.9802403273894895</v>
      </c>
      <c r="J259" s="85">
        <f t="shared" si="33"/>
        <v>1.148535851492875</v>
      </c>
      <c r="K259" s="21">
        <v>5.33</v>
      </c>
      <c r="L259" s="4">
        <f t="shared" si="34"/>
        <v>6.121696088457024</v>
      </c>
      <c r="M259" s="2"/>
      <c r="N259" s="2"/>
    </row>
    <row r="260" spans="1:14" ht="12.75">
      <c r="A260" s="88">
        <v>38964</v>
      </c>
      <c r="B260" s="2">
        <f t="shared" si="35"/>
        <v>247</v>
      </c>
      <c r="C260" s="2">
        <f t="shared" si="29"/>
        <v>167</v>
      </c>
      <c r="D260" s="85">
        <f t="shared" si="30"/>
        <v>6.202823063321233</v>
      </c>
      <c r="E260" s="85">
        <f t="shared" si="27"/>
        <v>31.797176936678767</v>
      </c>
      <c r="F260" s="85">
        <f t="shared" si="31"/>
        <v>0.10825968537359623</v>
      </c>
      <c r="G260" s="85">
        <f t="shared" si="31"/>
        <v>0.554965430384249</v>
      </c>
      <c r="H260" s="85">
        <f t="shared" si="32"/>
        <v>0.8499186559893982</v>
      </c>
      <c r="I260" s="85">
        <f t="shared" si="28"/>
        <v>0.9788774634518118</v>
      </c>
      <c r="J260" s="85">
        <f t="shared" si="33"/>
        <v>1.1517307645309791</v>
      </c>
      <c r="K260" s="21">
        <v>5.076</v>
      </c>
      <c r="L260" s="4">
        <f t="shared" si="34"/>
        <v>5.846185360759249</v>
      </c>
      <c r="M260" s="2"/>
      <c r="N260" s="2"/>
    </row>
    <row r="261" spans="1:14" ht="12.75">
      <c r="A261" s="88">
        <v>38965</v>
      </c>
      <c r="B261" s="2">
        <f t="shared" si="35"/>
        <v>248</v>
      </c>
      <c r="C261" s="2">
        <f t="shared" si="29"/>
        <v>168</v>
      </c>
      <c r="D261" s="85">
        <f t="shared" si="30"/>
        <v>5.812747580883194</v>
      </c>
      <c r="E261" s="85">
        <f t="shared" si="27"/>
        <v>32.1872524191168</v>
      </c>
      <c r="F261" s="85">
        <f t="shared" si="31"/>
        <v>0.10145158387374713</v>
      </c>
      <c r="G261" s="85">
        <f t="shared" si="31"/>
        <v>0.5617735318840981</v>
      </c>
      <c r="H261" s="85">
        <f t="shared" si="32"/>
        <v>0.8463117033646165</v>
      </c>
      <c r="I261" s="85">
        <f t="shared" si="28"/>
        <v>0.9774628871689082</v>
      </c>
      <c r="J261" s="85">
        <f t="shared" si="33"/>
        <v>1.1549679429965154</v>
      </c>
      <c r="K261" s="21">
        <v>4.822</v>
      </c>
      <c r="L261" s="4">
        <f t="shared" si="34"/>
        <v>5.569255421129197</v>
      </c>
      <c r="M261" s="2"/>
      <c r="N261" s="2"/>
    </row>
    <row r="262" spans="1:14" ht="12.75">
      <c r="A262" s="88">
        <v>38966</v>
      </c>
      <c r="B262" s="2">
        <f t="shared" si="35"/>
        <v>249</v>
      </c>
      <c r="C262" s="2">
        <f t="shared" si="29"/>
        <v>169</v>
      </c>
      <c r="D262" s="85">
        <f t="shared" si="30"/>
        <v>5.420950708304578</v>
      </c>
      <c r="E262" s="85">
        <f t="shared" si="27"/>
        <v>32.57904929169542</v>
      </c>
      <c r="F262" s="85">
        <f t="shared" si="31"/>
        <v>0.0946134384482336</v>
      </c>
      <c r="G262" s="85">
        <f t="shared" si="31"/>
        <v>0.5686116773096116</v>
      </c>
      <c r="H262" s="85">
        <f t="shared" si="32"/>
        <v>0.842649346982687</v>
      </c>
      <c r="I262" s="85">
        <f t="shared" si="28"/>
        <v>0.9759964626985388</v>
      </c>
      <c r="J262" s="85">
        <f t="shared" si="33"/>
        <v>1.158247456303543</v>
      </c>
      <c r="K262" s="21">
        <v>5.33</v>
      </c>
      <c r="L262" s="4">
        <f t="shared" si="34"/>
        <v>6.173458942097884</v>
      </c>
      <c r="M262" s="2"/>
      <c r="N262" s="2"/>
    </row>
    <row r="263" spans="1:14" ht="12.75">
      <c r="A263" s="88">
        <v>38967</v>
      </c>
      <c r="B263" s="2">
        <f t="shared" si="35"/>
        <v>250</v>
      </c>
      <c r="C263" s="2">
        <f t="shared" si="29"/>
        <v>170</v>
      </c>
      <c r="D263" s="85">
        <f t="shared" si="30"/>
        <v>5.027548472518264</v>
      </c>
      <c r="E263" s="85">
        <f t="shared" si="27"/>
        <v>32.97245152748174</v>
      </c>
      <c r="F263" s="85">
        <f t="shared" si="31"/>
        <v>0.08774727414905535</v>
      </c>
      <c r="G263" s="85">
        <f t="shared" si="31"/>
        <v>0.5754778416087899</v>
      </c>
      <c r="H263" s="85">
        <f t="shared" si="32"/>
        <v>0.8389323397317677</v>
      </c>
      <c r="I263" s="85">
        <f t="shared" si="28"/>
        <v>0.9744781112187225</v>
      </c>
      <c r="J263" s="85">
        <f t="shared" si="33"/>
        <v>1.1615693722455531</v>
      </c>
      <c r="K263" s="21">
        <v>5.076</v>
      </c>
      <c r="L263" s="4">
        <f t="shared" si="34"/>
        <v>5.896126133518427</v>
      </c>
      <c r="M263" s="2"/>
      <c r="N263" s="2"/>
    </row>
    <row r="264" spans="1:14" ht="12.75">
      <c r="A264" s="88">
        <v>38968</v>
      </c>
      <c r="B264" s="2">
        <f t="shared" si="35"/>
        <v>251</v>
      </c>
      <c r="C264" s="2">
        <f t="shared" si="29"/>
        <v>171</v>
      </c>
      <c r="D264" s="85">
        <f t="shared" si="30"/>
        <v>4.632657375870295</v>
      </c>
      <c r="E264" s="85">
        <f t="shared" si="27"/>
        <v>33.367342624129705</v>
      </c>
      <c r="F264" s="85">
        <f t="shared" si="31"/>
        <v>0.08085512432573716</v>
      </c>
      <c r="G264" s="85">
        <f t="shared" si="31"/>
        <v>0.5823699914321081</v>
      </c>
      <c r="H264" s="85">
        <f t="shared" si="32"/>
        <v>0.8351614899508293</v>
      </c>
      <c r="I264" s="85">
        <f t="shared" si="28"/>
        <v>0.9729078115632389</v>
      </c>
      <c r="J264" s="85">
        <f t="shared" si="33"/>
        <v>1.1649337562493687</v>
      </c>
      <c r="K264" s="21">
        <v>4.315</v>
      </c>
      <c r="L264" s="4">
        <f t="shared" si="34"/>
        <v>5.026689158216026</v>
      </c>
      <c r="M264" s="2"/>
      <c r="N264" s="2"/>
    </row>
    <row r="265" spans="1:14" ht="12.75">
      <c r="A265" s="88">
        <v>38969</v>
      </c>
      <c r="B265" s="2">
        <f t="shared" si="35"/>
        <v>252</v>
      </c>
      <c r="C265" s="2">
        <f t="shared" si="29"/>
        <v>172</v>
      </c>
      <c r="D265" s="85">
        <f t="shared" si="30"/>
        <v>4.23639436161873</v>
      </c>
      <c r="E265" s="85">
        <f t="shared" si="27"/>
        <v>33.76360563838127</v>
      </c>
      <c r="F265" s="85">
        <f t="shared" si="31"/>
        <v>0.07393903002317014</v>
      </c>
      <c r="G265" s="85">
        <f t="shared" si="31"/>
        <v>0.5892860857346751</v>
      </c>
      <c r="H265" s="85">
        <f t="shared" si="32"/>
        <v>0.8313376613831062</v>
      </c>
      <c r="I265" s="85">
        <f t="shared" si="28"/>
        <v>0.9712856007780032</v>
      </c>
      <c r="J265" s="85">
        <f t="shared" si="33"/>
        <v>1.168340670579105</v>
      </c>
      <c r="K265" s="21">
        <v>4.315</v>
      </c>
      <c r="L265" s="4">
        <f t="shared" si="34"/>
        <v>5.041389993548838</v>
      </c>
      <c r="M265" s="2"/>
      <c r="N265" s="2"/>
    </row>
    <row r="266" spans="1:14" ht="12.75">
      <c r="A266" s="88">
        <v>38970</v>
      </c>
      <c r="B266" s="2">
        <f t="shared" si="35"/>
        <v>253</v>
      </c>
      <c r="C266" s="2">
        <f t="shared" si="29"/>
        <v>173</v>
      </c>
      <c r="D266" s="85">
        <f t="shared" si="30"/>
        <v>3.838876779302</v>
      </c>
      <c r="E266" s="85">
        <f t="shared" si="27"/>
        <v>34.161123220698</v>
      </c>
      <c r="F266" s="85">
        <f t="shared" si="31"/>
        <v>0.06700103937717561</v>
      </c>
      <c r="G266" s="85">
        <f t="shared" si="31"/>
        <v>0.5962240763806697</v>
      </c>
      <c r="H266" s="85">
        <f t="shared" si="32"/>
        <v>0.8274617730499375</v>
      </c>
      <c r="I266" s="85">
        <f t="shared" si="28"/>
        <v>0.9696115745972722</v>
      </c>
      <c r="J266" s="85">
        <f t="shared" si="33"/>
        <v>1.1717901734884808</v>
      </c>
      <c r="K266" s="21">
        <v>4.569</v>
      </c>
      <c r="L266" s="4">
        <f t="shared" si="34"/>
        <v>5.353909302668868</v>
      </c>
      <c r="M266" s="2"/>
      <c r="N266" s="2"/>
    </row>
    <row r="267" spans="1:14" ht="12.75">
      <c r="A267" s="88">
        <v>38971</v>
      </c>
      <c r="B267" s="2">
        <f t="shared" si="35"/>
        <v>254</v>
      </c>
      <c r="C267" s="2">
        <f t="shared" si="29"/>
        <v>174</v>
      </c>
      <c r="D267" s="85">
        <f t="shared" si="30"/>
        <v>3.4402223499870477</v>
      </c>
      <c r="E267" s="85">
        <f t="shared" si="27"/>
        <v>34.559777650012954</v>
      </c>
      <c r="F267" s="85">
        <f t="shared" si="31"/>
        <v>0.06004320700797069</v>
      </c>
      <c r="G267" s="85">
        <f t="shared" si="31"/>
        <v>0.6031819087498745</v>
      </c>
      <c r="H267" s="85">
        <f t="shared" si="32"/>
        <v>0.823534799045168</v>
      </c>
      <c r="I267" s="85">
        <f t="shared" si="28"/>
        <v>0.967885887838791</v>
      </c>
      <c r="J267" s="85">
        <f t="shared" si="33"/>
        <v>1.1752823183197458</v>
      </c>
      <c r="K267" s="21">
        <v>4.569</v>
      </c>
      <c r="L267" s="4">
        <f t="shared" si="34"/>
        <v>5.369864912402918</v>
      </c>
      <c r="M267" s="2"/>
      <c r="N267" s="2"/>
    </row>
    <row r="268" spans="1:14" ht="12.75">
      <c r="A268" s="88">
        <v>38972</v>
      </c>
      <c r="B268" s="2">
        <f t="shared" si="35"/>
        <v>255</v>
      </c>
      <c r="C268" s="2">
        <f t="shared" si="29"/>
        <v>175</v>
      </c>
      <c r="D268" s="85">
        <f t="shared" si="30"/>
        <v>3.0405491314072446</v>
      </c>
      <c r="E268" s="85">
        <f t="shared" si="27"/>
        <v>34.959450868592754</v>
      </c>
      <c r="F268" s="85">
        <f t="shared" si="31"/>
        <v>0.05306759341171015</v>
      </c>
      <c r="G268" s="85">
        <f t="shared" si="31"/>
        <v>0.6101575223461351</v>
      </c>
      <c r="H268" s="85">
        <f t="shared" si="32"/>
        <v>0.8195577682504315</v>
      </c>
      <c r="I268" s="85">
        <f t="shared" si="28"/>
        <v>0.9661087547171368</v>
      </c>
      <c r="J268" s="85">
        <f t="shared" si="33"/>
        <v>1.1788171525474747</v>
      </c>
      <c r="K268" s="21">
        <v>4.061</v>
      </c>
      <c r="L268" s="4">
        <f t="shared" si="34"/>
        <v>4.7871764564952946</v>
      </c>
      <c r="M268" s="2"/>
      <c r="N268" s="2"/>
    </row>
    <row r="269" spans="1:14" ht="12.75">
      <c r="A269" s="88">
        <v>38973</v>
      </c>
      <c r="B269" s="2">
        <f t="shared" si="35"/>
        <v>256</v>
      </c>
      <c r="C269" s="2">
        <f t="shared" si="29"/>
        <v>176</v>
      </c>
      <c r="D269" s="85">
        <f t="shared" si="30"/>
        <v>2.639975483000765</v>
      </c>
      <c r="E269" s="85">
        <f t="shared" si="27"/>
        <v>35.36002451699923</v>
      </c>
      <c r="F269" s="85">
        <f t="shared" si="31"/>
        <v>0.04607626435029094</v>
      </c>
      <c r="G269" s="85">
        <f t="shared" si="31"/>
        <v>0.6171488514075543</v>
      </c>
      <c r="H269" s="85">
        <f t="shared" si="32"/>
        <v>0.8155317639718084</v>
      </c>
      <c r="I269" s="85">
        <f t="shared" si="28"/>
        <v>0.9642804490746711</v>
      </c>
      <c r="J269" s="85">
        <f t="shared" si="33"/>
        <v>1.1823947167654463</v>
      </c>
      <c r="K269" s="21">
        <v>3.807</v>
      </c>
      <c r="L269" s="4">
        <f t="shared" si="34"/>
        <v>4.501376686726054</v>
      </c>
      <c r="M269" s="2"/>
      <c r="N269" s="2"/>
    </row>
    <row r="270" spans="1:14" ht="12.75">
      <c r="A270" s="88">
        <v>38974</v>
      </c>
      <c r="B270" s="2">
        <f t="shared" si="35"/>
        <v>257</v>
      </c>
      <c r="C270" s="2">
        <f t="shared" si="29"/>
        <v>177</v>
      </c>
      <c r="D270" s="85">
        <f t="shared" si="30"/>
        <v>2.2386200308595465</v>
      </c>
      <c r="E270" s="85">
        <f aca="true" t="shared" si="36" ref="E270:E333">C$9-D270</f>
        <v>35.76137996914046</v>
      </c>
      <c r="F270" s="85">
        <f t="shared" si="31"/>
        <v>0.03907129023959615</v>
      </c>
      <c r="G270" s="85">
        <f t="shared" si="31"/>
        <v>0.6241538255182492</v>
      </c>
      <c r="H270" s="85">
        <f t="shared" si="32"/>
        <v>0.8114579234984973</v>
      </c>
      <c r="I270" s="85">
        <f aca="true" t="shared" si="37" ref="I270:I333">COS(D$10)*COS(G270)+SIN(D$10)*SIN(G270)*COS(RADIANS(180)-D$11)</f>
        <v>0.9624013045296684</v>
      </c>
      <c r="J270" s="85">
        <f t="shared" si="33"/>
        <v>1.1860150436148285</v>
      </c>
      <c r="K270" s="21">
        <v>4.569</v>
      </c>
      <c r="L270" s="4">
        <f t="shared" si="34"/>
        <v>5.418902734276151</v>
      </c>
      <c r="M270" s="2"/>
      <c r="N270" s="2"/>
    </row>
    <row r="271" spans="1:14" ht="12.75">
      <c r="A271" s="88">
        <v>38975</v>
      </c>
      <c r="B271" s="2">
        <f t="shared" si="35"/>
        <v>258</v>
      </c>
      <c r="C271" s="2">
        <f aca="true" t="shared" si="38" ref="C271:C334">(B271-80)</f>
        <v>178</v>
      </c>
      <c r="D271" s="85">
        <f aca="true" t="shared" si="39" ref="D271:D334">23.45*SIN(RADIANS(0.986*C271))</f>
        <v>1.8366016325992998</v>
      </c>
      <c r="E271" s="85">
        <f t="shared" si="36"/>
        <v>36.1633983674007</v>
      </c>
      <c r="F271" s="85">
        <f aca="true" t="shared" si="40" ref="F271:G334">RADIANS(D271)</f>
        <v>0.032054745536361</v>
      </c>
      <c r="G271" s="85">
        <f t="shared" si="40"/>
        <v>0.6311703702214843</v>
      </c>
      <c r="H271" s="85">
        <f aca="true" t="shared" si="41" ref="H271:H334">COS(0)*COS(G271)+SIN(0)*SIN(G271)*COS(RADIANS(180-0))</f>
        <v>0.8073374375843009</v>
      </c>
      <c r="I271" s="85">
        <f t="shared" si="37"/>
        <v>0.9604717145413374</v>
      </c>
      <c r="J271" s="85">
        <f aca="true" t="shared" si="42" ref="J271:J334">I271/H271</f>
        <v>1.1896781566518726</v>
      </c>
      <c r="K271" s="21">
        <v>3.807</v>
      </c>
      <c r="L271" s="4">
        <f aca="true" t="shared" si="43" ref="L271:L334">J271*K271</f>
        <v>4.529104742373679</v>
      </c>
      <c r="M271" s="2"/>
      <c r="N271" s="2"/>
    </row>
    <row r="272" spans="1:14" ht="12.75">
      <c r="A272" s="88">
        <v>38976</v>
      </c>
      <c r="B272" s="2">
        <f aca="true" t="shared" si="44" ref="B272:B335">B271+1</f>
        <v>259</v>
      </c>
      <c r="C272" s="2">
        <f t="shared" si="38"/>
        <v>179</v>
      </c>
      <c r="D272" s="85">
        <f t="shared" si="39"/>
        <v>1.4340393421609483</v>
      </c>
      <c r="E272" s="85">
        <f t="shared" si="36"/>
        <v>36.56596065783905</v>
      </c>
      <c r="F272" s="85">
        <f t="shared" si="40"/>
        <v>0.025028708123842083</v>
      </c>
      <c r="G272" s="85">
        <f t="shared" si="40"/>
        <v>0.6381964076340031</v>
      </c>
      <c r="H272" s="85">
        <f t="shared" si="41"/>
        <v>0.8031715498528773</v>
      </c>
      <c r="I272" s="85">
        <f t="shared" si="37"/>
        <v>0.9584921323916187</v>
      </c>
      <c r="J272" s="85">
        <f t="shared" si="42"/>
        <v>1.1933840691533366</v>
      </c>
      <c r="K272" s="21">
        <v>3.3</v>
      </c>
      <c r="L272" s="4">
        <f t="shared" si="43"/>
        <v>3.9381674282060106</v>
      </c>
      <c r="M272" s="2"/>
      <c r="N272" s="2"/>
    </row>
    <row r="273" spans="1:14" ht="12.75">
      <c r="A273" s="88">
        <v>38977</v>
      </c>
      <c r="B273" s="2">
        <f t="shared" si="44"/>
        <v>260</v>
      </c>
      <c r="C273" s="2">
        <f t="shared" si="38"/>
        <v>180</v>
      </c>
      <c r="D273" s="85">
        <f t="shared" si="39"/>
        <v>1.0310523745539333</v>
      </c>
      <c r="E273" s="85">
        <f t="shared" si="36"/>
        <v>36.96894762544607</v>
      </c>
      <c r="F273" s="85">
        <f t="shared" si="40"/>
        <v>0.017995258696471936</v>
      </c>
      <c r="G273" s="85">
        <f t="shared" si="40"/>
        <v>0.6452298570613734</v>
      </c>
      <c r="H273" s="85">
        <f t="shared" si="41"/>
        <v>0.7989615561278631</v>
      </c>
      <c r="I273" s="85">
        <f t="shared" si="37"/>
        <v>0.9564630710837911</v>
      </c>
      <c r="J273" s="85">
        <f t="shared" si="42"/>
        <v>1.197132782857855</v>
      </c>
      <c r="K273" s="21">
        <v>3.3</v>
      </c>
      <c r="L273" s="4">
        <f t="shared" si="43"/>
        <v>3.9505381834309214</v>
      </c>
      <c r="M273" s="2"/>
      <c r="N273" s="2"/>
    </row>
    <row r="274" spans="1:14" ht="12.75">
      <c r="A274" s="88">
        <v>38978</v>
      </c>
      <c r="B274" s="2">
        <f t="shared" si="44"/>
        <v>261</v>
      </c>
      <c r="C274" s="2">
        <f t="shared" si="38"/>
        <v>181</v>
      </c>
      <c r="D274" s="85">
        <f t="shared" si="39"/>
        <v>0.6277600705518158</v>
      </c>
      <c r="E274" s="85">
        <f t="shared" si="36"/>
        <v>37.372239929448185</v>
      </c>
      <c r="F274" s="85">
        <f t="shared" si="40"/>
        <v>0.010956480143681082</v>
      </c>
      <c r="G274" s="85">
        <f t="shared" si="40"/>
        <v>0.6522686356141641</v>
      </c>
      <c r="H274" s="85">
        <f t="shared" si="41"/>
        <v>0.7947088036891183</v>
      </c>
      <c r="I274" s="85">
        <f t="shared" si="37"/>
        <v>0.9543851031580822</v>
      </c>
      <c r="J274" s="85">
        <f t="shared" si="42"/>
        <v>1.20092428664151</v>
      </c>
      <c r="K274" s="21">
        <v>3.3</v>
      </c>
      <c r="L274" s="4">
        <f t="shared" si="43"/>
        <v>3.9630501459169825</v>
      </c>
      <c r="M274" s="2"/>
      <c r="N274" s="2"/>
    </row>
    <row r="275" spans="1:14" ht="12.75">
      <c r="A275" s="88">
        <v>38979</v>
      </c>
      <c r="B275" s="2">
        <f t="shared" si="44"/>
        <v>262</v>
      </c>
      <c r="C275" s="2">
        <f t="shared" si="38"/>
        <v>182</v>
      </c>
      <c r="D275" s="85">
        <f t="shared" si="39"/>
        <v>0.22428186135064002</v>
      </c>
      <c r="E275" s="85">
        <f t="shared" si="36"/>
        <v>37.77571813864936</v>
      </c>
      <c r="F275" s="85">
        <f t="shared" si="40"/>
        <v>0.003914456933070085</v>
      </c>
      <c r="G275" s="85">
        <f t="shared" si="40"/>
        <v>0.6593106588247751</v>
      </c>
      <c r="H275" s="85">
        <f t="shared" si="41"/>
        <v>0.7904146904564887</v>
      </c>
      <c r="I275" s="85">
        <f t="shared" si="37"/>
        <v>0.9522588604246314</v>
      </c>
      <c r="J275" s="85">
        <f t="shared" si="42"/>
        <v>1.204758555125883</v>
      </c>
      <c r="K275" s="21">
        <v>3.3</v>
      </c>
      <c r="L275" s="4">
        <f t="shared" si="43"/>
        <v>3.9757032319154137</v>
      </c>
      <c r="M275" s="2"/>
      <c r="N275" s="2"/>
    </row>
    <row r="276" spans="1:14" ht="12.75">
      <c r="A276" s="88">
        <v>38980</v>
      </c>
      <c r="B276" s="2">
        <f t="shared" si="44"/>
        <v>263</v>
      </c>
      <c r="C276" s="2">
        <f t="shared" si="38"/>
        <v>183</v>
      </c>
      <c r="D276" s="85">
        <f t="shared" si="39"/>
        <v>-0.17926276679948705</v>
      </c>
      <c r="E276" s="85">
        <f t="shared" si="36"/>
        <v>38.17926276679949</v>
      </c>
      <c r="F276" s="85">
        <f t="shared" si="40"/>
        <v>-0.0031287255068858265</v>
      </c>
      <c r="G276" s="85">
        <f t="shared" si="40"/>
        <v>0.6663538412647311</v>
      </c>
      <c r="H276" s="85">
        <f t="shared" si="41"/>
        <v>0.786080664102625</v>
      </c>
      <c r="I276" s="85">
        <f t="shared" si="37"/>
        <v>0.9500850336143128</v>
      </c>
      <c r="J276" s="85">
        <f t="shared" si="42"/>
        <v>1.208635547216916</v>
      </c>
      <c r="K276" s="21">
        <v>3.553</v>
      </c>
      <c r="L276" s="4">
        <f t="shared" si="43"/>
        <v>4.294282099261702</v>
      </c>
      <c r="M276" s="2"/>
      <c r="N276" s="2"/>
    </row>
    <row r="277" spans="1:14" ht="12.75">
      <c r="A277" s="88">
        <v>38981</v>
      </c>
      <c r="B277" s="2">
        <f t="shared" si="44"/>
        <v>264</v>
      </c>
      <c r="C277" s="2">
        <f t="shared" si="38"/>
        <v>184</v>
      </c>
      <c r="D277" s="85">
        <f t="shared" si="39"/>
        <v>-0.5827543079791154</v>
      </c>
      <c r="E277" s="85">
        <f t="shared" si="36"/>
        <v>38.582754307979116</v>
      </c>
      <c r="F277" s="85">
        <f t="shared" si="40"/>
        <v>-0.010170981404416626</v>
      </c>
      <c r="G277" s="85">
        <f t="shared" si="40"/>
        <v>0.6733960971622619</v>
      </c>
      <c r="H277" s="85">
        <f t="shared" si="41"/>
        <v>0.7817082210965313</v>
      </c>
      <c r="I277" s="85">
        <f t="shared" si="37"/>
        <v>0.9478643719480813</v>
      </c>
      <c r="J277" s="85">
        <f t="shared" si="42"/>
        <v>1.2125552045729755</v>
      </c>
      <c r="K277" s="21">
        <v>3.3</v>
      </c>
      <c r="L277" s="4">
        <f t="shared" si="43"/>
        <v>4.001432175090819</v>
      </c>
      <c r="M277" s="2"/>
      <c r="N277" s="2"/>
    </row>
    <row r="278" spans="1:14" ht="12.75">
      <c r="A278" s="88">
        <v>38982</v>
      </c>
      <c r="B278" s="2">
        <f t="shared" si="44"/>
        <v>265</v>
      </c>
      <c r="C278" s="2">
        <f t="shared" si="38"/>
        <v>185</v>
      </c>
      <c r="D278" s="85">
        <f t="shared" si="39"/>
        <v>-0.9860732719899986</v>
      </c>
      <c r="E278" s="85">
        <f t="shared" si="36"/>
        <v>38.98607327199</v>
      </c>
      <c r="F278" s="85">
        <f t="shared" si="40"/>
        <v>-0.017210225262139053</v>
      </c>
      <c r="G278" s="85">
        <f t="shared" si="40"/>
        <v>0.6804353410199844</v>
      </c>
      <c r="H278" s="85">
        <f t="shared" si="41"/>
        <v>0.7772989056796483</v>
      </c>
      <c r="I278" s="85">
        <f t="shared" si="37"/>
        <v>0.9455976826256514</v>
      </c>
      <c r="J278" s="85">
        <f t="shared" si="42"/>
        <v>1.2165174500005855</v>
      </c>
      <c r="K278" s="21">
        <v>3.553</v>
      </c>
      <c r="L278" s="4">
        <f t="shared" si="43"/>
        <v>4.322286499852081</v>
      </c>
      <c r="M278" s="2"/>
      <c r="N278" s="2"/>
    </row>
    <row r="279" spans="1:14" ht="12.75">
      <c r="A279" s="88">
        <v>38983</v>
      </c>
      <c r="B279" s="2">
        <f t="shared" si="44"/>
        <v>266</v>
      </c>
      <c r="C279" s="2">
        <f t="shared" si="38"/>
        <v>186</v>
      </c>
      <c r="D279" s="85">
        <f t="shared" si="39"/>
        <v>-1.3891002197409843</v>
      </c>
      <c r="E279" s="85">
        <f t="shared" si="36"/>
        <v>39.38910021974098</v>
      </c>
      <c r="F279" s="85">
        <f t="shared" si="40"/>
        <v>-0.024244372474656908</v>
      </c>
      <c r="G279" s="85">
        <f t="shared" si="40"/>
        <v>0.6874694882325021</v>
      </c>
      <c r="H279" s="85">
        <f t="shared" si="41"/>
        <v>0.7728543087764042</v>
      </c>
      <c r="I279" s="85">
        <f t="shared" si="37"/>
        <v>0.9432858302344799</v>
      </c>
      <c r="J279" s="85">
        <f t="shared" si="42"/>
        <v>1.2205221857763926</v>
      </c>
      <c r="K279" s="21">
        <v>2.792</v>
      </c>
      <c r="L279" s="4">
        <f t="shared" si="43"/>
        <v>3.407697942687688</v>
      </c>
      <c r="M279" s="2"/>
      <c r="N279" s="2"/>
    </row>
    <row r="280" spans="1:14" ht="12.75">
      <c r="A280" s="88">
        <v>38984</v>
      </c>
      <c r="B280" s="2">
        <f t="shared" si="44"/>
        <v>267</v>
      </c>
      <c r="C280" s="2">
        <f t="shared" si="38"/>
        <v>187</v>
      </c>
      <c r="D280" s="85">
        <f t="shared" si="39"/>
        <v>-1.7917157986187693</v>
      </c>
      <c r="E280" s="85">
        <f t="shared" si="36"/>
        <v>39.79171579861877</v>
      </c>
      <c r="F280" s="85">
        <f t="shared" si="40"/>
        <v>-0.031271339945897196</v>
      </c>
      <c r="G280" s="85">
        <f t="shared" si="40"/>
        <v>0.6944964557037424</v>
      </c>
      <c r="H280" s="85">
        <f t="shared" si="41"/>
        <v>0.768376066841284</v>
      </c>
      <c r="I280" s="85">
        <f t="shared" si="37"/>
        <v>0.9409297360801583</v>
      </c>
      <c r="J280" s="85">
        <f t="shared" si="42"/>
        <v>1.2245692918940394</v>
      </c>
      <c r="K280" s="21">
        <v>2.284</v>
      </c>
      <c r="L280" s="4">
        <f t="shared" si="43"/>
        <v>2.796916262685986</v>
      </c>
      <c r="M280" s="2"/>
      <c r="N280" s="2"/>
    </row>
    <row r="281" spans="1:14" ht="12.75">
      <c r="A281" s="88">
        <v>38985</v>
      </c>
      <c r="B281" s="2">
        <f t="shared" si="44"/>
        <v>268</v>
      </c>
      <c r="C281" s="2">
        <f t="shared" si="38"/>
        <v>188</v>
      </c>
      <c r="D281" s="85">
        <f t="shared" si="39"/>
        <v>-2.1938007778330464</v>
      </c>
      <c r="E281" s="85">
        <f t="shared" si="36"/>
        <v>40.19380077783305</v>
      </c>
      <c r="F281" s="85">
        <f t="shared" si="40"/>
        <v>-0.038289046705999294</v>
      </c>
      <c r="G281" s="85">
        <f t="shared" si="40"/>
        <v>0.7015141624638446</v>
      </c>
      <c r="H281" s="85">
        <f t="shared" si="41"/>
        <v>0.76386586064459</v>
      </c>
      <c r="I281" s="85">
        <f t="shared" si="37"/>
        <v>0.9385303774394785</v>
      </c>
      <c r="J281" s="85">
        <f t="shared" si="42"/>
        <v>1.2286586242347544</v>
      </c>
      <c r="K281" s="21">
        <v>3.046</v>
      </c>
      <c r="L281" s="4">
        <f t="shared" si="43"/>
        <v>3.7424941694190617</v>
      </c>
      <c r="M281" s="2"/>
      <c r="N281" s="2"/>
    </row>
    <row r="282" spans="1:14" ht="12.75">
      <c r="A282" s="88">
        <v>38986</v>
      </c>
      <c r="B282" s="2">
        <f t="shared" si="44"/>
        <v>269</v>
      </c>
      <c r="C282" s="2">
        <f t="shared" si="38"/>
        <v>189</v>
      </c>
      <c r="D282" s="85">
        <f t="shared" si="39"/>
        <v>-2.5952360837255726</v>
      </c>
      <c r="E282" s="85">
        <f t="shared" si="36"/>
        <v>40.595236083725574</v>
      </c>
      <c r="F282" s="85">
        <f t="shared" si="40"/>
        <v>-0.04529541452757447</v>
      </c>
      <c r="G282" s="85">
        <f t="shared" si="40"/>
        <v>0.7085205302854197</v>
      </c>
      <c r="H282" s="85">
        <f t="shared" si="41"/>
        <v>0.7593254139991663</v>
      </c>
      <c r="I282" s="85">
        <f t="shared" si="37"/>
        <v>0.9360887867375678</v>
      </c>
      <c r="J282" s="85">
        <f t="shared" si="42"/>
        <v>1.2327900126606266</v>
      </c>
      <c r="K282" s="21">
        <v>3.807</v>
      </c>
      <c r="L282" s="4">
        <f t="shared" si="43"/>
        <v>4.693231578199005</v>
      </c>
      <c r="M282" s="2"/>
      <c r="N282" s="2"/>
    </row>
    <row r="283" spans="1:14" ht="12.75">
      <c r="A283" s="88">
        <v>38987</v>
      </c>
      <c r="B283" s="2">
        <f t="shared" si="44"/>
        <v>270</v>
      </c>
      <c r="C283" s="2">
        <f t="shared" si="38"/>
        <v>190</v>
      </c>
      <c r="D283" s="85">
        <f t="shared" si="39"/>
        <v>-2.9959028350327066</v>
      </c>
      <c r="E283" s="85">
        <f t="shared" si="36"/>
        <v>40.99590283503271</v>
      </c>
      <c r="F283" s="85">
        <f t="shared" si="40"/>
        <v>-0.05228836854115325</v>
      </c>
      <c r="G283" s="85">
        <f t="shared" si="40"/>
        <v>0.7155134842989985</v>
      </c>
      <c r="H283" s="85">
        <f t="shared" si="41"/>
        <v>0.7547564924304704</v>
      </c>
      <c r="I283" s="85">
        <f t="shared" si="37"/>
        <v>0.9336060506506267</v>
      </c>
      <c r="J283" s="85">
        <f t="shared" si="42"/>
        <v>1.2369632590297093</v>
      </c>
      <c r="K283" s="21">
        <v>3.553</v>
      </c>
      <c r="L283" s="4">
        <f t="shared" si="43"/>
        <v>4.394930459332557</v>
      </c>
      <c r="M283" s="2"/>
      <c r="N283" s="2"/>
    </row>
    <row r="284" spans="1:14" ht="12.75">
      <c r="A284" s="88">
        <v>38988</v>
      </c>
      <c r="B284" s="2">
        <f t="shared" si="44"/>
        <v>271</v>
      </c>
      <c r="C284" s="2">
        <f t="shared" si="38"/>
        <v>191</v>
      </c>
      <c r="D284" s="85">
        <f t="shared" si="39"/>
        <v>-3.395682378090967</v>
      </c>
      <c r="E284" s="85">
        <f t="shared" si="36"/>
        <v>41.39568237809097</v>
      </c>
      <c r="F284" s="85">
        <f t="shared" si="40"/>
        <v>-0.059265837849638334</v>
      </c>
      <c r="G284" s="85">
        <f t="shared" si="40"/>
        <v>0.7224909536074836</v>
      </c>
      <c r="H284" s="85">
        <f t="shared" si="41"/>
        <v>0.7501609017924658</v>
      </c>
      <c r="I284" s="85">
        <f t="shared" si="37"/>
        <v>0.931083309135943</v>
      </c>
      <c r="J284" s="85">
        <f t="shared" si="42"/>
        <v>1.241178135132308</v>
      </c>
      <c r="K284" s="21">
        <v>3.807</v>
      </c>
      <c r="L284" s="4">
        <f t="shared" si="43"/>
        <v>4.725165160448696</v>
      </c>
      <c r="M284" s="2"/>
      <c r="N284" s="2"/>
    </row>
    <row r="285" spans="1:14" ht="12.75">
      <c r="A285" s="88">
        <v>38989</v>
      </c>
      <c r="B285" s="2">
        <f t="shared" si="44"/>
        <v>272</v>
      </c>
      <c r="C285" s="2">
        <f t="shared" si="38"/>
        <v>192</v>
      </c>
      <c r="D285" s="85">
        <f t="shared" si="39"/>
        <v>-3.794456321975203</v>
      </c>
      <c r="E285" s="85">
        <f t="shared" si="36"/>
        <v>41.794456321975204</v>
      </c>
      <c r="F285" s="85">
        <f t="shared" si="40"/>
        <v>-0.06622575614158137</v>
      </c>
      <c r="G285" s="85">
        <f t="shared" si="40"/>
        <v>0.7294508718994266</v>
      </c>
      <c r="H285" s="85">
        <f t="shared" si="41"/>
        <v>0.7455404868319018</v>
      </c>
      <c r="I285" s="85">
        <f t="shared" si="37"/>
        <v>0.9285217543909723</v>
      </c>
      <c r="J285" s="85">
        <f t="shared" si="42"/>
        <v>1.2454343805480381</v>
      </c>
      <c r="K285" s="21">
        <v>3.807</v>
      </c>
      <c r="L285" s="4">
        <f t="shared" si="43"/>
        <v>4.741368686746381</v>
      </c>
      <c r="M285" s="2"/>
      <c r="N285" s="2"/>
    </row>
    <row r="286" spans="1:14" ht="12.75">
      <c r="A286" s="88">
        <v>38990</v>
      </c>
      <c r="B286" s="2">
        <f t="shared" si="44"/>
        <v>273</v>
      </c>
      <c r="C286" s="2">
        <f t="shared" si="38"/>
        <v>193</v>
      </c>
      <c r="D286" s="85">
        <f t="shared" si="39"/>
        <v>-4.192106573558895</v>
      </c>
      <c r="E286" s="85">
        <f t="shared" si="36"/>
        <v>42.192106573558895</v>
      </c>
      <c r="F286" s="85">
        <f t="shared" si="40"/>
        <v>-0.07316606230310059</v>
      </c>
      <c r="G286" s="85">
        <f t="shared" si="40"/>
        <v>0.7363911780609458</v>
      </c>
      <c r="H286" s="85">
        <f t="shared" si="41"/>
        <v>0.7408971297036238</v>
      </c>
      <c r="I286" s="85">
        <f t="shared" si="37"/>
        <v>0.9259226297434097</v>
      </c>
      <c r="J286" s="85">
        <f t="shared" si="42"/>
        <v>1.249731700423513</v>
      </c>
      <c r="K286" s="21">
        <v>4.569</v>
      </c>
      <c r="L286" s="4">
        <f t="shared" si="43"/>
        <v>5.71002413923503</v>
      </c>
      <c r="M286" s="2"/>
      <c r="N286" s="2"/>
    </row>
    <row r="287" spans="1:14" ht="12.75">
      <c r="A287" s="88">
        <v>38991</v>
      </c>
      <c r="B287" s="2">
        <f t="shared" si="44"/>
        <v>274</v>
      </c>
      <c r="C287" s="2">
        <f t="shared" si="38"/>
        <v>194</v>
      </c>
      <c r="D287" s="85">
        <f t="shared" si="39"/>
        <v>-4.588515372486413</v>
      </c>
      <c r="E287" s="85">
        <f t="shared" si="36"/>
        <v>42.58851537248641</v>
      </c>
      <c r="F287" s="85">
        <f t="shared" si="40"/>
        <v>-0.08008470102826194</v>
      </c>
      <c r="G287" s="85">
        <f t="shared" si="40"/>
        <v>0.7433098167861072</v>
      </c>
      <c r="H287" s="85">
        <f t="shared" si="41"/>
        <v>0.7362327484396343</v>
      </c>
      <c r="I287" s="85">
        <f t="shared" si="37"/>
        <v>0.9232872284742814</v>
      </c>
      <c r="J287" s="85">
        <f t="shared" si="42"/>
        <v>1.2540697631708027</v>
      </c>
      <c r="K287" s="21">
        <v>4.315</v>
      </c>
      <c r="L287" s="4">
        <f t="shared" si="43"/>
        <v>5.411311028082014</v>
      </c>
      <c r="M287" s="2"/>
      <c r="N287" s="2"/>
    </row>
    <row r="288" spans="1:14" ht="12.75">
      <c r="A288" s="88">
        <v>38992</v>
      </c>
      <c r="B288" s="2">
        <f t="shared" si="44"/>
        <v>275</v>
      </c>
      <c r="C288" s="2">
        <f t="shared" si="38"/>
        <v>195</v>
      </c>
      <c r="D288" s="85">
        <f t="shared" si="39"/>
        <v>-4.983565326046548</v>
      </c>
      <c r="E288" s="85">
        <f t="shared" si="36"/>
        <v>42.983565326046545</v>
      </c>
      <c r="F288" s="85">
        <f t="shared" si="40"/>
        <v>-0.08697962342773698</v>
      </c>
      <c r="G288" s="85">
        <f t="shared" si="40"/>
        <v>0.7502047391855822</v>
      </c>
      <c r="H288" s="85">
        <f t="shared" si="41"/>
        <v>0.7315492953746915</v>
      </c>
      <c r="I288" s="85">
        <f t="shared" si="37"/>
        <v>0.9206168925762106</v>
      </c>
      <c r="J288" s="85">
        <f t="shared" si="42"/>
        <v>1.258448198087158</v>
      </c>
      <c r="K288" s="21">
        <v>3.553</v>
      </c>
      <c r="L288" s="4">
        <f t="shared" si="43"/>
        <v>4.471266447803672</v>
      </c>
      <c r="M288" s="2"/>
      <c r="N288" s="2"/>
    </row>
    <row r="289" spans="1:14" ht="12.75">
      <c r="A289" s="88">
        <v>38993</v>
      </c>
      <c r="B289" s="2">
        <f t="shared" si="44"/>
        <v>276</v>
      </c>
      <c r="C289" s="2">
        <f t="shared" si="38"/>
        <v>196</v>
      </c>
      <c r="D289" s="85">
        <f t="shared" si="39"/>
        <v>-5.377139443937237</v>
      </c>
      <c r="E289" s="85">
        <f t="shared" si="36"/>
        <v>43.37713944393724</v>
      </c>
      <c r="F289" s="85">
        <f t="shared" si="40"/>
        <v>-0.09384878763556183</v>
      </c>
      <c r="G289" s="85">
        <f t="shared" si="40"/>
        <v>0.7570739033934071</v>
      </c>
      <c r="H289" s="85">
        <f t="shared" si="41"/>
        <v>0.7268487555312863</v>
      </c>
      <c r="I289" s="85">
        <f t="shared" si="37"/>
        <v>0.9179130114491028</v>
      </c>
      <c r="J289" s="85">
        <f t="shared" si="42"/>
        <v>1.2628665928968388</v>
      </c>
      <c r="K289" s="21">
        <v>3.553</v>
      </c>
      <c r="L289" s="4">
        <f t="shared" si="43"/>
        <v>4.486965004562468</v>
      </c>
      <c r="M289" s="2"/>
      <c r="N289" s="2"/>
    </row>
    <row r="290" spans="1:14" ht="12.75">
      <c r="A290" s="88">
        <v>38994</v>
      </c>
      <c r="B290" s="2">
        <f t="shared" si="44"/>
        <v>277</v>
      </c>
      <c r="C290" s="2">
        <f t="shared" si="38"/>
        <v>197</v>
      </c>
      <c r="D290" s="85">
        <f t="shared" si="39"/>
        <v>-5.769121172911242</v>
      </c>
      <c r="E290" s="85">
        <f t="shared" si="36"/>
        <v>43.76912117291124</v>
      </c>
      <c r="F290" s="85">
        <f t="shared" si="40"/>
        <v>-0.10069015941381827</v>
      </c>
      <c r="G290" s="85">
        <f t="shared" si="40"/>
        <v>0.7639152751716635</v>
      </c>
      <c r="H290" s="85">
        <f t="shared" si="41"/>
        <v>0.7221331449668917</v>
      </c>
      <c r="I290" s="85">
        <f t="shared" si="37"/>
        <v>0.915177020535606</v>
      </c>
      <c r="J290" s="85">
        <f t="shared" si="42"/>
        <v>1.2673244912163184</v>
      </c>
      <c r="K290" s="21">
        <v>2.538</v>
      </c>
      <c r="L290" s="4">
        <f t="shared" si="43"/>
        <v>3.216469558707016</v>
      </c>
      <c r="M290" s="2"/>
      <c r="N290" s="2"/>
    </row>
    <row r="291" spans="1:14" ht="12.75">
      <c r="A291" s="88">
        <v>38995</v>
      </c>
      <c r="B291" s="2">
        <f t="shared" si="44"/>
        <v>278</v>
      </c>
      <c r="C291" s="2">
        <f t="shared" si="38"/>
        <v>198</v>
      </c>
      <c r="D291" s="85">
        <f t="shared" si="39"/>
        <v>-6.159394431292184</v>
      </c>
      <c r="E291" s="85">
        <f t="shared" si="36"/>
        <v>44.159394431292185</v>
      </c>
      <c r="F291" s="85">
        <f t="shared" si="40"/>
        <v>-0.10750171275505227</v>
      </c>
      <c r="G291" s="85">
        <f t="shared" si="40"/>
        <v>0.7707268285128975</v>
      </c>
      <c r="H291" s="85">
        <f t="shared" si="41"/>
        <v>0.7174045090864217</v>
      </c>
      <c r="I291" s="85">
        <f t="shared" si="37"/>
        <v>0.9124103998987844</v>
      </c>
      <c r="J291" s="85">
        <f t="shared" si="42"/>
        <v>1.2718213899445554</v>
      </c>
      <c r="K291" s="21">
        <v>3.046</v>
      </c>
      <c r="L291" s="4">
        <f t="shared" si="43"/>
        <v>3.8739679537711154</v>
      </c>
      <c r="M291" s="2"/>
      <c r="N291" s="2"/>
    </row>
    <row r="292" spans="1:14" ht="12.75">
      <c r="A292" s="88">
        <v>38996</v>
      </c>
      <c r="B292" s="2">
        <f t="shared" si="44"/>
        <v>279</v>
      </c>
      <c r="C292" s="2">
        <f t="shared" si="38"/>
        <v>199</v>
      </c>
      <c r="D292" s="85">
        <f t="shared" si="39"/>
        <v>-6.54784364335104</v>
      </c>
      <c r="E292" s="85">
        <f t="shared" si="36"/>
        <v>44.547843643351044</v>
      </c>
      <c r="F292" s="85">
        <f t="shared" si="40"/>
        <v>-0.11428143048225697</v>
      </c>
      <c r="G292" s="85">
        <f t="shared" si="40"/>
        <v>0.7775065462401023</v>
      </c>
      <c r="H292" s="85">
        <f t="shared" si="41"/>
        <v>0.7126649209228674</v>
      </c>
      <c r="I292" s="85">
        <f t="shared" si="37"/>
        <v>0.9096146727445369</v>
      </c>
      <c r="J292" s="85">
        <f t="shared" si="42"/>
        <v>1.2763567365805362</v>
      </c>
      <c r="K292" s="21">
        <v>2.792</v>
      </c>
      <c r="L292" s="4">
        <f t="shared" si="43"/>
        <v>3.563588008532857</v>
      </c>
      <c r="M292" s="2"/>
      <c r="N292" s="2"/>
    </row>
    <row r="293" spans="1:14" ht="12.75">
      <c r="A293" s="88">
        <v>38997</v>
      </c>
      <c r="B293" s="2">
        <f t="shared" si="44"/>
        <v>280</v>
      </c>
      <c r="C293" s="2">
        <f t="shared" si="38"/>
        <v>200</v>
      </c>
      <c r="D293" s="85">
        <f t="shared" si="39"/>
        <v>-6.934353773532891</v>
      </c>
      <c r="E293" s="85">
        <f t="shared" si="36"/>
        <v>44.93435377353289</v>
      </c>
      <c r="F293" s="85">
        <f t="shared" si="40"/>
        <v>-0.12102730484624216</v>
      </c>
      <c r="G293" s="85">
        <f t="shared" si="40"/>
        <v>0.7842524206040874</v>
      </c>
      <c r="H293" s="85">
        <f t="shared" si="41"/>
        <v>0.7079164793891036</v>
      </c>
      <c r="I293" s="85">
        <f t="shared" si="37"/>
        <v>0.9067914038913609</v>
      </c>
      <c r="J293" s="85">
        <f t="shared" si="42"/>
        <v>1.2809299264708125</v>
      </c>
      <c r="K293" s="21">
        <v>2.792</v>
      </c>
      <c r="L293" s="4">
        <f t="shared" si="43"/>
        <v>3.5763563547065083</v>
      </c>
      <c r="M293" s="2"/>
      <c r="N293" s="2"/>
    </row>
    <row r="294" spans="1:14" ht="12.75">
      <c r="A294" s="88">
        <v>38998</v>
      </c>
      <c r="B294" s="2">
        <f t="shared" si="44"/>
        <v>281</v>
      </c>
      <c r="C294" s="2">
        <f t="shared" si="38"/>
        <v>201</v>
      </c>
      <c r="D294" s="85">
        <f t="shared" si="39"/>
        <v>-7.318810360523517</v>
      </c>
      <c r="E294" s="85">
        <f t="shared" si="36"/>
        <v>45.318810360523514</v>
      </c>
      <c r="F294" s="85">
        <f t="shared" si="40"/>
        <v>-0.1277373381202086</v>
      </c>
      <c r="G294" s="85">
        <f t="shared" si="40"/>
        <v>0.7909624538780538</v>
      </c>
      <c r="H294" s="85">
        <f t="shared" si="41"/>
        <v>0.7031613075038807</v>
      </c>
      <c r="I294" s="85">
        <f t="shared" si="37"/>
        <v>0.9039421981901407</v>
      </c>
      <c r="J294" s="85">
        <f t="shared" si="42"/>
        <v>1.285540299990343</v>
      </c>
      <c r="K294" s="21">
        <v>2.792</v>
      </c>
      <c r="L294" s="4">
        <f t="shared" si="43"/>
        <v>3.589228517573037</v>
      </c>
      <c r="M294" s="2"/>
      <c r="N294" s="2"/>
    </row>
    <row r="295" spans="1:14" ht="12.75">
      <c r="A295" s="88">
        <v>38999</v>
      </c>
      <c r="B295" s="2">
        <f t="shared" si="44"/>
        <v>282</v>
      </c>
      <c r="C295" s="2">
        <f t="shared" si="38"/>
        <v>202</v>
      </c>
      <c r="D295" s="85">
        <f t="shared" si="39"/>
        <v>-7.701099551146033</v>
      </c>
      <c r="E295" s="85">
        <f t="shared" si="36"/>
        <v>45.70109955114603</v>
      </c>
      <c r="F295" s="85">
        <f t="shared" si="40"/>
        <v>-0.13440954319135573</v>
      </c>
      <c r="G295" s="85">
        <f t="shared" si="40"/>
        <v>0.7976346589492009</v>
      </c>
      <c r="H295" s="85">
        <f t="shared" si="41"/>
        <v>0.6984015505950213</v>
      </c>
      <c r="I295" s="85">
        <f t="shared" si="37"/>
        <v>0.9010686988966984</v>
      </c>
      <c r="J295" s="85">
        <f t="shared" si="42"/>
        <v>1.2901871396605715</v>
      </c>
      <c r="K295" s="21">
        <v>3.553</v>
      </c>
      <c r="L295" s="4">
        <f t="shared" si="43"/>
        <v>4.5840349072140105</v>
      </c>
      <c r="M295" s="2"/>
      <c r="N295" s="2"/>
    </row>
    <row r="296" spans="1:14" ht="12.75">
      <c r="A296" s="88">
        <v>39000</v>
      </c>
      <c r="B296" s="2">
        <f t="shared" si="44"/>
        <v>283</v>
      </c>
      <c r="C296" s="2">
        <f t="shared" si="38"/>
        <v>203</v>
      </c>
      <c r="D296" s="85">
        <f t="shared" si="39"/>
        <v>-8.081108134077526</v>
      </c>
      <c r="E296" s="85">
        <f t="shared" si="36"/>
        <v>46.081108134077525</v>
      </c>
      <c r="F296" s="85">
        <f t="shared" si="40"/>
        <v>-0.1410419441493482</v>
      </c>
      <c r="G296" s="85">
        <f t="shared" si="40"/>
        <v>0.8042670599071934</v>
      </c>
      <c r="H296" s="85">
        <f t="shared" si="41"/>
        <v>0.6936393744828407</v>
      </c>
      <c r="I296" s="85">
        <f t="shared" si="37"/>
        <v>0.8981725859999001</v>
      </c>
      <c r="J296" s="85">
        <f t="shared" si="42"/>
        <v>1.2948696672093536</v>
      </c>
      <c r="K296" s="21">
        <v>3.553</v>
      </c>
      <c r="L296" s="4">
        <f t="shared" si="43"/>
        <v>4.600671927594833</v>
      </c>
      <c r="M296" s="2"/>
      <c r="N296" s="2"/>
    </row>
    <row r="297" spans="1:14" ht="12.75">
      <c r="A297" s="88">
        <v>39001</v>
      </c>
      <c r="B297" s="2">
        <f t="shared" si="44"/>
        <v>284</v>
      </c>
      <c r="C297" s="2">
        <f t="shared" si="38"/>
        <v>204</v>
      </c>
      <c r="D297" s="85">
        <f t="shared" si="39"/>
        <v>-8.458723573375401</v>
      </c>
      <c r="E297" s="85">
        <f t="shared" si="36"/>
        <v>46.4587235733754</v>
      </c>
      <c r="F297" s="85">
        <f t="shared" si="40"/>
        <v>-0.14763257687146092</v>
      </c>
      <c r="G297" s="85">
        <f t="shared" si="40"/>
        <v>0.8108576926293062</v>
      </c>
      <c r="H297" s="85">
        <f t="shared" si="41"/>
        <v>0.6888769636468117</v>
      </c>
      <c r="I297" s="85">
        <f t="shared" si="37"/>
        <v>0.8952555745081622</v>
      </c>
      <c r="J297" s="85">
        <f t="shared" si="42"/>
        <v>1.2995870405780634</v>
      </c>
      <c r="K297" s="21">
        <v>3.046</v>
      </c>
      <c r="L297" s="4">
        <f t="shared" si="43"/>
        <v>3.958542125600781</v>
      </c>
      <c r="M297" s="2"/>
      <c r="N297" s="2"/>
    </row>
    <row r="298" spans="1:14" ht="12.75">
      <c r="A298" s="88">
        <v>39002</v>
      </c>
      <c r="B298" s="2">
        <f t="shared" si="44"/>
        <v>285</v>
      </c>
      <c r="C298" s="2">
        <f t="shared" si="38"/>
        <v>205</v>
      </c>
      <c r="D298" s="85">
        <f t="shared" si="39"/>
        <v>-8.8338340418039</v>
      </c>
      <c r="E298" s="85">
        <f t="shared" si="36"/>
        <v>46.8338340418039</v>
      </c>
      <c r="F298" s="85">
        <f t="shared" si="40"/>
        <v>-0.15417948960423647</v>
      </c>
      <c r="G298" s="85">
        <f t="shared" si="40"/>
        <v>0.8174046053620816</v>
      </c>
      <c r="H298" s="85">
        <f t="shared" si="41"/>
        <v>0.6841165193784662</v>
      </c>
      <c r="I298" s="85">
        <f t="shared" si="37"/>
        <v>0.8923194126972382</v>
      </c>
      <c r="J298" s="85">
        <f t="shared" si="42"/>
        <v>1.304338350881994</v>
      </c>
      <c r="K298" s="21">
        <v>6.345</v>
      </c>
      <c r="L298" s="4">
        <f t="shared" si="43"/>
        <v>8.27602683634625</v>
      </c>
      <c r="M298" s="2"/>
      <c r="N298" s="2"/>
    </row>
    <row r="299" spans="1:14" ht="12.75">
      <c r="A299" s="88">
        <v>39003</v>
      </c>
      <c r="B299" s="2">
        <f t="shared" si="44"/>
        <v>286</v>
      </c>
      <c r="C299" s="2">
        <f t="shared" si="38"/>
        <v>206</v>
      </c>
      <c r="D299" s="85">
        <f t="shared" si="39"/>
        <v>-9.206328453950663</v>
      </c>
      <c r="E299" s="85">
        <f t="shared" si="36"/>
        <v>47.20632845395066</v>
      </c>
      <c r="F299" s="85">
        <f t="shared" si="40"/>
        <v>-0.16068074354147824</v>
      </c>
      <c r="G299" s="85">
        <f t="shared" si="40"/>
        <v>0.8239058592993235</v>
      </c>
      <c r="H299" s="85">
        <f t="shared" si="41"/>
        <v>0.6793602579235141</v>
      </c>
      <c r="I299" s="85">
        <f t="shared" si="37"/>
        <v>0.8893658803222029</v>
      </c>
      <c r="J299" s="85">
        <f t="shared" si="42"/>
        <v>1.3091226193309828</v>
      </c>
      <c r="K299" s="21">
        <v>4.061</v>
      </c>
      <c r="L299" s="4">
        <f t="shared" si="43"/>
        <v>5.316346957103121</v>
      </c>
      <c r="M299" s="2"/>
      <c r="N299" s="2"/>
    </row>
    <row r="300" spans="1:14" ht="12.75">
      <c r="A300" s="88">
        <v>39004</v>
      </c>
      <c r="B300" s="2">
        <f t="shared" si="44"/>
        <v>287</v>
      </c>
      <c r="C300" s="2">
        <f t="shared" si="38"/>
        <v>207</v>
      </c>
      <c r="D300" s="85">
        <f t="shared" si="39"/>
        <v>-9.576096499123611</v>
      </c>
      <c r="E300" s="85">
        <f t="shared" si="36"/>
        <v>47.57609649912361</v>
      </c>
      <c r="F300" s="85">
        <f t="shared" si="40"/>
        <v>-0.16713441339840931</v>
      </c>
      <c r="G300" s="85">
        <f t="shared" si="40"/>
        <v>0.8303595291562544</v>
      </c>
      <c r="H300" s="85">
        <f t="shared" si="41"/>
        <v>0.6746104086161243</v>
      </c>
      <c r="I300" s="85">
        <f t="shared" si="37"/>
        <v>0.886396786796571</v>
      </c>
      <c r="J300" s="85">
        <f t="shared" si="42"/>
        <v>1.3139387941180731</v>
      </c>
      <c r="K300" s="21">
        <v>4.061</v>
      </c>
      <c r="L300" s="4">
        <f t="shared" si="43"/>
        <v>5.335905442913495</v>
      </c>
      <c r="M300" s="2"/>
      <c r="N300" s="2"/>
    </row>
    <row r="301" spans="1:14" ht="12.75">
      <c r="A301" s="88">
        <v>39005</v>
      </c>
      <c r="B301" s="2">
        <f t="shared" si="44"/>
        <v>288</v>
      </c>
      <c r="C301" s="2">
        <f t="shared" si="38"/>
        <v>208</v>
      </c>
      <c r="D301" s="85">
        <f t="shared" si="39"/>
        <v>-9.943028674018434</v>
      </c>
      <c r="E301" s="85">
        <f t="shared" si="36"/>
        <v>47.943028674018436</v>
      </c>
      <c r="F301" s="85">
        <f t="shared" si="40"/>
        <v>-0.17353858798182764</v>
      </c>
      <c r="G301" s="85">
        <f t="shared" si="40"/>
        <v>0.8367637037396729</v>
      </c>
      <c r="H301" s="85">
        <f t="shared" si="41"/>
        <v>0.6698692120082725</v>
      </c>
      <c r="I301" s="85">
        <f t="shared" si="37"/>
        <v>0.8834139693415117</v>
      </c>
      <c r="J301" s="85">
        <f t="shared" si="42"/>
        <v>1.318785747284952</v>
      </c>
      <c r="K301" s="21">
        <v>3.553</v>
      </c>
      <c r="L301" s="4">
        <f t="shared" si="43"/>
        <v>4.6856457601034345</v>
      </c>
      <c r="M301" s="2"/>
      <c r="N301" s="2"/>
    </row>
    <row r="302" spans="1:14" ht="12.75">
      <c r="A302" s="88">
        <v>39006</v>
      </c>
      <c r="B302" s="2">
        <f t="shared" si="44"/>
        <v>289</v>
      </c>
      <c r="C302" s="2">
        <f t="shared" si="38"/>
        <v>209</v>
      </c>
      <c r="D302" s="85">
        <f t="shared" si="39"/>
        <v>-10.307016315146933</v>
      </c>
      <c r="E302" s="85">
        <f t="shared" si="36"/>
        <v>48.30701631514693</v>
      </c>
      <c r="F302" s="85">
        <f t="shared" si="40"/>
        <v>-0.1798913707560875</v>
      </c>
      <c r="G302" s="85">
        <f t="shared" si="40"/>
        <v>0.8431164865139327</v>
      </c>
      <c r="H302" s="85">
        <f t="shared" si="41"/>
        <v>0.6651389179970211</v>
      </c>
      <c r="I302" s="85">
        <f t="shared" si="37"/>
        <v>0.8804192911081221</v>
      </c>
      <c r="J302" s="85">
        <f t="shared" si="42"/>
        <v>1.3236622715738688</v>
      </c>
      <c r="K302" s="21">
        <v>1.777</v>
      </c>
      <c r="L302" s="4">
        <f t="shared" si="43"/>
        <v>2.3521478565867646</v>
      </c>
      <c r="M302" s="2"/>
      <c r="N302" s="2"/>
    </row>
    <row r="303" spans="1:14" ht="12.75">
      <c r="A303" s="88">
        <v>39007</v>
      </c>
      <c r="B303" s="2">
        <f t="shared" si="44"/>
        <v>290</v>
      </c>
      <c r="C303" s="2">
        <f t="shared" si="38"/>
        <v>210</v>
      </c>
      <c r="D303" s="85">
        <f t="shared" si="39"/>
        <v>-10.667951631016706</v>
      </c>
      <c r="E303" s="85">
        <f t="shared" si="36"/>
        <v>48.667951631016706</v>
      </c>
      <c r="F303" s="85">
        <f t="shared" si="40"/>
        <v>-0.18619088040474074</v>
      </c>
      <c r="G303" s="85">
        <f t="shared" si="40"/>
        <v>0.849415996162586</v>
      </c>
      <c r="H303" s="85">
        <f t="shared" si="41"/>
        <v>0.6604217839525361</v>
      </c>
      <c r="I303" s="85">
        <f t="shared" si="37"/>
        <v>0.8774146392757288</v>
      </c>
      <c r="J303" s="85">
        <f t="shared" si="42"/>
        <v>1.3285670772767662</v>
      </c>
      <c r="K303" s="21">
        <v>2.538</v>
      </c>
      <c r="L303" s="4">
        <f t="shared" si="43"/>
        <v>3.371903242128432</v>
      </c>
      <c r="M303" s="2"/>
      <c r="N303" s="2"/>
    </row>
    <row r="304" spans="1:14" ht="12.75">
      <c r="A304" s="88">
        <v>39008</v>
      </c>
      <c r="B304" s="2">
        <f t="shared" si="44"/>
        <v>291</v>
      </c>
      <c r="C304" s="2">
        <f t="shared" si="38"/>
        <v>211</v>
      </c>
      <c r="D304" s="85">
        <f t="shared" si="39"/>
        <v>-11.025727734052554</v>
      </c>
      <c r="E304" s="85">
        <f t="shared" si="36"/>
        <v>49.02572773405255</v>
      </c>
      <c r="F304" s="85">
        <f t="shared" si="40"/>
        <v>-0.19243525138767079</v>
      </c>
      <c r="G304" s="85">
        <f t="shared" si="40"/>
        <v>0.855660367145516</v>
      </c>
      <c r="H304" s="85">
        <f t="shared" si="41"/>
        <v>0.6557200728495962</v>
      </c>
      <c r="I304" s="85">
        <f t="shared" si="37"/>
        <v>0.8744019231291833</v>
      </c>
      <c r="J304" s="85">
        <f t="shared" si="42"/>
        <v>1.3334987890934162</v>
      </c>
      <c r="K304" s="21">
        <v>3.046</v>
      </c>
      <c r="L304" s="4">
        <f t="shared" si="43"/>
        <v>4.061837311578546</v>
      </c>
      <c r="M304" s="2"/>
      <c r="N304" s="2"/>
    </row>
    <row r="305" spans="1:14" ht="12.75">
      <c r="A305" s="88">
        <v>39009</v>
      </c>
      <c r="B305" s="2">
        <f t="shared" si="44"/>
        <v>292</v>
      </c>
      <c r="C305" s="2">
        <f t="shared" si="38"/>
        <v>212</v>
      </c>
      <c r="D305" s="85">
        <f t="shared" si="39"/>
        <v>-11.380238672250256</v>
      </c>
      <c r="E305" s="85">
        <f t="shared" si="36"/>
        <v>49.38023867225026</v>
      </c>
      <c r="F305" s="85">
        <f t="shared" si="40"/>
        <v>-0.1986226344935548</v>
      </c>
      <c r="G305" s="85">
        <f t="shared" si="40"/>
        <v>0.8618477502514</v>
      </c>
      <c r="H305" s="85">
        <f t="shared" si="41"/>
        <v>0.6510360514052713</v>
      </c>
      <c r="I305" s="85">
        <f t="shared" si="37"/>
        <v>0.8713830721180981</v>
      </c>
      <c r="J305" s="85">
        <f t="shared" si="42"/>
        <v>1.3384559430114573</v>
      </c>
      <c r="K305" s="21">
        <v>2.538</v>
      </c>
      <c r="L305" s="4">
        <f t="shared" si="43"/>
        <v>3.3970011833630784</v>
      </c>
      <c r="M305" s="2"/>
      <c r="N305" s="2"/>
    </row>
    <row r="306" spans="1:14" ht="12.75">
      <c r="A306" s="88">
        <v>39010</v>
      </c>
      <c r="B306" s="2">
        <f t="shared" si="44"/>
        <v>293</v>
      </c>
      <c r="C306" s="2">
        <f t="shared" si="38"/>
        <v>213</v>
      </c>
      <c r="D306" s="85">
        <f t="shared" si="39"/>
        <v>-11.731379460553189</v>
      </c>
      <c r="E306" s="85">
        <f t="shared" si="36"/>
        <v>49.731379460553185</v>
      </c>
      <c r="F306" s="85">
        <f t="shared" si="40"/>
        <v>-0.2047511973874894</v>
      </c>
      <c r="G306" s="85">
        <f t="shared" si="40"/>
        <v>0.8679763131453345</v>
      </c>
      <c r="H306" s="85">
        <f t="shared" si="41"/>
        <v>0.6463719882253908</v>
      </c>
      <c r="I306" s="85">
        <f t="shared" si="37"/>
        <v>0.8683600339009583</v>
      </c>
      <c r="J306" s="85">
        <f t="shared" si="42"/>
        <v>1.3434369832223607</v>
      </c>
      <c r="K306" s="21">
        <v>2.538</v>
      </c>
      <c r="L306" s="4">
        <f t="shared" si="43"/>
        <v>3.4096430634183514</v>
      </c>
      <c r="M306" s="2"/>
      <c r="N306" s="2"/>
    </row>
    <row r="307" spans="1:14" ht="12.75">
      <c r="A307" s="88">
        <v>39011</v>
      </c>
      <c r="B307" s="2">
        <f t="shared" si="44"/>
        <v>294</v>
      </c>
      <c r="C307" s="2">
        <f t="shared" si="38"/>
        <v>214</v>
      </c>
      <c r="D307" s="85">
        <f t="shared" si="39"/>
        <v>-12.079046111942757</v>
      </c>
      <c r="E307" s="85">
        <f t="shared" si="36"/>
        <v>50.07904611194276</v>
      </c>
      <c r="F307" s="85">
        <f t="shared" si="40"/>
        <v>-0.21081912515362067</v>
      </c>
      <c r="G307" s="85">
        <f t="shared" si="40"/>
        <v>0.8740442409114659</v>
      </c>
      <c r="H307" s="85">
        <f t="shared" si="41"/>
        <v>0.6417301519623272</v>
      </c>
      <c r="I307" s="85">
        <f t="shared" si="37"/>
        <v>0.8653347723770095</v>
      </c>
      <c r="J307" s="85">
        <f t="shared" si="42"/>
        <v>1.3484402590885414</v>
      </c>
      <c r="K307" s="21">
        <v>1.777</v>
      </c>
      <c r="L307" s="4">
        <f t="shared" si="43"/>
        <v>2.396178340400338</v>
      </c>
      <c r="M307" s="2"/>
      <c r="N307" s="2"/>
    </row>
    <row r="308" spans="1:14" ht="12.75">
      <c r="A308" s="88">
        <v>39012</v>
      </c>
      <c r="B308" s="2">
        <f t="shared" si="44"/>
        <v>295</v>
      </c>
      <c r="C308" s="2">
        <f t="shared" si="38"/>
        <v>215</v>
      </c>
      <c r="D308" s="85">
        <f t="shared" si="39"/>
        <v>-12.423135668233082</v>
      </c>
      <c r="E308" s="85">
        <f t="shared" si="36"/>
        <v>50.42313566823308</v>
      </c>
      <c r="F308" s="85">
        <f t="shared" si="40"/>
        <v>-0.2168246208326132</v>
      </c>
      <c r="G308" s="85">
        <f t="shared" si="40"/>
        <v>0.8800497365904584</v>
      </c>
      <c r="H308" s="85">
        <f t="shared" si="41"/>
        <v>0.6371128094865565</v>
      </c>
      <c r="I308" s="85">
        <f t="shared" si="37"/>
        <v>0.8623092657087981</v>
      </c>
      <c r="J308" s="85">
        <f t="shared" si="42"/>
        <v>1.353464022177996</v>
      </c>
      <c r="K308" s="21">
        <v>2.538</v>
      </c>
      <c r="L308" s="4">
        <f t="shared" si="43"/>
        <v>3.435091688287754</v>
      </c>
      <c r="M308" s="2"/>
      <c r="N308" s="2"/>
    </row>
    <row r="309" spans="1:14" ht="12.75">
      <c r="A309" s="88">
        <v>39013</v>
      </c>
      <c r="B309" s="2">
        <f t="shared" si="44"/>
        <v>296</v>
      </c>
      <c r="C309" s="2">
        <f t="shared" si="38"/>
        <v>216</v>
      </c>
      <c r="D309" s="85">
        <f t="shared" si="39"/>
        <v>-12.763546230561088</v>
      </c>
      <c r="E309" s="85">
        <f t="shared" si="36"/>
        <v>50.76354623056109</v>
      </c>
      <c r="F309" s="85">
        <f t="shared" si="40"/>
        <v>-0.22276590595380227</v>
      </c>
      <c r="G309" s="85">
        <f t="shared" si="40"/>
        <v>0.8859910217116476</v>
      </c>
      <c r="H309" s="85">
        <f t="shared" si="41"/>
        <v>0.6325222240743484</v>
      </c>
      <c r="I309" s="85">
        <f t="shared" si="37"/>
        <v>0.8592855043381877</v>
      </c>
      <c r="J309" s="85">
        <f t="shared" si="42"/>
        <v>1.3585064233840816</v>
      </c>
      <c r="K309" s="21">
        <v>3.046</v>
      </c>
      <c r="L309" s="4">
        <f t="shared" si="43"/>
        <v>4.138010565627912</v>
      </c>
      <c r="M309" s="2"/>
      <c r="N309" s="2"/>
    </row>
    <row r="310" spans="1:14" ht="12.75">
      <c r="A310" s="88">
        <v>39014</v>
      </c>
      <c r="B310" s="2">
        <f t="shared" si="44"/>
        <v>297</v>
      </c>
      <c r="C310" s="2">
        <f t="shared" si="38"/>
        <v>217</v>
      </c>
      <c r="D310" s="85">
        <f t="shared" si="39"/>
        <v>-13.10017698956297</v>
      </c>
      <c r="E310" s="85">
        <f t="shared" si="36"/>
        <v>51.10017698956297</v>
      </c>
      <c r="F310" s="85">
        <f t="shared" si="40"/>
        <v>-0.22864122106187265</v>
      </c>
      <c r="G310" s="85">
        <f t="shared" si="40"/>
        <v>0.8918663368197178</v>
      </c>
      <c r="H310" s="85">
        <f t="shared" si="41"/>
        <v>0.6279606536138649</v>
      </c>
      <c r="I310" s="85">
        <f t="shared" si="37"/>
        <v>0.8562654889986454</v>
      </c>
      <c r="J310" s="85">
        <f t="shared" si="42"/>
        <v>1.3635655101492488</v>
      </c>
      <c r="K310" s="21">
        <v>3.553</v>
      </c>
      <c r="L310" s="4">
        <f t="shared" si="43"/>
        <v>4.844748257560281</v>
      </c>
      <c r="M310" s="2"/>
      <c r="N310" s="2"/>
    </row>
    <row r="311" spans="1:14" ht="12.75">
      <c r="A311" s="88">
        <v>39015</v>
      </c>
      <c r="B311" s="2">
        <f t="shared" si="44"/>
        <v>298</v>
      </c>
      <c r="C311" s="2">
        <f t="shared" si="38"/>
        <v>218</v>
      </c>
      <c r="D311" s="85">
        <f t="shared" si="39"/>
        <v>-13.432928255227848</v>
      </c>
      <c r="E311" s="85">
        <f t="shared" si="36"/>
        <v>51.43292825522785</v>
      </c>
      <c r="F311" s="85">
        <f t="shared" si="40"/>
        <v>-0.23444882623790314</v>
      </c>
      <c r="G311" s="85">
        <f t="shared" si="40"/>
        <v>0.8976739419957485</v>
      </c>
      <c r="H311" s="85">
        <f t="shared" si="41"/>
        <v>0.623430348831834</v>
      </c>
      <c r="I311" s="85">
        <f t="shared" si="37"/>
        <v>0.8532512287265264</v>
      </c>
      <c r="J311" s="85">
        <f t="shared" si="42"/>
        <v>1.368639223812771</v>
      </c>
      <c r="K311" s="21">
        <v>2.792</v>
      </c>
      <c r="L311" s="4">
        <f t="shared" si="43"/>
        <v>3.821240712885256</v>
      </c>
      <c r="M311" s="2"/>
      <c r="N311" s="2"/>
    </row>
    <row r="312" spans="1:14" ht="12.75">
      <c r="A312" s="88">
        <v>39016</v>
      </c>
      <c r="B312" s="2">
        <f t="shared" si="44"/>
        <v>299</v>
      </c>
      <c r="C312" s="2">
        <f t="shared" si="38"/>
        <v>219</v>
      </c>
      <c r="D312" s="85">
        <f t="shared" si="39"/>
        <v>-13.76170148642003</v>
      </c>
      <c r="E312" s="85">
        <f t="shared" si="36"/>
        <v>51.76170148642003</v>
      </c>
      <c r="F312" s="85">
        <f t="shared" si="40"/>
        <v>-0.24018700161462725</v>
      </c>
      <c r="G312" s="85">
        <f t="shared" si="40"/>
        <v>0.9034121173724725</v>
      </c>
      <c r="H312" s="85">
        <f t="shared" si="41"/>
        <v>0.6189335515428765</v>
      </c>
      <c r="I312" s="85">
        <f t="shared" si="37"/>
        <v>0.8502447388740355</v>
      </c>
      <c r="J312" s="85">
        <f t="shared" si="42"/>
        <v>1.3737253971036905</v>
      </c>
      <c r="K312" s="21">
        <v>2.792</v>
      </c>
      <c r="L312" s="4">
        <f t="shared" si="43"/>
        <v>3.8354413087135035</v>
      </c>
      <c r="M312" s="2"/>
      <c r="N312" s="2"/>
    </row>
    <row r="313" spans="1:14" ht="12.75">
      <c r="A313" s="88">
        <v>39017</v>
      </c>
      <c r="B313" s="2">
        <f t="shared" si="44"/>
        <v>300</v>
      </c>
      <c r="C313" s="2">
        <f t="shared" si="38"/>
        <v>220</v>
      </c>
      <c r="D313" s="85">
        <f t="shared" si="39"/>
        <v>-14.0863993200611</v>
      </c>
      <c r="E313" s="85">
        <f t="shared" si="36"/>
        <v>52.0863993200611</v>
      </c>
      <c r="F313" s="85">
        <f t="shared" si="40"/>
        <v>-0.2458540478857567</v>
      </c>
      <c r="G313" s="85">
        <f t="shared" si="40"/>
        <v>0.9090791636436019</v>
      </c>
      <c r="H313" s="85">
        <f t="shared" si="41"/>
        <v>0.614472492923445</v>
      </c>
      <c r="I313" s="85">
        <f t="shared" si="37"/>
        <v>0.8472480391264783</v>
      </c>
      <c r="J313" s="85">
        <f t="shared" si="42"/>
        <v>1.3788217518014008</v>
      </c>
      <c r="K313" s="21">
        <v>1.269</v>
      </c>
      <c r="L313" s="4">
        <f t="shared" si="43"/>
        <v>1.7497248030359775</v>
      </c>
      <c r="M313" s="2"/>
      <c r="N313" s="2"/>
    </row>
    <row r="314" spans="1:14" ht="12.75">
      <c r="A314" s="88">
        <v>39018</v>
      </c>
      <c r="B314" s="2">
        <f t="shared" si="44"/>
        <v>301</v>
      </c>
      <c r="C314" s="2">
        <f t="shared" si="38"/>
        <v>221</v>
      </c>
      <c r="D314" s="85">
        <f t="shared" si="39"/>
        <v>-14.406925599963007</v>
      </c>
      <c r="E314" s="85">
        <f t="shared" si="36"/>
        <v>52.406925599963</v>
      </c>
      <c r="F314" s="85">
        <f t="shared" si="40"/>
        <v>-0.25144828680921394</v>
      </c>
      <c r="G314" s="85">
        <f t="shared" si="40"/>
        <v>0.9146734025670591</v>
      </c>
      <c r="H314" s="85">
        <f t="shared" si="41"/>
        <v>0.6100493918122419</v>
      </c>
      <c r="I314" s="85">
        <f t="shared" si="37"/>
        <v>0.8442631515263488</v>
      </c>
      <c r="J314" s="85">
        <f t="shared" si="42"/>
        <v>1.3839258965873897</v>
      </c>
      <c r="K314" s="21">
        <v>1.015</v>
      </c>
      <c r="L314" s="4">
        <f t="shared" si="43"/>
        <v>1.4046847850362005</v>
      </c>
      <c r="M314" s="2"/>
      <c r="N314" s="2"/>
    </row>
    <row r="315" spans="1:14" ht="12.75">
      <c r="A315" s="88">
        <v>39019</v>
      </c>
      <c r="B315" s="2">
        <f t="shared" si="44"/>
        <v>302</v>
      </c>
      <c r="C315" s="2">
        <f t="shared" si="38"/>
        <v>222</v>
      </c>
      <c r="D315" s="85">
        <f t="shared" si="39"/>
        <v>-14.723185405303798</v>
      </c>
      <c r="E315" s="85">
        <f t="shared" si="36"/>
        <v>52.723185405303795</v>
      </c>
      <c r="F315" s="85">
        <f t="shared" si="40"/>
        <v>-0.25696806170412706</v>
      </c>
      <c r="G315" s="85">
        <f t="shared" si="40"/>
        <v>0.9201931774619723</v>
      </c>
      <c r="H315" s="85">
        <f t="shared" si="41"/>
        <v>0.6056664530388627</v>
      </c>
      <c r="I315" s="85">
        <f t="shared" si="37"/>
        <v>0.8412920985067299</v>
      </c>
      <c r="J315" s="85">
        <f t="shared" si="42"/>
        <v>1.3890353251127618</v>
      </c>
      <c r="K315" s="21">
        <v>1.015</v>
      </c>
      <c r="L315" s="4">
        <f t="shared" si="43"/>
        <v>1.4098708549894532</v>
      </c>
      <c r="M315" s="2"/>
      <c r="N315" s="2"/>
    </row>
    <row r="316" spans="1:14" ht="12.75">
      <c r="A316" s="88">
        <v>39020</v>
      </c>
      <c r="B316" s="2">
        <f t="shared" si="44"/>
        <v>303</v>
      </c>
      <c r="C316" s="2">
        <f t="shared" si="38"/>
        <v>223</v>
      </c>
      <c r="D316" s="85">
        <f t="shared" si="39"/>
        <v>-15.035085078737605</v>
      </c>
      <c r="E316" s="85">
        <f t="shared" si="36"/>
        <v>53.03508507873761</v>
      </c>
      <c r="F316" s="85">
        <f t="shared" si="40"/>
        <v>-0.2624117379414421</v>
      </c>
      <c r="G316" s="85">
        <f t="shared" si="40"/>
        <v>0.9256368536992874</v>
      </c>
      <c r="H316" s="85">
        <f t="shared" si="41"/>
        <v>0.6013258657822963</v>
      </c>
      <c r="I316" s="85">
        <f t="shared" si="37"/>
        <v>0.8383369009363999</v>
      </c>
      <c r="J316" s="85">
        <f t="shared" si="42"/>
        <v>1.3941474143071553</v>
      </c>
      <c r="K316" s="21">
        <v>0.508</v>
      </c>
      <c r="L316" s="4">
        <f t="shared" si="43"/>
        <v>0.7082268864680349</v>
      </c>
      <c r="M316" s="2"/>
      <c r="N316" s="2"/>
    </row>
    <row r="317" spans="1:14" ht="12.75">
      <c r="A317" s="88">
        <v>39021</v>
      </c>
      <c r="B317" s="2">
        <f t="shared" si="44"/>
        <v>304</v>
      </c>
      <c r="C317" s="2">
        <f t="shared" si="38"/>
        <v>224</v>
      </c>
      <c r="D317" s="85">
        <f t="shared" si="39"/>
        <v>-15.342532254130301</v>
      </c>
      <c r="E317" s="85">
        <f t="shared" si="36"/>
        <v>53.342532254130305</v>
      </c>
      <c r="F317" s="85">
        <f t="shared" si="40"/>
        <v>-0.2677777034280011</v>
      </c>
      <c r="G317" s="85">
        <f t="shared" si="40"/>
        <v>0.9310028191858464</v>
      </c>
      <c r="H317" s="85">
        <f t="shared" si="41"/>
        <v>0.5970298019608127</v>
      </c>
      <c r="I317" s="85">
        <f t="shared" si="37"/>
        <v>0.835399576178967</v>
      </c>
      <c r="J317" s="85">
        <f t="shared" si="42"/>
        <v>1.3992594229555733</v>
      </c>
      <c r="K317" s="21">
        <v>1.269</v>
      </c>
      <c r="L317" s="4">
        <f t="shared" si="43"/>
        <v>1.7756602077306223</v>
      </c>
      <c r="M317" s="2"/>
      <c r="N317" s="2"/>
    </row>
    <row r="318" spans="1:14" ht="12.75">
      <c r="A318" s="88">
        <v>39022</v>
      </c>
      <c r="B318" s="2">
        <f t="shared" si="44"/>
        <v>305</v>
      </c>
      <c r="C318" s="2">
        <f t="shared" si="38"/>
        <v>225</v>
      </c>
      <c r="D318" s="85">
        <f t="shared" si="39"/>
        <v>-15.645435883912857</v>
      </c>
      <c r="E318" s="85">
        <f t="shared" si="36"/>
        <v>53.64543588391285</v>
      </c>
      <c r="F318" s="85">
        <f t="shared" si="40"/>
        <v>-0.2730643690839487</v>
      </c>
      <c r="G318" s="85">
        <f t="shared" si="40"/>
        <v>0.9362894848417939</v>
      </c>
      <c r="H318" s="85">
        <f t="shared" si="41"/>
        <v>0.5927804146546355</v>
      </c>
      <c r="I318" s="85">
        <f t="shared" si="37"/>
        <v>0.8324821361682635</v>
      </c>
      <c r="J318" s="85">
        <f t="shared" si="42"/>
        <v>1.4043684905704628</v>
      </c>
      <c r="K318" s="21">
        <v>1.777</v>
      </c>
      <c r="L318" s="4">
        <f t="shared" si="43"/>
        <v>2.4955628077437124</v>
      </c>
      <c r="M318" s="2"/>
      <c r="N318" s="2"/>
    </row>
    <row r="319" spans="1:14" ht="12.75">
      <c r="A319" s="88">
        <v>39023</v>
      </c>
      <c r="B319" s="2">
        <f t="shared" si="44"/>
        <v>306</v>
      </c>
      <c r="C319" s="2">
        <f t="shared" si="38"/>
        <v>226</v>
      </c>
      <c r="D319" s="85">
        <f t="shared" si="39"/>
        <v>-15.943706266044291</v>
      </c>
      <c r="E319" s="85">
        <f t="shared" si="36"/>
        <v>53.94370626604429</v>
      </c>
      <c r="F319" s="85">
        <f t="shared" si="40"/>
        <v>-0.2782701693133239</v>
      </c>
      <c r="G319" s="85">
        <f t="shared" si="40"/>
        <v>0.9414952850711691</v>
      </c>
      <c r="H319" s="85">
        <f t="shared" si="41"/>
        <v>0.588579836562694</v>
      </c>
      <c r="I319" s="85">
        <f t="shared" si="37"/>
        <v>0.829586585502148</v>
      </c>
      <c r="J319" s="85">
        <f t="shared" si="42"/>
        <v>1.409471636587032</v>
      </c>
      <c r="K319" s="21">
        <v>2.031</v>
      </c>
      <c r="L319" s="4">
        <f t="shared" si="43"/>
        <v>2.862636893908262</v>
      </c>
      <c r="M319" s="2"/>
      <c r="N319" s="2"/>
    </row>
    <row r="320" spans="1:14" ht="12.75">
      <c r="A320" s="88">
        <v>39024</v>
      </c>
      <c r="B320" s="2">
        <f t="shared" si="44"/>
        <v>307</v>
      </c>
      <c r="C320" s="2">
        <f t="shared" si="38"/>
        <v>227</v>
      </c>
      <c r="D320" s="85">
        <f t="shared" si="39"/>
        <v>-16.23725507057601</v>
      </c>
      <c r="E320" s="85">
        <f t="shared" si="36"/>
        <v>54.23725507057601</v>
      </c>
      <c r="F320" s="85">
        <f t="shared" si="40"/>
        <v>-0.2833935624676956</v>
      </c>
      <c r="G320" s="85">
        <f t="shared" si="40"/>
        <v>0.9466186782255409</v>
      </c>
      <c r="H320" s="85">
        <f t="shared" si="41"/>
        <v>0.584430178494625</v>
      </c>
      <c r="I320" s="85">
        <f t="shared" si="37"/>
        <v>0.8267149195567736</v>
      </c>
      <c r="J320" s="85">
        <f t="shared" si="42"/>
        <v>1.4145657599103207</v>
      </c>
      <c r="K320" s="21">
        <v>2.031</v>
      </c>
      <c r="L320" s="4">
        <f t="shared" si="43"/>
        <v>2.8729830583778617</v>
      </c>
      <c r="M320" s="2"/>
      <c r="N320" s="2"/>
    </row>
    <row r="321" spans="1:14" ht="12.75">
      <c r="A321" s="88">
        <v>39025</v>
      </c>
      <c r="B321" s="2">
        <f t="shared" si="44"/>
        <v>308</v>
      </c>
      <c r="C321" s="2">
        <f t="shared" si="38"/>
        <v>228</v>
      </c>
      <c r="D321" s="85">
        <f t="shared" si="39"/>
        <v>-16.525995365809873</v>
      </c>
      <c r="E321" s="85">
        <f t="shared" si="36"/>
        <v>54.52599536580988</v>
      </c>
      <c r="F321" s="85">
        <f t="shared" si="40"/>
        <v>-0.28843303130270703</v>
      </c>
      <c r="G321" s="85">
        <f t="shared" si="40"/>
        <v>0.9516581470605523</v>
      </c>
      <c r="H321" s="85">
        <f t="shared" si="41"/>
        <v>0.5803335278990799</v>
      </c>
      <c r="I321" s="85">
        <f t="shared" si="37"/>
        <v>0.8238691226232862</v>
      </c>
      <c r="J321" s="85">
        <f t="shared" si="42"/>
        <v>1.4196476388428778</v>
      </c>
      <c r="K321" s="21">
        <v>2.031</v>
      </c>
      <c r="L321" s="4">
        <f t="shared" si="43"/>
        <v>2.883304354489885</v>
      </c>
      <c r="M321" s="2"/>
      <c r="N321" s="2"/>
    </row>
    <row r="322" spans="1:14" ht="12.75">
      <c r="A322" s="88">
        <v>39026</v>
      </c>
      <c r="B322" s="2">
        <f t="shared" si="44"/>
        <v>309</v>
      </c>
      <c r="C322" s="2">
        <f t="shared" si="38"/>
        <v>229</v>
      </c>
      <c r="D322" s="85">
        <f t="shared" si="39"/>
        <v>-16.809841644042287</v>
      </c>
      <c r="E322" s="85">
        <f t="shared" si="36"/>
        <v>54.80984164404229</v>
      </c>
      <c r="F322" s="85">
        <f t="shared" si="40"/>
        <v>-0.29338708342739456</v>
      </c>
      <c r="G322" s="85">
        <f t="shared" si="40"/>
        <v>0.9566121991852398</v>
      </c>
      <c r="H322" s="85">
        <f t="shared" si="41"/>
        <v>0.5762919474292718</v>
      </c>
      <c r="I322" s="85">
        <f t="shared" si="37"/>
        <v>0.8210511660688267</v>
      </c>
      <c r="J322" s="85">
        <f t="shared" si="42"/>
        <v>1.4247139314220492</v>
      </c>
      <c r="K322" s="21">
        <v>1.777</v>
      </c>
      <c r="L322" s="4">
        <f t="shared" si="43"/>
        <v>2.531716656136981</v>
      </c>
      <c r="M322" s="2"/>
      <c r="N322" s="2"/>
    </row>
    <row r="323" spans="1:14" ht="12.75">
      <c r="A323" s="88">
        <v>39027</v>
      </c>
      <c r="B323" s="2">
        <f t="shared" si="44"/>
        <v>310</v>
      </c>
      <c r="C323" s="2">
        <f t="shared" si="38"/>
        <v>230</v>
      </c>
      <c r="D323" s="85">
        <f t="shared" si="39"/>
        <v>-17.088709846886385</v>
      </c>
      <c r="E323" s="85">
        <f t="shared" si="36"/>
        <v>55.08870984688639</v>
      </c>
      <c r="F323" s="85">
        <f t="shared" si="40"/>
        <v>-0.29825425174614345</v>
      </c>
      <c r="G323" s="85">
        <f t="shared" si="40"/>
        <v>0.9614793675039888</v>
      </c>
      <c r="H323" s="85">
        <f t="shared" si="41"/>
        <v>0.5723074735465911</v>
      </c>
      <c r="I323" s="85">
        <f t="shared" si="37"/>
        <v>0.8182630065236156</v>
      </c>
      <c r="J323" s="85">
        <f t="shared" si="42"/>
        <v>1.4297611761957911</v>
      </c>
      <c r="K323" s="21">
        <v>1.269</v>
      </c>
      <c r="L323" s="4">
        <f t="shared" si="43"/>
        <v>1.8143669325924587</v>
      </c>
      <c r="M323" s="2"/>
      <c r="N323" s="2"/>
    </row>
    <row r="324" spans="1:14" ht="12.75">
      <c r="A324" s="88">
        <v>39028</v>
      </c>
      <c r="B324" s="2">
        <f t="shared" si="44"/>
        <v>311</v>
      </c>
      <c r="C324" s="2">
        <f t="shared" si="38"/>
        <v>231</v>
      </c>
      <c r="D324" s="85">
        <f t="shared" si="39"/>
        <v>-17.36251739016519</v>
      </c>
      <c r="E324" s="85">
        <f t="shared" si="36"/>
        <v>55.362517390165195</v>
      </c>
      <c r="F324" s="85">
        <f t="shared" si="40"/>
        <v>-0.3030330948931555</v>
      </c>
      <c r="G324" s="85">
        <f t="shared" si="40"/>
        <v>0.9662582106510008</v>
      </c>
      <c r="H324" s="85">
        <f t="shared" si="41"/>
        <v>0.5683821151629894</v>
      </c>
      <c r="I324" s="85">
        <f t="shared" si="37"/>
        <v>0.8155065840957967</v>
      </c>
      <c r="J324" s="85">
        <f t="shared" si="42"/>
        <v>1.4347857934656192</v>
      </c>
      <c r="K324" s="21">
        <v>1.777</v>
      </c>
      <c r="L324" s="4">
        <f t="shared" si="43"/>
        <v>2.5496143549884054</v>
      </c>
      <c r="M324" s="2"/>
      <c r="N324" s="2"/>
    </row>
    <row r="325" spans="1:14" ht="12.75">
      <c r="A325" s="88">
        <v>39029</v>
      </c>
      <c r="B325" s="2">
        <f t="shared" si="44"/>
        <v>312</v>
      </c>
      <c r="C325" s="2">
        <f t="shared" si="38"/>
        <v>232</v>
      </c>
      <c r="D325" s="85">
        <f t="shared" si="39"/>
        <v>-17.63118318836816</v>
      </c>
      <c r="E325" s="85">
        <f t="shared" si="36"/>
        <v>55.631183188368155</v>
      </c>
      <c r="F325" s="85">
        <f t="shared" si="40"/>
        <v>-0.307722197659296</v>
      </c>
      <c r="G325" s="85">
        <f t="shared" si="40"/>
        <v>0.9709473134171411</v>
      </c>
      <c r="H325" s="85">
        <f t="shared" si="41"/>
        <v>0.5645178523227296</v>
      </c>
      <c r="I325" s="85">
        <f t="shared" si="37"/>
        <v>0.8127838206156268</v>
      </c>
      <c r="J325" s="85">
        <f t="shared" si="42"/>
        <v>1.4397840870247023</v>
      </c>
      <c r="K325" s="21">
        <v>2.792</v>
      </c>
      <c r="L325" s="4">
        <f t="shared" si="43"/>
        <v>4.019877170972968</v>
      </c>
      <c r="M325" s="2"/>
      <c r="N325" s="2"/>
    </row>
    <row r="326" spans="1:14" ht="12.75">
      <c r="A326" s="88">
        <v>39030</v>
      </c>
      <c r="B326" s="2">
        <f t="shared" si="44"/>
        <v>313</v>
      </c>
      <c r="C326" s="2">
        <f t="shared" si="38"/>
        <v>233</v>
      </c>
      <c r="D326" s="85">
        <f t="shared" si="39"/>
        <v>-17.8946276786638</v>
      </c>
      <c r="E326" s="85">
        <f t="shared" si="36"/>
        <v>55.894627678663795</v>
      </c>
      <c r="F326" s="85">
        <f t="shared" si="40"/>
        <v>-0.3123201714111931</v>
      </c>
      <c r="G326" s="85">
        <f t="shared" si="40"/>
        <v>0.9755452871690383</v>
      </c>
      <c r="H326" s="85">
        <f t="shared" si="41"/>
        <v>0.5607166349239832</v>
      </c>
      <c r="I326" s="85">
        <f t="shared" si="37"/>
        <v>0.8100966179104963</v>
      </c>
      <c r="J326" s="85">
        <f t="shared" si="42"/>
        <v>1.4447522464182319</v>
      </c>
      <c r="K326" s="21">
        <v>2.284</v>
      </c>
      <c r="L326" s="4">
        <f t="shared" si="43"/>
        <v>3.2998141308192412</v>
      </c>
      <c r="M326" s="2"/>
      <c r="N326" s="2"/>
    </row>
    <row r="327" spans="1:14" ht="12.75">
      <c r="A327" s="88">
        <v>39031</v>
      </c>
      <c r="B327" s="2">
        <f t="shared" si="44"/>
        <v>314</v>
      </c>
      <c r="C327" s="2">
        <f t="shared" si="38"/>
        <v>234</v>
      </c>
      <c r="D327" s="85">
        <f t="shared" si="39"/>
        <v>-18.15277284446154</v>
      </c>
      <c r="E327" s="85">
        <f t="shared" si="36"/>
        <v>56.15277284446154</v>
      </c>
      <c r="F327" s="85">
        <f t="shared" si="40"/>
        <v>-0.3168256545024704</v>
      </c>
      <c r="G327" s="85">
        <f t="shared" si="40"/>
        <v>0.9800507702603156</v>
      </c>
      <c r="H327" s="85">
        <f t="shared" si="41"/>
        <v>0.5569803814806481</v>
      </c>
      <c r="I327" s="85">
        <f t="shared" si="37"/>
        <v>0.8074468561121682</v>
      </c>
      <c r="J327" s="85">
        <f t="shared" si="42"/>
        <v>1.4496863497520196</v>
      </c>
      <c r="K327" s="21">
        <v>1.015</v>
      </c>
      <c r="L327" s="4">
        <f t="shared" si="43"/>
        <v>1.4714316449982998</v>
      </c>
      <c r="M327" s="2"/>
      <c r="N327" s="2"/>
    </row>
    <row r="328" spans="1:14" ht="12.75">
      <c r="A328" s="88">
        <v>39032</v>
      </c>
      <c r="B328" s="2">
        <f t="shared" si="44"/>
        <v>315</v>
      </c>
      <c r="C328" s="2">
        <f t="shared" si="38"/>
        <v>235</v>
      </c>
      <c r="D328" s="85">
        <f t="shared" si="39"/>
        <v>-18.40554223851555</v>
      </c>
      <c r="E328" s="85">
        <f t="shared" si="36"/>
        <v>56.40554223851555</v>
      </c>
      <c r="F328" s="85">
        <f t="shared" si="40"/>
        <v>-0.32123731267698385</v>
      </c>
      <c r="G328" s="85">
        <f t="shared" si="40"/>
        <v>0.9844624284348291</v>
      </c>
      <c r="H328" s="85">
        <f t="shared" si="41"/>
        <v>0.5533109779246536</v>
      </c>
      <c r="I328" s="85">
        <f t="shared" si="37"/>
        <v>0.8048363919975303</v>
      </c>
      <c r="J328" s="85">
        <f t="shared" si="42"/>
        <v>1.4545823670737434</v>
      </c>
      <c r="K328" s="21">
        <v>0.508</v>
      </c>
      <c r="L328" s="4">
        <f t="shared" si="43"/>
        <v>0.7389278424734617</v>
      </c>
      <c r="M328" s="2"/>
      <c r="N328" s="2"/>
    </row>
    <row r="329" spans="1:14" ht="12.75">
      <c r="A329" s="88">
        <v>39033</v>
      </c>
      <c r="B329" s="2">
        <f t="shared" si="44"/>
        <v>316</v>
      </c>
      <c r="C329" s="2">
        <f t="shared" si="38"/>
        <v>236</v>
      </c>
      <c r="D329" s="85">
        <f t="shared" si="39"/>
        <v>-18.652861005563892</v>
      </c>
      <c r="E329" s="85">
        <f t="shared" si="36"/>
        <v>56.65286100556389</v>
      </c>
      <c r="F329" s="85">
        <f t="shared" si="40"/>
        <v>-0.3255538394639503</v>
      </c>
      <c r="G329" s="85">
        <f t="shared" si="40"/>
        <v>0.9887789552217955</v>
      </c>
      <c r="H329" s="85">
        <f t="shared" si="41"/>
        <v>0.5497102764489153</v>
      </c>
      <c r="I329" s="85">
        <f t="shared" si="37"/>
        <v>0.8022670573640511</v>
      </c>
      <c r="J329" s="85">
        <f t="shared" si="42"/>
        <v>1.459436164349396</v>
      </c>
      <c r="K329" s="21">
        <v>0.15</v>
      </c>
      <c r="L329" s="4">
        <f t="shared" si="43"/>
        <v>0.2189154246524094</v>
      </c>
      <c r="M329" s="2"/>
      <c r="N329" s="2"/>
    </row>
    <row r="330" spans="1:14" ht="12.75">
      <c r="A330" s="88">
        <v>39034</v>
      </c>
      <c r="B330" s="2">
        <f t="shared" si="44"/>
        <v>317</v>
      </c>
      <c r="C330" s="2">
        <f t="shared" si="38"/>
        <v>237</v>
      </c>
      <c r="D330" s="85">
        <f t="shared" si="39"/>
        <v>-18.89465590449618</v>
      </c>
      <c r="E330" s="85">
        <f t="shared" si="36"/>
        <v>56.894655904496176</v>
      </c>
      <c r="F330" s="85">
        <f t="shared" si="40"/>
        <v>-0.3297739565648456</v>
      </c>
      <c r="G330" s="85">
        <f t="shared" si="40"/>
        <v>0.9929990723226908</v>
      </c>
      <c r="H330" s="85">
        <f t="shared" si="41"/>
        <v>0.5461800943910048</v>
      </c>
      <c r="I330" s="85">
        <f t="shared" si="37"/>
        <v>0.7997406574410424</v>
      </c>
      <c r="J330" s="85">
        <f t="shared" si="42"/>
        <v>1.4642435080552683</v>
      </c>
      <c r="K330" s="21">
        <v>0.31</v>
      </c>
      <c r="L330" s="4">
        <f t="shared" si="43"/>
        <v>0.4539154874971332</v>
      </c>
      <c r="M330" s="2"/>
      <c r="N330" s="2"/>
    </row>
    <row r="331" spans="1:14" ht="12.75">
      <c r="A331" s="88">
        <v>39035</v>
      </c>
      <c r="B331" s="2">
        <f t="shared" si="44"/>
        <v>318</v>
      </c>
      <c r="C331" s="2">
        <f t="shared" si="38"/>
        <v>238</v>
      </c>
      <c r="D331" s="85">
        <f t="shared" si="39"/>
        <v>-19.130855330043264</v>
      </c>
      <c r="E331" s="85">
        <f t="shared" si="36"/>
        <v>57.13085533004326</v>
      </c>
      <c r="F331" s="85">
        <f t="shared" si="40"/>
        <v>-0.3338964142319614</v>
      </c>
      <c r="G331" s="85">
        <f t="shared" si="40"/>
        <v>0.9971215299898066</v>
      </c>
      <c r="H331" s="85">
        <f t="shared" si="41"/>
        <v>0.5427222131574989</v>
      </c>
      <c r="I331" s="85">
        <f t="shared" si="37"/>
        <v>0.7972589693377341</v>
      </c>
      <c r="J331" s="85">
        <f t="shared" si="42"/>
        <v>1.4690000704031774</v>
      </c>
      <c r="K331" s="21">
        <v>0.53</v>
      </c>
      <c r="L331" s="4">
        <f t="shared" si="43"/>
        <v>0.778570037313684</v>
      </c>
      <c r="M331" s="2"/>
      <c r="N331" s="2"/>
    </row>
    <row r="332" spans="1:14" ht="12.75">
      <c r="A332" s="88">
        <v>39036</v>
      </c>
      <c r="B332" s="2">
        <f t="shared" si="44"/>
        <v>319</v>
      </c>
      <c r="C332" s="2">
        <f t="shared" si="38"/>
        <v>239</v>
      </c>
      <c r="D332" s="85">
        <f t="shared" si="39"/>
        <v>-19.36138933398243</v>
      </c>
      <c r="E332" s="85">
        <f t="shared" si="36"/>
        <v>57.36138933398243</v>
      </c>
      <c r="F332" s="85">
        <f t="shared" si="40"/>
        <v>-0.33791999163850545</v>
      </c>
      <c r="G332" s="85">
        <f t="shared" si="40"/>
        <v>1.0011451073963507</v>
      </c>
      <c r="H332" s="85">
        <f t="shared" si="41"/>
        <v>0.5393383771888862</v>
      </c>
      <c r="I332" s="85">
        <f t="shared" si="37"/>
        <v>0.7948237405290749</v>
      </c>
      <c r="J332" s="85">
        <f t="shared" si="42"/>
        <v>1.473701435213673</v>
      </c>
      <c r="K332" s="21">
        <v>1.11</v>
      </c>
      <c r="L332" s="4">
        <f t="shared" si="43"/>
        <v>1.6358085930871773</v>
      </c>
      <c r="M332" s="2"/>
      <c r="N332" s="2"/>
    </row>
    <row r="333" spans="1:14" ht="12.75">
      <c r="A333" s="88">
        <v>39037</v>
      </c>
      <c r="B333" s="2">
        <f t="shared" si="44"/>
        <v>320</v>
      </c>
      <c r="C333" s="2">
        <f t="shared" si="38"/>
        <v>240</v>
      </c>
      <c r="D333" s="85">
        <f t="shared" si="39"/>
        <v>-19.586189645851917</v>
      </c>
      <c r="E333" s="85">
        <f t="shared" si="36"/>
        <v>57.58618964585192</v>
      </c>
      <c r="F333" s="85">
        <f t="shared" si="40"/>
        <v>-0.3418434972401381</v>
      </c>
      <c r="G333" s="85">
        <f t="shared" si="40"/>
        <v>1.0050686129979833</v>
      </c>
      <c r="H333" s="85">
        <f t="shared" si="41"/>
        <v>0.5360302929648135</v>
      </c>
      <c r="I333" s="85">
        <f t="shared" si="37"/>
        <v>0.7924366873800819</v>
      </c>
      <c r="J333" s="85">
        <f t="shared" si="42"/>
        <v>1.4783431044485755</v>
      </c>
      <c r="K333" s="21">
        <v>0.11</v>
      </c>
      <c r="L333" s="4">
        <f t="shared" si="43"/>
        <v>0.1626177414893433</v>
      </c>
      <c r="M333" s="2"/>
      <c r="N333" s="2"/>
    </row>
    <row r="334" spans="1:14" ht="12.75">
      <c r="A334" s="88">
        <v>39038</v>
      </c>
      <c r="B334" s="2">
        <f t="shared" si="44"/>
        <v>321</v>
      </c>
      <c r="C334" s="2">
        <f t="shared" si="38"/>
        <v>241</v>
      </c>
      <c r="D334" s="85">
        <f t="shared" si="39"/>
        <v>-19.805189693168565</v>
      </c>
      <c r="E334" s="85">
        <f aca="true" t="shared" si="45" ref="E334:E378">C$9-D334</f>
        <v>57.805189693168565</v>
      </c>
      <c r="F334" s="85">
        <f t="shared" si="40"/>
        <v>-0.345665769127837</v>
      </c>
      <c r="G334" s="85">
        <f t="shared" si="40"/>
        <v>1.0088908848856821</v>
      </c>
      <c r="H334" s="85">
        <f t="shared" si="41"/>
        <v>0.5327996280493765</v>
      </c>
      <c r="I334" s="85">
        <f aca="true" t="shared" si="46" ref="I334:I378">COS(D$10)*COS(G334)+SIN(D$10)*SIN(G334)*COS(RADIANS(180)-D$11)</f>
        <v>0.7900994937094763</v>
      </c>
      <c r="J334" s="85">
        <f t="shared" si="42"/>
        <v>1.4829205054104408</v>
      </c>
      <c r="K334" s="21">
        <v>1.63</v>
      </c>
      <c r="L334" s="4">
        <f t="shared" si="43"/>
        <v>2.4171604238190185</v>
      </c>
      <c r="M334" s="2"/>
      <c r="N334" s="2"/>
    </row>
    <row r="335" spans="1:14" ht="12.75">
      <c r="A335" s="88">
        <v>39039</v>
      </c>
      <c r="B335" s="2">
        <f t="shared" si="44"/>
        <v>322</v>
      </c>
      <c r="C335" s="2">
        <f aca="true" t="shared" si="47" ref="C335:C378">(B335-80)</f>
        <v>242</v>
      </c>
      <c r="D335" s="85">
        <f aca="true" t="shared" si="48" ref="D335:D378">23.45*SIN(RADIANS(0.986*C335))</f>
        <v>-20.018324621142618</v>
      </c>
      <c r="E335" s="85">
        <f t="shared" si="45"/>
        <v>58.01832462114262</v>
      </c>
      <c r="F335" s="85">
        <f aca="true" t="shared" si="49" ref="F335:G378">RADIANS(D335)</f>
        <v>-0.34938567537198517</v>
      </c>
      <c r="G335" s="85">
        <f t="shared" si="49"/>
        <v>1.0126107911298303</v>
      </c>
      <c r="H335" s="85">
        <f aca="true" t="shared" si="50" ref="H335:H378">COS(0)*COS(G335)+SIN(0)*SIN(G335)*COS(RADIANS(180-0))</f>
        <v>0.5296480101760777</v>
      </c>
      <c r="I335" s="85">
        <f t="shared" si="46"/>
        <v>0.7878138093932554</v>
      </c>
      <c r="J335" s="85">
        <f aca="true" t="shared" si="51" ref="J335:J378">I335/H335</f>
        <v>1.4874289986124036</v>
      </c>
      <c r="K335" s="21">
        <v>1.42</v>
      </c>
      <c r="L335" s="4">
        <f aca="true" t="shared" si="52" ref="L335:L378">J335*K335</f>
        <v>2.112149178029613</v>
      </c>
      <c r="M335" s="2"/>
      <c r="N335" s="2"/>
    </row>
    <row r="336" spans="1:14" ht="12.75">
      <c r="A336" s="88">
        <v>39040</v>
      </c>
      <c r="B336" s="2">
        <f aca="true" t="shared" si="53" ref="B336:B378">B335+1</f>
        <v>323</v>
      </c>
      <c r="C336" s="2">
        <f t="shared" si="47"/>
        <v>243</v>
      </c>
      <c r="D336" s="85">
        <f t="shared" si="48"/>
        <v>-20.22553131188387</v>
      </c>
      <c r="E336" s="85">
        <f t="shared" si="45"/>
        <v>58.22553131188387</v>
      </c>
      <c r="F336" s="85">
        <f t="shared" si="49"/>
        <v>-0.35300211435758166</v>
      </c>
      <c r="G336" s="85">
        <f t="shared" si="49"/>
        <v>1.016227230115427</v>
      </c>
      <c r="H336" s="85">
        <f t="shared" si="50"/>
        <v>0.5265770263720004</v>
      </c>
      <c r="I336" s="85">
        <f t="shared" si="46"/>
        <v>0.7855812490087715</v>
      </c>
      <c r="J336" s="85">
        <f t="shared" si="51"/>
        <v>1.4918638863173599</v>
      </c>
      <c r="K336" s="21">
        <v>0.79</v>
      </c>
      <c r="L336" s="4">
        <f t="shared" si="52"/>
        <v>1.1785724701907143</v>
      </c>
      <c r="M336" s="2"/>
      <c r="N336" s="2"/>
    </row>
    <row r="337" spans="1:14" ht="12.75">
      <c r="A337" s="88">
        <v>39041</v>
      </c>
      <c r="B337" s="2">
        <f t="shared" si="53"/>
        <v>324</v>
      </c>
      <c r="C337" s="2">
        <f t="shared" si="47"/>
        <v>244</v>
      </c>
      <c r="D337" s="85">
        <f t="shared" si="48"/>
        <v>-20.426748403093413</v>
      </c>
      <c r="E337" s="85">
        <f t="shared" si="45"/>
        <v>58.42674840309341</v>
      </c>
      <c r="F337" s="85">
        <f t="shared" si="49"/>
        <v>-0.3565140151104739</v>
      </c>
      <c r="G337" s="85">
        <f t="shared" si="49"/>
        <v>1.0197391308683192</v>
      </c>
      <c r="H337" s="85">
        <f t="shared" si="50"/>
        <v>0.5235882221206786</v>
      </c>
      <c r="I337" s="85">
        <f t="shared" si="46"/>
        <v>0.7834033905198043</v>
      </c>
      <c r="J337" s="85">
        <f t="shared" si="51"/>
        <v>1.4962204217405841</v>
      </c>
      <c r="K337" s="21">
        <v>0.68</v>
      </c>
      <c r="L337" s="4">
        <f t="shared" si="52"/>
        <v>1.0174298867835974</v>
      </c>
      <c r="M337" s="2"/>
      <c r="N337" s="2"/>
    </row>
    <row r="338" spans="1:14" ht="12.75">
      <c r="A338" s="88">
        <v>39042</v>
      </c>
      <c r="B338" s="2">
        <f t="shared" si="53"/>
        <v>325</v>
      </c>
      <c r="C338" s="2">
        <f t="shared" si="47"/>
        <v>245</v>
      </c>
      <c r="D338" s="85">
        <f t="shared" si="48"/>
        <v>-20.621916306235523</v>
      </c>
      <c r="E338" s="85">
        <f t="shared" si="45"/>
        <v>58.62191630623552</v>
      </c>
      <c r="F338" s="85">
        <f t="shared" si="49"/>
        <v>-0.35992033761451714</v>
      </c>
      <c r="G338" s="85">
        <f t="shared" si="49"/>
        <v>1.0231454533723623</v>
      </c>
      <c r="H338" s="85">
        <f t="shared" si="50"/>
        <v>0.5206831005630759</v>
      </c>
      <c r="I338" s="85">
        <f t="shared" si="46"/>
        <v>0.7812817740030438</v>
      </c>
      <c r="J338" s="85">
        <f t="shared" si="51"/>
        <v>1.500493818904727</v>
      </c>
      <c r="K338" s="21">
        <v>0.02</v>
      </c>
      <c r="L338" s="4">
        <f t="shared" si="52"/>
        <v>0.03000987637809454</v>
      </c>
      <c r="M338" s="2"/>
      <c r="N338" s="2"/>
    </row>
    <row r="339" spans="1:14" ht="12.75">
      <c r="A339" s="88">
        <v>39043</v>
      </c>
      <c r="B339" s="2">
        <f t="shared" si="53"/>
        <v>326</v>
      </c>
      <c r="C339" s="2">
        <f t="shared" si="47"/>
        <v>246</v>
      </c>
      <c r="D339" s="85">
        <f t="shared" si="48"/>
        <v>-20.81097722418421</v>
      </c>
      <c r="E339" s="85">
        <f t="shared" si="45"/>
        <v>58.810977224184214</v>
      </c>
      <c r="F339" s="85">
        <f t="shared" si="49"/>
        <v>-0.36322007311956456</v>
      </c>
      <c r="G339" s="85">
        <f t="shared" si="49"/>
        <v>1.0264451888774098</v>
      </c>
      <c r="H339" s="85">
        <f t="shared" si="50"/>
        <v>0.5178631217360347</v>
      </c>
      <c r="I339" s="85">
        <f t="shared" si="46"/>
        <v>0.7792179004163218</v>
      </c>
      <c r="J339" s="85">
        <f t="shared" si="51"/>
        <v>1.5046792631306636</v>
      </c>
      <c r="K339" s="21">
        <v>1.45</v>
      </c>
      <c r="L339" s="4">
        <f t="shared" si="52"/>
        <v>2.181784931539462</v>
      </c>
      <c r="M339" s="2"/>
      <c r="N339" s="2"/>
    </row>
    <row r="340" spans="1:14" ht="12.75">
      <c r="A340" s="88">
        <v>39044</v>
      </c>
      <c r="B340" s="2">
        <f t="shared" si="53"/>
        <v>327</v>
      </c>
      <c r="C340" s="2">
        <f t="shared" si="47"/>
        <v>247</v>
      </c>
      <c r="D340" s="85">
        <f t="shared" si="48"/>
        <v>-20.993875168339322</v>
      </c>
      <c r="E340" s="85">
        <f t="shared" si="45"/>
        <v>58.99387516833932</v>
      </c>
      <c r="F340" s="85">
        <f t="shared" si="49"/>
        <v>-0.3664122444402</v>
      </c>
      <c r="G340" s="85">
        <f t="shared" si="49"/>
        <v>1.0296373601980453</v>
      </c>
      <c r="H340" s="85">
        <f t="shared" si="50"/>
        <v>0.5151297018474948</v>
      </c>
      <c r="I340" s="85">
        <f t="shared" si="46"/>
        <v>0.7772132304088696</v>
      </c>
      <c r="J340" s="85">
        <f t="shared" si="51"/>
        <v>1.5087719221419795</v>
      </c>
      <c r="K340" s="21">
        <v>0.72</v>
      </c>
      <c r="L340" s="4">
        <f t="shared" si="52"/>
        <v>1.0863157839422253</v>
      </c>
      <c r="M340" s="2"/>
      <c r="N340" s="2"/>
    </row>
    <row r="341" spans="1:14" ht="12.75">
      <c r="A341" s="88">
        <v>39045</v>
      </c>
      <c r="B341" s="2">
        <f t="shared" si="53"/>
        <v>328</v>
      </c>
      <c r="C341" s="2">
        <f t="shared" si="47"/>
        <v>248</v>
      </c>
      <c r="D341" s="85">
        <f t="shared" si="48"/>
        <v>-21.170555975207016</v>
      </c>
      <c r="E341" s="85">
        <f t="shared" si="45"/>
        <v>59.170555975207016</v>
      </c>
      <c r="F341" s="85">
        <f t="shared" si="49"/>
        <v>-0.36949590624512146</v>
      </c>
      <c r="G341" s="85">
        <f t="shared" si="49"/>
        <v>1.0327210220029668</v>
      </c>
      <c r="H341" s="85">
        <f t="shared" si="50"/>
        <v>0.5124842125877414</v>
      </c>
      <c r="I341" s="85">
        <f t="shared" si="46"/>
        <v>0.7752691831738073</v>
      </c>
      <c r="J341" s="85">
        <f t="shared" si="51"/>
        <v>1.5127669577549672</v>
      </c>
      <c r="K341" s="21">
        <v>0.91</v>
      </c>
      <c r="L341" s="4">
        <f t="shared" si="52"/>
        <v>1.3766179315570202</v>
      </c>
      <c r="M341" s="2"/>
      <c r="N341" s="2"/>
    </row>
    <row r="342" spans="1:14" ht="12.75">
      <c r="A342" s="88">
        <v>39046</v>
      </c>
      <c r="B342" s="2">
        <f t="shared" si="53"/>
        <v>329</v>
      </c>
      <c r="C342" s="2">
        <f t="shared" si="47"/>
        <v>249</v>
      </c>
      <c r="D342" s="85">
        <f t="shared" si="48"/>
        <v>-21.340967322439777</v>
      </c>
      <c r="E342" s="85">
        <f t="shared" si="45"/>
        <v>59.34096732243978</v>
      </c>
      <c r="F342" s="85">
        <f t="shared" si="49"/>
        <v>-0.37247014533709244</v>
      </c>
      <c r="G342" s="85">
        <f t="shared" si="49"/>
        <v>1.0356952610949377</v>
      </c>
      <c r="H342" s="85">
        <f t="shared" si="50"/>
        <v>0.5099279804758896</v>
      </c>
      <c r="I342" s="85">
        <f t="shared" si="46"/>
        <v>0.7733871353430106</v>
      </c>
      <c r="J342" s="85">
        <f t="shared" si="51"/>
        <v>1.5166595381199677</v>
      </c>
      <c r="K342" s="21">
        <v>0.55</v>
      </c>
      <c r="L342" s="4">
        <f t="shared" si="52"/>
        <v>0.8341627459659823</v>
      </c>
      <c r="M342" s="2"/>
      <c r="N342" s="2"/>
    </row>
    <row r="343" spans="1:14" ht="12.75">
      <c r="A343" s="88">
        <v>39047</v>
      </c>
      <c r="B343" s="2">
        <f t="shared" si="53"/>
        <v>330</v>
      </c>
      <c r="C343" s="2">
        <f t="shared" si="47"/>
        <v>250</v>
      </c>
      <c r="D343" s="85">
        <f t="shared" si="48"/>
        <v>-21.505058744331155</v>
      </c>
      <c r="E343" s="85">
        <f t="shared" si="45"/>
        <v>59.50505874433115</v>
      </c>
      <c r="F343" s="85">
        <f t="shared" si="49"/>
        <v>-0.3753340809233761</v>
      </c>
      <c r="G343" s="85">
        <f t="shared" si="49"/>
        <v>1.0385591966812213</v>
      </c>
      <c r="H343" s="85">
        <f t="shared" si="50"/>
        <v>0.507462286240793</v>
      </c>
      <c r="I343" s="85">
        <f t="shared" si="46"/>
        <v>0.771568419924452</v>
      </c>
      <c r="J343" s="85">
        <f t="shared" si="51"/>
        <v>1.5204448504737542</v>
      </c>
      <c r="K343" s="21">
        <v>1.44</v>
      </c>
      <c r="L343" s="4">
        <f t="shared" si="52"/>
        <v>2.189440584682206</v>
      </c>
      <c r="M343" s="2"/>
      <c r="N343" s="2"/>
    </row>
    <row r="344" spans="1:14" ht="12.75">
      <c r="A344" s="88">
        <v>39048</v>
      </c>
      <c r="B344" s="2">
        <f t="shared" si="53"/>
        <v>331</v>
      </c>
      <c r="C344" s="2">
        <f t="shared" si="47"/>
        <v>251</v>
      </c>
      <c r="D344" s="85">
        <f t="shared" si="48"/>
        <v>-21.66278164676077</v>
      </c>
      <c r="E344" s="85">
        <f t="shared" si="45"/>
        <v>59.66278164676077</v>
      </c>
      <c r="F344" s="85">
        <f t="shared" si="49"/>
        <v>-0.37808686487657467</v>
      </c>
      <c r="G344" s="85">
        <f t="shared" si="49"/>
        <v>1.04131198063442</v>
      </c>
      <c r="H344" s="85">
        <f t="shared" si="50"/>
        <v>0.5050883642355113</v>
      </c>
      <c r="I344" s="85">
        <f t="shared" si="46"/>
        <v>0.7698143252820485</v>
      </c>
      <c r="J344" s="85">
        <f t="shared" si="51"/>
        <v>1.5241181143565237</v>
      </c>
      <c r="K344" s="21">
        <v>1.78</v>
      </c>
      <c r="L344" s="4">
        <f t="shared" si="52"/>
        <v>2.712930243554612</v>
      </c>
      <c r="M344" s="2"/>
      <c r="N344" s="2"/>
    </row>
    <row r="345" spans="1:14" ht="12.75">
      <c r="A345" s="88">
        <v>39049</v>
      </c>
      <c r="B345" s="2">
        <f t="shared" si="53"/>
        <v>332</v>
      </c>
      <c r="C345" s="2">
        <f t="shared" si="47"/>
        <v>252</v>
      </c>
      <c r="D345" s="85">
        <f t="shared" si="48"/>
        <v>-21.814089321584945</v>
      </c>
      <c r="E345" s="85">
        <f t="shared" si="45"/>
        <v>59.814089321584945</v>
      </c>
      <c r="F345" s="85">
        <f t="shared" si="49"/>
        <v>-0.38072768198579343</v>
      </c>
      <c r="G345" s="85">
        <f t="shared" si="49"/>
        <v>1.0439527977436387</v>
      </c>
      <c r="H345" s="85">
        <f t="shared" si="50"/>
        <v>0.5028074018844685</v>
      </c>
      <c r="I345" s="85">
        <f t="shared" si="46"/>
        <v>0.7681260941580124</v>
      </c>
      <c r="J345" s="85">
        <f t="shared" si="51"/>
        <v>1.5276745952409565</v>
      </c>
      <c r="K345" s="21">
        <v>0.32</v>
      </c>
      <c r="L345" s="4">
        <f t="shared" si="52"/>
        <v>0.4888558704771061</v>
      </c>
      <c r="M345" s="2"/>
      <c r="N345" s="2"/>
    </row>
    <row r="346" spans="1:14" ht="12.75">
      <c r="A346" s="88">
        <v>39050</v>
      </c>
      <c r="B346" s="2">
        <f t="shared" si="53"/>
        <v>333</v>
      </c>
      <c r="C346" s="2">
        <f t="shared" si="47"/>
        <v>253</v>
      </c>
      <c r="D346" s="85">
        <f t="shared" si="48"/>
        <v>-21.958936960468865</v>
      </c>
      <c r="E346" s="85">
        <f t="shared" si="45"/>
        <v>59.95893696046886</v>
      </c>
      <c r="F346" s="85">
        <f t="shared" si="49"/>
        <v>-0.38325575019805763</v>
      </c>
      <c r="G346" s="85">
        <f t="shared" si="49"/>
        <v>1.0464808659559028</v>
      </c>
      <c r="H346" s="85">
        <f t="shared" si="50"/>
        <v>0.500620539162398</v>
      </c>
      <c r="I346" s="85">
        <f t="shared" si="46"/>
        <v>0.7665049227376475</v>
      </c>
      <c r="J346" s="85">
        <f t="shared" si="51"/>
        <v>1.5311096185148694</v>
      </c>
      <c r="K346" s="21">
        <v>0.95</v>
      </c>
      <c r="L346" s="4">
        <f t="shared" si="52"/>
        <v>1.4545541375891258</v>
      </c>
      <c r="M346" s="2"/>
      <c r="N346" s="2"/>
    </row>
    <row r="347" spans="1:14" ht="12.75">
      <c r="A347" s="88">
        <v>39051</v>
      </c>
      <c r="B347" s="2">
        <f t="shared" si="53"/>
        <v>334</v>
      </c>
      <c r="C347" s="2">
        <f t="shared" si="47"/>
        <v>254</v>
      </c>
      <c r="D347" s="85">
        <f t="shared" si="48"/>
        <v>-22.09728166815623</v>
      </c>
      <c r="E347" s="85">
        <f t="shared" si="45"/>
        <v>60.09728166815623</v>
      </c>
      <c r="F347" s="85">
        <f t="shared" si="49"/>
        <v>-0.38567032084991126</v>
      </c>
      <c r="G347" s="85">
        <f t="shared" si="49"/>
        <v>1.0488954366077565</v>
      </c>
      <c r="H347" s="85">
        <f t="shared" si="50"/>
        <v>0.49852886810416475</v>
      </c>
      <c r="I347" s="85">
        <f t="shared" si="46"/>
        <v>0.7649519597565015</v>
      </c>
      <c r="J347" s="85">
        <f t="shared" si="51"/>
        <v>1.5344185837532467</v>
      </c>
      <c r="K347" s="21">
        <v>1.08</v>
      </c>
      <c r="L347" s="4">
        <f t="shared" si="52"/>
        <v>1.6571720704535065</v>
      </c>
      <c r="M347" s="2"/>
      <c r="N347" s="2"/>
    </row>
    <row r="348" spans="1:14" ht="12.75">
      <c r="A348" s="88">
        <v>39052</v>
      </c>
      <c r="B348" s="2">
        <f t="shared" si="53"/>
        <v>335</v>
      </c>
      <c r="C348" s="2">
        <f t="shared" si="47"/>
        <v>255</v>
      </c>
      <c r="D348" s="85">
        <f t="shared" si="48"/>
        <v>-22.229082475172188</v>
      </c>
      <c r="E348" s="85">
        <f t="shared" si="45"/>
        <v>60.22908247517219</v>
      </c>
      <c r="F348" s="85">
        <f t="shared" si="49"/>
        <v>-0.38797067888912534</v>
      </c>
      <c r="G348" s="85">
        <f t="shared" si="49"/>
        <v>1.0511957946469705</v>
      </c>
      <c r="H348" s="85">
        <f t="shared" si="50"/>
        <v>0.49653343234454683</v>
      </c>
      <c r="I348" s="85">
        <f t="shared" si="46"/>
        <v>0.7634683056497453</v>
      </c>
      <c r="J348" s="85">
        <f t="shared" si="51"/>
        <v>1.5375969792099944</v>
      </c>
      <c r="K348" s="21">
        <v>0.03</v>
      </c>
      <c r="L348" s="4">
        <f t="shared" si="52"/>
        <v>0.04612790937629983</v>
      </c>
      <c r="M348" s="2"/>
      <c r="N348" s="2"/>
    </row>
    <row r="349" spans="1:14" ht="12.75">
      <c r="A349" s="88">
        <v>39053</v>
      </c>
      <c r="B349" s="2">
        <f t="shared" si="53"/>
        <v>336</v>
      </c>
      <c r="C349" s="2">
        <f t="shared" si="47"/>
        <v>256</v>
      </c>
      <c r="D349" s="85">
        <f t="shared" si="48"/>
        <v>-22.35430034995607</v>
      </c>
      <c r="E349" s="85">
        <f t="shared" si="45"/>
        <v>60.35430034995607</v>
      </c>
      <c r="F349" s="85">
        <f t="shared" si="49"/>
        <v>-0.3901561430864541</v>
      </c>
      <c r="G349" s="85">
        <f t="shared" si="49"/>
        <v>1.0533812588442992</v>
      </c>
      <c r="H349" s="85">
        <f t="shared" si="50"/>
        <v>0.4946352266870522</v>
      </c>
      <c r="I349" s="85">
        <f t="shared" si="46"/>
        <v>0.7620550117436231</v>
      </c>
      <c r="J349" s="85">
        <f t="shared" si="51"/>
        <v>1.5406403964547457</v>
      </c>
      <c r="K349" s="21">
        <v>0.8</v>
      </c>
      <c r="L349" s="4">
        <f t="shared" si="52"/>
        <v>1.2325123171637966</v>
      </c>
      <c r="M349" s="2"/>
      <c r="N349" s="2"/>
    </row>
    <row r="350" spans="1:14" ht="12.75">
      <c r="A350" s="88">
        <v>39054</v>
      </c>
      <c r="B350" s="2">
        <f t="shared" si="53"/>
        <v>337</v>
      </c>
      <c r="C350" s="2">
        <f t="shared" si="47"/>
        <v>257</v>
      </c>
      <c r="D350" s="85">
        <f t="shared" si="48"/>
        <v>-22.472898210420283</v>
      </c>
      <c r="E350" s="85">
        <f t="shared" si="45"/>
        <v>60.47289821042028</v>
      </c>
      <c r="F350" s="85">
        <f t="shared" si="49"/>
        <v>-0.3922260662373754</v>
      </c>
      <c r="G350" s="85">
        <f t="shared" si="49"/>
        <v>1.0554511819952206</v>
      </c>
      <c r="H350" s="85">
        <f t="shared" si="50"/>
        <v>0.4928351967008519</v>
      </c>
      <c r="I350" s="85">
        <f t="shared" si="46"/>
        <v>0.7607130794887857</v>
      </c>
      <c r="J350" s="85">
        <f t="shared" si="51"/>
        <v>1.5435445450754488</v>
      </c>
      <c r="K350" s="21">
        <v>1.11</v>
      </c>
      <c r="L350" s="4">
        <f t="shared" si="52"/>
        <v>1.7133344450337484</v>
      </c>
      <c r="M350" s="2"/>
      <c r="N350" s="2"/>
    </row>
    <row r="351" spans="1:14" ht="12.75">
      <c r="A351" s="88">
        <v>39055</v>
      </c>
      <c r="B351" s="2">
        <f t="shared" si="53"/>
        <v>338</v>
      </c>
      <c r="C351" s="2">
        <f t="shared" si="47"/>
        <v>258</v>
      </c>
      <c r="D351" s="85">
        <f t="shared" si="48"/>
        <v>-22.58484093493175</v>
      </c>
      <c r="E351" s="85">
        <f t="shared" si="45"/>
        <v>60.58484093493175</v>
      </c>
      <c r="F351" s="85">
        <f t="shared" si="49"/>
        <v>-0.3941798353537535</v>
      </c>
      <c r="G351" s="85">
        <f t="shared" si="49"/>
        <v>1.0574049511115986</v>
      </c>
      <c r="H351" s="85">
        <f t="shared" si="50"/>
        <v>0.49113423834492126</v>
      </c>
      <c r="I351" s="85">
        <f t="shared" si="46"/>
        <v>0.7594434597353055</v>
      </c>
      <c r="J351" s="85">
        <f t="shared" si="51"/>
        <v>1.5463052673634858</v>
      </c>
      <c r="K351" s="21">
        <v>0.92</v>
      </c>
      <c r="L351" s="4">
        <f t="shared" si="52"/>
        <v>1.422600845974407</v>
      </c>
      <c r="M351" s="2"/>
      <c r="N351" s="2"/>
    </row>
    <row r="352" spans="1:14" ht="12.75">
      <c r="A352" s="88">
        <v>39056</v>
      </c>
      <c r="B352" s="2">
        <f t="shared" si="53"/>
        <v>339</v>
      </c>
      <c r="C352" s="2">
        <f t="shared" si="47"/>
        <v>259</v>
      </c>
      <c r="D352" s="85">
        <f t="shared" si="48"/>
        <v>-22.690095372712864</v>
      </c>
      <c r="E352" s="85">
        <f t="shared" si="45"/>
        <v>60.69009537271286</v>
      </c>
      <c r="F352" s="85">
        <f t="shared" si="49"/>
        <v>-0.39601687184536943</v>
      </c>
      <c r="G352" s="85">
        <f t="shared" si="49"/>
        <v>1.0592419876032146</v>
      </c>
      <c r="H352" s="85">
        <f t="shared" si="50"/>
        <v>0.4895331976184878</v>
      </c>
      <c r="I352" s="85">
        <f t="shared" si="46"/>
        <v>0.7582470520491453</v>
      </c>
      <c r="J352" s="85">
        <f t="shared" si="51"/>
        <v>1.548918552894704</v>
      </c>
      <c r="K352" s="21">
        <v>0.22</v>
      </c>
      <c r="L352" s="4">
        <f t="shared" si="52"/>
        <v>0.3407620816368349</v>
      </c>
      <c r="M352" s="2"/>
      <c r="N352" s="2"/>
    </row>
    <row r="353" spans="1:14" ht="12.75">
      <c r="A353" s="88">
        <v>39057</v>
      </c>
      <c r="B353" s="2">
        <f t="shared" si="53"/>
        <v>340</v>
      </c>
      <c r="C353" s="2">
        <f t="shared" si="47"/>
        <v>260</v>
      </c>
      <c r="D353" s="85">
        <f t="shared" si="48"/>
        <v>-22.788630353658807</v>
      </c>
      <c r="E353" s="85">
        <f t="shared" si="45"/>
        <v>60.7886303536588</v>
      </c>
      <c r="F353" s="85">
        <f t="shared" si="49"/>
        <v>-0.397736631691266</v>
      </c>
      <c r="G353" s="85">
        <f t="shared" si="49"/>
        <v>1.060961747449111</v>
      </c>
      <c r="H353" s="85">
        <f t="shared" si="50"/>
        <v>0.4880328702369097</v>
      </c>
      <c r="I353" s="85">
        <f t="shared" si="46"/>
        <v>0.7571247040698439</v>
      </c>
      <c r="J353" s="85">
        <f t="shared" si="51"/>
        <v>1.5513805529170746</v>
      </c>
      <c r="K353" s="21">
        <v>0.36</v>
      </c>
      <c r="L353" s="4">
        <f t="shared" si="52"/>
        <v>0.5584969990501468</v>
      </c>
      <c r="M353" s="2"/>
      <c r="N353" s="2"/>
    </row>
    <row r="354" spans="1:14" ht="12.75">
      <c r="A354" s="88">
        <v>39058</v>
      </c>
      <c r="B354" s="2">
        <f t="shared" si="53"/>
        <v>341</v>
      </c>
      <c r="C354" s="2">
        <f t="shared" si="47"/>
        <v>261</v>
      </c>
      <c r="D354" s="85">
        <f t="shared" si="48"/>
        <v>-22.88041669756823</v>
      </c>
      <c r="E354" s="85">
        <f t="shared" si="45"/>
        <v>60.88041669756823</v>
      </c>
      <c r="F354" s="85">
        <f t="shared" si="49"/>
        <v>-0.39933860560085327</v>
      </c>
      <c r="G354" s="85">
        <f t="shared" si="49"/>
        <v>1.0625637213586985</v>
      </c>
      <c r="H354" s="85">
        <f t="shared" si="50"/>
        <v>0.48663400133212703</v>
      </c>
      <c r="I354" s="85">
        <f t="shared" si="46"/>
        <v>0.7560772109091726</v>
      </c>
      <c r="J354" s="85">
        <f t="shared" si="51"/>
        <v>1.5536875944538675</v>
      </c>
      <c r="K354" s="21">
        <v>2.18</v>
      </c>
      <c r="L354" s="4">
        <f t="shared" si="52"/>
        <v>3.3870389559094316</v>
      </c>
      <c r="M354" s="2"/>
      <c r="N354" s="2"/>
    </row>
    <row r="355" spans="1:14" ht="12.75">
      <c r="A355" s="88">
        <v>39059</v>
      </c>
      <c r="B355" s="2">
        <f t="shared" si="53"/>
        <v>342</v>
      </c>
      <c r="C355" s="2">
        <f t="shared" si="47"/>
        <v>262</v>
      </c>
      <c r="D355" s="85">
        <f t="shared" si="48"/>
        <v>-22.96542722278475</v>
      </c>
      <c r="E355" s="85">
        <f t="shared" si="45"/>
        <v>60.965427222784754</v>
      </c>
      <c r="F355" s="85">
        <f t="shared" si="49"/>
        <v>-0.4008223191647312</v>
      </c>
      <c r="G355" s="85">
        <f t="shared" si="49"/>
        <v>1.0640474349225766</v>
      </c>
      <c r="H355" s="85">
        <f t="shared" si="50"/>
        <v>0.4853372851768582</v>
      </c>
      <c r="I355" s="85">
        <f t="shared" si="46"/>
        <v>0.7551053145905069</v>
      </c>
      <c r="J355" s="85">
        <f t="shared" si="51"/>
        <v>1.5558361940301877</v>
      </c>
      <c r="K355" s="21">
        <v>0.95</v>
      </c>
      <c r="L355" s="4">
        <f t="shared" si="52"/>
        <v>1.4780443843286781</v>
      </c>
      <c r="M355" s="2"/>
      <c r="N355" s="2"/>
    </row>
    <row r="356" spans="1:14" ht="12.75">
      <c r="A356" s="88">
        <v>39060</v>
      </c>
      <c r="B356" s="2">
        <f t="shared" si="53"/>
        <v>343</v>
      </c>
      <c r="C356" s="2">
        <f t="shared" si="47"/>
        <v>263</v>
      </c>
      <c r="D356" s="85">
        <f t="shared" si="48"/>
        <v>-23.0436367542465</v>
      </c>
      <c r="E356" s="85">
        <f t="shared" si="45"/>
        <v>61.0436367542465</v>
      </c>
      <c r="F356" s="85">
        <f t="shared" si="49"/>
        <v>-0.40218733299518084</v>
      </c>
      <c r="G356" s="85">
        <f t="shared" si="49"/>
        <v>1.065412448753026</v>
      </c>
      <c r="H356" s="85">
        <f t="shared" si="50"/>
        <v>0.48414336493174615</v>
      </c>
      <c r="I356" s="85">
        <f t="shared" si="46"/>
        <v>0.7542097035286611</v>
      </c>
      <c r="J356" s="85">
        <f t="shared" si="51"/>
        <v>1.5578230709306293</v>
      </c>
      <c r="K356" s="21">
        <v>1.53</v>
      </c>
      <c r="L356" s="4">
        <f t="shared" si="52"/>
        <v>2.383469298523863</v>
      </c>
      <c r="M356" s="2"/>
      <c r="N356" s="2"/>
    </row>
    <row r="357" spans="1:14" ht="12.75">
      <c r="A357" s="88">
        <v>39061</v>
      </c>
      <c r="B357" s="2">
        <f t="shared" si="53"/>
        <v>344</v>
      </c>
      <c r="C357" s="2">
        <f t="shared" si="47"/>
        <v>264</v>
      </c>
      <c r="D357" s="85">
        <f t="shared" si="48"/>
        <v>-23.115022130941504</v>
      </c>
      <c r="E357" s="85">
        <f t="shared" si="45"/>
        <v>61.115022130941504</v>
      </c>
      <c r="F357" s="85">
        <f t="shared" si="49"/>
        <v>-0.40343324285628507</v>
      </c>
      <c r="G357" s="85">
        <f t="shared" si="49"/>
        <v>1.0666583586141303</v>
      </c>
      <c r="H357" s="85">
        <f t="shared" si="50"/>
        <v>0.48305283241469255</v>
      </c>
      <c r="I357" s="85">
        <f t="shared" si="46"/>
        <v>0.7533910120499276</v>
      </c>
      <c r="J357" s="85">
        <f t="shared" si="51"/>
        <v>1.5596451598966186</v>
      </c>
      <c r="K357" s="21">
        <v>1.61</v>
      </c>
      <c r="L357" s="4">
        <f t="shared" si="52"/>
        <v>2.511028707433556</v>
      </c>
      <c r="M357" s="2"/>
      <c r="N357" s="2"/>
    </row>
    <row r="358" spans="1:14" ht="12.75">
      <c r="A358" s="88">
        <v>39062</v>
      </c>
      <c r="B358" s="2">
        <f t="shared" si="53"/>
        <v>345</v>
      </c>
      <c r="C358" s="2">
        <f t="shared" si="47"/>
        <v>265</v>
      </c>
      <c r="D358" s="85">
        <f t="shared" si="48"/>
        <v>-23.179562212766584</v>
      </c>
      <c r="E358" s="85">
        <f t="shared" si="45"/>
        <v>61.179562212766584</v>
      </c>
      <c r="F358" s="85">
        <f t="shared" si="49"/>
        <v>-0.40455967978363927</v>
      </c>
      <c r="G358" s="85">
        <f t="shared" si="49"/>
        <v>1.0677847955414845</v>
      </c>
      <c r="H358" s="85">
        <f t="shared" si="50"/>
        <v>0.4820662278916647</v>
      </c>
      <c r="I358" s="85">
        <f t="shared" si="46"/>
        <v>0.7526498199520766</v>
      </c>
      <c r="J358" s="85">
        <f t="shared" si="51"/>
        <v>1.561299623173811</v>
      </c>
      <c r="K358" s="21">
        <v>1.37</v>
      </c>
      <c r="L358" s="4">
        <f t="shared" si="52"/>
        <v>2.138980483748121</v>
      </c>
      <c r="M358" s="2"/>
      <c r="N358" s="2"/>
    </row>
    <row r="359" spans="1:14" ht="12.75">
      <c r="A359" s="88">
        <v>39063</v>
      </c>
      <c r="B359" s="2">
        <f t="shared" si="53"/>
        <v>346</v>
      </c>
      <c r="C359" s="2">
        <f t="shared" si="47"/>
        <v>266</v>
      </c>
      <c r="D359" s="85">
        <f t="shared" si="48"/>
        <v>-23.237237886787785</v>
      </c>
      <c r="E359" s="85">
        <f t="shared" si="45"/>
        <v>61.23723788678778</v>
      </c>
      <c r="F359" s="85">
        <f t="shared" si="49"/>
        <v>-0.4055663101936162</v>
      </c>
      <c r="G359" s="85">
        <f t="shared" si="49"/>
        <v>1.0687914259514613</v>
      </c>
      <c r="H359" s="85">
        <f t="shared" si="50"/>
        <v>0.4811840398882975</v>
      </c>
      <c r="I359" s="85">
        <f t="shared" si="46"/>
        <v>0.7519866521040717</v>
      </c>
      <c r="J359" s="85">
        <f t="shared" si="51"/>
        <v>1.5627838618226793</v>
      </c>
      <c r="K359" s="21">
        <v>1.23</v>
      </c>
      <c r="L359" s="4">
        <f t="shared" si="52"/>
        <v>1.9222241500418955</v>
      </c>
      <c r="M359" s="2"/>
      <c r="N359" s="2"/>
    </row>
    <row r="360" spans="1:14" ht="12.75">
      <c r="A360" s="88">
        <v>39064</v>
      </c>
      <c r="B360" s="2">
        <f t="shared" si="53"/>
        <v>347</v>
      </c>
      <c r="C360" s="2">
        <f t="shared" si="47"/>
        <v>267</v>
      </c>
      <c r="D360" s="85">
        <f t="shared" si="48"/>
        <v>-23.288032072900528</v>
      </c>
      <c r="E360" s="85">
        <f t="shared" si="45"/>
        <v>61.28803207290053</v>
      </c>
      <c r="F360" s="85">
        <f t="shared" si="49"/>
        <v>-0.4064528359821543</v>
      </c>
      <c r="G360" s="85">
        <f t="shared" si="49"/>
        <v>1.0696779517399995</v>
      </c>
      <c r="H360" s="85">
        <f t="shared" si="50"/>
        <v>0.4804067050216625</v>
      </c>
      <c r="I360" s="85">
        <f t="shared" si="46"/>
        <v>0.7514019780852721</v>
      </c>
      <c r="J360" s="85">
        <f t="shared" si="51"/>
        <v>1.564095526209173</v>
      </c>
      <c r="K360" s="21">
        <v>0.75</v>
      </c>
      <c r="L360" s="4">
        <f t="shared" si="52"/>
        <v>1.1730716446568796</v>
      </c>
      <c r="M360" s="2"/>
      <c r="N360" s="2"/>
    </row>
    <row r="361" spans="1:14" ht="12.75">
      <c r="A361" s="88">
        <v>39065</v>
      </c>
      <c r="B361" s="2">
        <f t="shared" si="53"/>
        <v>348</v>
      </c>
      <c r="C361" s="2">
        <f t="shared" si="47"/>
        <v>268</v>
      </c>
      <c r="D361" s="85">
        <f t="shared" si="48"/>
        <v>-23.331929728887697</v>
      </c>
      <c r="E361" s="85">
        <f t="shared" si="45"/>
        <v>61.3319297288877</v>
      </c>
      <c r="F361" s="85">
        <f t="shared" si="49"/>
        <v>-0.40721899461303823</v>
      </c>
      <c r="G361" s="85">
        <f t="shared" si="49"/>
        <v>1.0704441103708835</v>
      </c>
      <c r="H361" s="85">
        <f t="shared" si="50"/>
        <v>0.47973460785163224</v>
      </c>
      <c r="I361" s="85">
        <f t="shared" si="46"/>
        <v>0.7508962118639066</v>
      </c>
      <c r="J361" s="85">
        <f t="shared" si="51"/>
        <v>1.5652325255970208</v>
      </c>
      <c r="K361" s="21">
        <v>1.75</v>
      </c>
      <c r="L361" s="4">
        <f t="shared" si="52"/>
        <v>2.7391569197947865</v>
      </c>
      <c r="M361" s="2"/>
      <c r="N361" s="2"/>
    </row>
    <row r="362" spans="1:14" ht="12.75">
      <c r="A362" s="88">
        <v>39066</v>
      </c>
      <c r="B362" s="2">
        <f t="shared" si="53"/>
        <v>349</v>
      </c>
      <c r="C362" s="2">
        <f t="shared" si="47"/>
        <v>269</v>
      </c>
      <c r="D362" s="85">
        <f t="shared" si="48"/>
        <v>-23.368917854874248</v>
      </c>
      <c r="E362" s="85">
        <f t="shared" si="45"/>
        <v>61.36891785487425</v>
      </c>
      <c r="F362" s="85">
        <f t="shared" si="49"/>
        <v>-0.407864559195646</v>
      </c>
      <c r="G362" s="85">
        <f t="shared" si="49"/>
        <v>1.0710896749534913</v>
      </c>
      <c r="H362" s="85">
        <f t="shared" si="50"/>
        <v>0.479168080751313</v>
      </c>
      <c r="I362" s="85">
        <f t="shared" si="46"/>
        <v>0.7504697115146177</v>
      </c>
      <c r="J362" s="85">
        <f t="shared" si="51"/>
        <v>1.566193036768886</v>
      </c>
      <c r="K362" s="21">
        <v>1.18</v>
      </c>
      <c r="L362" s="4">
        <f t="shared" si="52"/>
        <v>1.8481077833872854</v>
      </c>
      <c r="M362" s="2"/>
      <c r="N362" s="2"/>
    </row>
    <row r="363" spans="1:14" ht="12.75">
      <c r="A363" s="88">
        <v>39067</v>
      </c>
      <c r="B363" s="2">
        <f t="shared" si="53"/>
        <v>350</v>
      </c>
      <c r="C363" s="2">
        <f t="shared" si="47"/>
        <v>270</v>
      </c>
      <c r="D363" s="85">
        <f t="shared" si="48"/>
        <v>-23.398985497176998</v>
      </c>
      <c r="E363" s="85">
        <f t="shared" si="45"/>
        <v>61.398985497176994</v>
      </c>
      <c r="F363" s="85">
        <f t="shared" si="49"/>
        <v>-0.40838933855214093</v>
      </c>
      <c r="G363" s="85">
        <f t="shared" si="49"/>
        <v>1.0716144543099861</v>
      </c>
      <c r="H363" s="85">
        <f t="shared" si="50"/>
        <v>0.47870740379608206</v>
      </c>
      <c r="I363" s="85">
        <f t="shared" si="46"/>
        <v>0.750122778974895</v>
      </c>
      <c r="J363" s="85">
        <f t="shared" si="51"/>
        <v>1.5669755116100719</v>
      </c>
      <c r="K363" s="21">
        <v>0.43</v>
      </c>
      <c r="L363" s="4">
        <f t="shared" si="52"/>
        <v>0.6737994699923309</v>
      </c>
      <c r="M363" s="2"/>
      <c r="N363" s="2"/>
    </row>
    <row r="364" spans="1:14" ht="12.75">
      <c r="A364" s="88">
        <v>39068</v>
      </c>
      <c r="B364" s="2">
        <f t="shared" si="53"/>
        <v>351</v>
      </c>
      <c r="C364" s="2">
        <f t="shared" si="47"/>
        <v>271</v>
      </c>
      <c r="D364" s="85">
        <f t="shared" si="48"/>
        <v>-23.422123751548476</v>
      </c>
      <c r="E364" s="85">
        <f t="shared" si="45"/>
        <v>61.422123751548476</v>
      </c>
      <c r="F364" s="85">
        <f t="shared" si="49"/>
        <v>-0.4087931772740872</v>
      </c>
      <c r="G364" s="85">
        <f t="shared" si="49"/>
        <v>1.0720182930319324</v>
      </c>
      <c r="H364" s="85">
        <f t="shared" si="50"/>
        <v>0.47835280467082214</v>
      </c>
      <c r="I364" s="85">
        <f t="shared" si="46"/>
        <v>0.7498556598402383</v>
      </c>
      <c r="J364" s="85">
        <f t="shared" si="51"/>
        <v>1.5675786835957835</v>
      </c>
      <c r="K364" s="21">
        <v>0.69</v>
      </c>
      <c r="L364" s="4">
        <f t="shared" si="52"/>
        <v>1.0816292916810906</v>
      </c>
      <c r="M364" s="2"/>
      <c r="N364" s="2"/>
    </row>
    <row r="365" spans="1:14" ht="12.75">
      <c r="A365" s="88">
        <v>39069</v>
      </c>
      <c r="B365" s="2">
        <f t="shared" si="53"/>
        <v>352</v>
      </c>
      <c r="C365" s="2">
        <f t="shared" si="47"/>
        <v>272</v>
      </c>
      <c r="D365" s="85">
        <f t="shared" si="48"/>
        <v>-23.438325765813794</v>
      </c>
      <c r="E365" s="85">
        <f t="shared" si="45"/>
        <v>61.438325765813794</v>
      </c>
      <c r="F365" s="85">
        <f t="shared" si="49"/>
        <v>-0.4090759557684721</v>
      </c>
      <c r="G365" s="85">
        <f t="shared" si="49"/>
        <v>1.0723010715263173</v>
      </c>
      <c r="H365" s="85">
        <f t="shared" si="50"/>
        <v>0.478104458595008</v>
      </c>
      <c r="I365" s="85">
        <f t="shared" si="46"/>
        <v>0.74966854319791</v>
      </c>
      <c r="J365" s="85">
        <f t="shared" si="51"/>
        <v>1.568001573130984</v>
      </c>
      <c r="K365" s="21">
        <v>0.77</v>
      </c>
      <c r="L365" s="4">
        <f t="shared" si="52"/>
        <v>1.2073612113108576</v>
      </c>
      <c r="M365" s="2"/>
      <c r="N365" s="2"/>
    </row>
    <row r="366" spans="1:14" ht="12.75">
      <c r="A366" s="88">
        <v>39070</v>
      </c>
      <c r="B366" s="2">
        <f t="shared" si="53"/>
        <v>353</v>
      </c>
      <c r="C366" s="2">
        <f t="shared" si="47"/>
        <v>273</v>
      </c>
      <c r="D366" s="85">
        <f t="shared" si="48"/>
        <v>-23.447586741899883</v>
      </c>
      <c r="E366" s="85">
        <f t="shared" si="45"/>
        <v>61.44758674189988</v>
      </c>
      <c r="F366" s="85">
        <f t="shared" si="49"/>
        <v>-0.40923759029312284</v>
      </c>
      <c r="G366" s="85">
        <f t="shared" si="49"/>
        <v>1.072462706050968</v>
      </c>
      <c r="H366" s="85">
        <f t="shared" si="50"/>
        <v>0.47796248826535953</v>
      </c>
      <c r="I366" s="85">
        <f t="shared" si="46"/>
        <v>0.7495615614991646</v>
      </c>
      <c r="J366" s="85">
        <f t="shared" si="51"/>
        <v>1.5682434917005794</v>
      </c>
      <c r="K366" s="21">
        <v>0.69</v>
      </c>
      <c r="L366" s="4">
        <f t="shared" si="52"/>
        <v>1.0820880092733998</v>
      </c>
      <c r="M366" s="2"/>
      <c r="N366" s="2"/>
    </row>
    <row r="367" spans="1:14" ht="12.75">
      <c r="A367" s="88">
        <v>39071</v>
      </c>
      <c r="B367" s="2">
        <f t="shared" si="53"/>
        <v>354</v>
      </c>
      <c r="C367" s="2">
        <f t="shared" si="47"/>
        <v>274</v>
      </c>
      <c r="D367" s="85">
        <f t="shared" si="48"/>
        <v>-23.449903937256398</v>
      </c>
      <c r="E367" s="85">
        <f t="shared" si="45"/>
        <v>61.449903937256394</v>
      </c>
      <c r="F367" s="85">
        <f t="shared" si="49"/>
        <v>-0.40927803298150595</v>
      </c>
      <c r="G367" s="85">
        <f t="shared" si="49"/>
        <v>1.072503148739351</v>
      </c>
      <c r="H367" s="85">
        <f t="shared" si="50"/>
        <v>0.47792696381584326</v>
      </c>
      <c r="I367" s="85">
        <f t="shared" si="46"/>
        <v>0.7495347904698653</v>
      </c>
      <c r="J367" s="85">
        <f t="shared" si="51"/>
        <v>1.568304044796851</v>
      </c>
      <c r="K367" s="21">
        <v>0.16</v>
      </c>
      <c r="L367" s="4">
        <f t="shared" si="52"/>
        <v>0.2509286471674962</v>
      </c>
      <c r="M367" s="2"/>
      <c r="N367" s="2"/>
    </row>
    <row r="368" spans="1:14" ht="12.75">
      <c r="A368" s="88">
        <v>39072</v>
      </c>
      <c r="B368" s="2">
        <f t="shared" si="53"/>
        <v>355</v>
      </c>
      <c r="C368" s="2">
        <f t="shared" si="47"/>
        <v>275</v>
      </c>
      <c r="D368" s="85">
        <f t="shared" si="48"/>
        <v>-23.44527666566788</v>
      </c>
      <c r="E368" s="85">
        <f t="shared" si="45"/>
        <v>61.445276665667876</v>
      </c>
      <c r="F368" s="85">
        <f t="shared" si="49"/>
        <v>-0.4091972718569023</v>
      </c>
      <c r="G368" s="85">
        <f t="shared" si="49"/>
        <v>1.0724223876147474</v>
      </c>
      <c r="H368" s="85">
        <f t="shared" si="50"/>
        <v>0.477997902794868</v>
      </c>
      <c r="I368" s="85">
        <f t="shared" si="46"/>
        <v>0.7495882490594235</v>
      </c>
      <c r="J368" s="85">
        <f t="shared" si="51"/>
        <v>1.5681831336007095</v>
      </c>
      <c r="K368" s="21">
        <v>0.62</v>
      </c>
      <c r="L368" s="4">
        <f t="shared" si="52"/>
        <v>0.9722735428324398</v>
      </c>
      <c r="M368" s="2"/>
      <c r="N368" s="2"/>
    </row>
    <row r="369" spans="1:14" ht="12.75">
      <c r="A369" s="88">
        <v>39073</v>
      </c>
      <c r="B369" s="2">
        <f t="shared" si="53"/>
        <v>356</v>
      </c>
      <c r="C369" s="2">
        <f t="shared" si="47"/>
        <v>276</v>
      </c>
      <c r="D369" s="85">
        <f t="shared" si="48"/>
        <v>-23.433706297456983</v>
      </c>
      <c r="E369" s="85">
        <f t="shared" si="45"/>
        <v>61.43370629745698</v>
      </c>
      <c r="F369" s="85">
        <f t="shared" si="49"/>
        <v>-0.4089953308359541</v>
      </c>
      <c r="G369" s="85">
        <f t="shared" si="49"/>
        <v>1.0722204465937992</v>
      </c>
      <c r="H369" s="85">
        <f t="shared" si="50"/>
        <v>0.47817527015958544</v>
      </c>
      <c r="I369" s="85">
        <f t="shared" si="46"/>
        <v>0.749721899428027</v>
      </c>
      <c r="J369" s="85">
        <f t="shared" si="51"/>
        <v>1.5678809554032689</v>
      </c>
      <c r="K369" s="21">
        <v>0.4</v>
      </c>
      <c r="L369" s="4">
        <f t="shared" si="52"/>
        <v>0.6271523821613076</v>
      </c>
      <c r="M369" s="2"/>
      <c r="N369" s="2"/>
    </row>
    <row r="370" spans="1:14" ht="12.75">
      <c r="A370" s="88">
        <v>39074</v>
      </c>
      <c r="B370" s="2">
        <f t="shared" si="53"/>
        <v>357</v>
      </c>
      <c r="C370" s="2">
        <f t="shared" si="47"/>
        <v>277</v>
      </c>
      <c r="D370" s="85">
        <f t="shared" si="48"/>
        <v>-23.41519625907866</v>
      </c>
      <c r="E370" s="85">
        <f t="shared" si="45"/>
        <v>61.415196259078655</v>
      </c>
      <c r="F370" s="85">
        <f t="shared" si="49"/>
        <v>-0.40867226972158177</v>
      </c>
      <c r="G370" s="85">
        <f t="shared" si="49"/>
        <v>1.071897385479427</v>
      </c>
      <c r="H370" s="85">
        <f t="shared" si="50"/>
        <v>0.47845897828727435</v>
      </c>
      <c r="I370" s="85">
        <f t="shared" si="46"/>
        <v>0.749935646972147</v>
      </c>
      <c r="J370" s="85">
        <f t="shared" si="51"/>
        <v>1.5673980027643535</v>
      </c>
      <c r="K370" s="21">
        <v>0.72</v>
      </c>
      <c r="L370" s="4">
        <f t="shared" si="52"/>
        <v>1.1285265619903344</v>
      </c>
      <c r="M370" s="2"/>
      <c r="N370" s="2"/>
    </row>
    <row r="371" spans="1:14" ht="12.75">
      <c r="A371" s="88">
        <v>39075</v>
      </c>
      <c r="B371" s="2">
        <f t="shared" si="53"/>
        <v>358</v>
      </c>
      <c r="C371" s="2">
        <f t="shared" si="47"/>
        <v>278</v>
      </c>
      <c r="D371" s="85">
        <f t="shared" si="48"/>
        <v>-23.38975203210546</v>
      </c>
      <c r="E371" s="85">
        <f t="shared" si="45"/>
        <v>61.38975203210546</v>
      </c>
      <c r="F371" s="85">
        <f t="shared" si="49"/>
        <v>-0.40822818418527473</v>
      </c>
      <c r="G371" s="85">
        <f t="shared" si="49"/>
        <v>1.07145329994312</v>
      </c>
      <c r="H371" s="85">
        <f t="shared" si="50"/>
        <v>0.4788488870038504</v>
      </c>
      <c r="I371" s="85">
        <f t="shared" si="46"/>
        <v>0.7502293403883398</v>
      </c>
      <c r="J371" s="85">
        <f t="shared" si="51"/>
        <v>1.566735061414703</v>
      </c>
      <c r="K371" s="21">
        <v>1.16</v>
      </c>
      <c r="L371" s="4">
        <f t="shared" si="52"/>
        <v>1.8174126712410554</v>
      </c>
      <c r="M371" s="2"/>
      <c r="N371" s="2"/>
    </row>
    <row r="372" spans="1:14" ht="12.75">
      <c r="A372" s="88">
        <v>39076</v>
      </c>
      <c r="B372" s="2">
        <f t="shared" si="53"/>
        <v>359</v>
      </c>
      <c r="C372" s="2">
        <f t="shared" si="47"/>
        <v>279</v>
      </c>
      <c r="D372" s="85">
        <f t="shared" si="48"/>
        <v>-23.35738115160421</v>
      </c>
      <c r="E372" s="85">
        <f t="shared" si="45"/>
        <v>61.35738115160421</v>
      </c>
      <c r="F372" s="85">
        <f t="shared" si="49"/>
        <v>-0.40766320573875825</v>
      </c>
      <c r="G372" s="85">
        <f t="shared" si="49"/>
        <v>1.0708883214966034</v>
      </c>
      <c r="H372" s="85">
        <f t="shared" si="50"/>
        <v>0.4793448036296175</v>
      </c>
      <c r="I372" s="85">
        <f t="shared" si="46"/>
        <v>0.7506027717753944</v>
      </c>
      <c r="J372" s="85">
        <f t="shared" si="51"/>
        <v>1.565893206918696</v>
      </c>
      <c r="K372" s="21">
        <v>0.6</v>
      </c>
      <c r="L372" s="4">
        <f t="shared" si="52"/>
        <v>0.9395359241512176</v>
      </c>
      <c r="M372" s="2"/>
      <c r="N372" s="2"/>
    </row>
    <row r="373" spans="1:14" ht="12.75">
      <c r="A373" s="88">
        <v>39077</v>
      </c>
      <c r="B373" s="2">
        <f t="shared" si="53"/>
        <v>360</v>
      </c>
      <c r="C373" s="2">
        <f t="shared" si="47"/>
        <v>280</v>
      </c>
      <c r="D373" s="85">
        <f t="shared" si="48"/>
        <v>-23.318093203904564</v>
      </c>
      <c r="E373" s="85">
        <f t="shared" si="45"/>
        <v>61.31809320390457</v>
      </c>
      <c r="F373" s="85">
        <f t="shared" si="49"/>
        <v>-0.4069775016950481</v>
      </c>
      <c r="G373" s="85">
        <f t="shared" si="49"/>
        <v>1.0702026174528934</v>
      </c>
      <c r="H373" s="85">
        <f t="shared" si="50"/>
        <v>0.4799464830424276</v>
      </c>
      <c r="I373" s="85">
        <f t="shared" si="46"/>
        <v>0.7510556767748882</v>
      </c>
      <c r="J373" s="85">
        <f t="shared" si="51"/>
        <v>1.5648738001242823</v>
      </c>
      <c r="K373" s="21">
        <v>0.56</v>
      </c>
      <c r="L373" s="4">
        <f t="shared" si="52"/>
        <v>0.8763293280695982</v>
      </c>
      <c r="M373" s="2"/>
      <c r="N373" s="2"/>
    </row>
    <row r="374" spans="1:14" ht="12.75">
      <c r="A374" s="88">
        <v>39078</v>
      </c>
      <c r="B374" s="2">
        <f t="shared" si="53"/>
        <v>361</v>
      </c>
      <c r="C374" s="2">
        <f t="shared" si="47"/>
        <v>281</v>
      </c>
      <c r="D374" s="85">
        <f t="shared" si="48"/>
        <v>-23.271899823760116</v>
      </c>
      <c r="E374" s="85">
        <f t="shared" si="45"/>
        <v>61.271899823760116</v>
      </c>
      <c r="F374" s="85">
        <f t="shared" si="49"/>
        <v>-0.4061712751189021</v>
      </c>
      <c r="G374" s="85">
        <f t="shared" si="49"/>
        <v>1.0693963908767474</v>
      </c>
      <c r="H374" s="85">
        <f t="shared" si="50"/>
        <v>0.4806536277585015</v>
      </c>
      <c r="I374" s="85">
        <f t="shared" si="46"/>
        <v>0.7515877347502609</v>
      </c>
      <c r="J374" s="85">
        <f t="shared" si="51"/>
        <v>1.5636784814362972</v>
      </c>
      <c r="K374" s="21">
        <v>0.32</v>
      </c>
      <c r="L374" s="4">
        <f t="shared" si="52"/>
        <v>0.5003771140596152</v>
      </c>
      <c r="M374" s="2"/>
      <c r="N374" s="2"/>
    </row>
    <row r="375" spans="1:14" ht="12.75">
      <c r="A375" s="88">
        <v>39079</v>
      </c>
      <c r="B375" s="2">
        <f t="shared" si="53"/>
        <v>362</v>
      </c>
      <c r="C375" s="2">
        <f t="shared" si="47"/>
        <v>282</v>
      </c>
      <c r="D375" s="85">
        <f t="shared" si="48"/>
        <v>-23.218814690902878</v>
      </c>
      <c r="E375" s="85">
        <f t="shared" si="45"/>
        <v>61.218814690902875</v>
      </c>
      <c r="F375" s="85">
        <f t="shared" si="49"/>
        <v>-0.4052447647666847</v>
      </c>
      <c r="G375" s="85">
        <f t="shared" si="49"/>
        <v>1.0684698805245298</v>
      </c>
      <c r="H375" s="85">
        <f t="shared" si="50"/>
        <v>0.48146588803120444</v>
      </c>
      <c r="I375" s="85">
        <f t="shared" si="46"/>
        <v>0.7521985690045165</v>
      </c>
      <c r="J375" s="85">
        <f t="shared" si="51"/>
        <v>1.5623091639583935</v>
      </c>
      <c r="K375" s="21">
        <v>0</v>
      </c>
      <c r="L375" s="4">
        <f t="shared" si="52"/>
        <v>0</v>
      </c>
      <c r="M375" s="2"/>
      <c r="N375" s="2"/>
    </row>
    <row r="376" spans="1:14" ht="12.75">
      <c r="A376" s="88">
        <v>39080</v>
      </c>
      <c r="B376" s="2">
        <f t="shared" si="53"/>
        <v>363</v>
      </c>
      <c r="C376" s="2">
        <f t="shared" si="47"/>
        <v>283</v>
      </c>
      <c r="D376" s="85">
        <f t="shared" si="48"/>
        <v>-23.158853525992154</v>
      </c>
      <c r="E376" s="85">
        <f t="shared" si="45"/>
        <v>61.15885352599216</v>
      </c>
      <c r="F376" s="85">
        <f t="shared" si="49"/>
        <v>-0.40419824501566126</v>
      </c>
      <c r="G376" s="85">
        <f t="shared" si="49"/>
        <v>1.0674233607735066</v>
      </c>
      <c r="H376" s="85">
        <f t="shared" si="50"/>
        <v>0.4823828619681493</v>
      </c>
      <c r="I376" s="85">
        <f t="shared" si="46"/>
        <v>0.7528877470367081</v>
      </c>
      <c r="J376" s="85">
        <f t="shared" si="51"/>
        <v>1.5607680255573004</v>
      </c>
      <c r="K376" s="21">
        <v>0.13</v>
      </c>
      <c r="L376" s="4">
        <f t="shared" si="52"/>
        <v>0.20289984332244906</v>
      </c>
      <c r="M376" s="2"/>
      <c r="N376" s="2"/>
    </row>
    <row r="377" spans="1:14" ht="12.75">
      <c r="A377" s="88">
        <v>39081</v>
      </c>
      <c r="B377" s="2">
        <f t="shared" si="53"/>
        <v>364</v>
      </c>
      <c r="C377" s="2">
        <f t="shared" si="47"/>
        <v>284</v>
      </c>
      <c r="D377" s="85">
        <f t="shared" si="48"/>
        <v>-23.092034085959003</v>
      </c>
      <c r="E377" s="85">
        <f t="shared" si="45"/>
        <v>61.092034085959</v>
      </c>
      <c r="F377" s="85">
        <f t="shared" si="49"/>
        <v>-0.4030320257827439</v>
      </c>
      <c r="G377" s="85">
        <f t="shared" si="49"/>
        <v>1.066257141540589</v>
      </c>
      <c r="H377" s="85">
        <f t="shared" si="50"/>
        <v>0.4834040956670545</v>
      </c>
      <c r="I377" s="85">
        <f t="shared" si="46"/>
        <v>0.7536547808373713</v>
      </c>
      <c r="J377" s="85">
        <f t="shared" si="51"/>
        <v>1.5590574999109077</v>
      </c>
      <c r="K377" s="21">
        <v>0</v>
      </c>
      <c r="L377" s="4">
        <f t="shared" si="52"/>
        <v>0</v>
      </c>
      <c r="M377" s="2"/>
      <c r="N377" s="2"/>
    </row>
    <row r="378" spans="1:14" ht="12.75">
      <c r="A378" s="88">
        <v>39082</v>
      </c>
      <c r="B378" s="2">
        <f t="shared" si="53"/>
        <v>365</v>
      </c>
      <c r="C378" s="2">
        <f t="shared" si="47"/>
        <v>285</v>
      </c>
      <c r="D378" s="85">
        <f t="shared" si="48"/>
        <v>-23.018376158747717</v>
      </c>
      <c r="E378" s="85">
        <f t="shared" si="45"/>
        <v>61.018376158747714</v>
      </c>
      <c r="F378" s="85">
        <f t="shared" si="49"/>
        <v>-0.4017464524327126</v>
      </c>
      <c r="G378" s="85">
        <f t="shared" si="49"/>
        <v>1.0649715681905578</v>
      </c>
      <c r="H378" s="85">
        <f t="shared" si="50"/>
        <v>0.48452908337083533</v>
      </c>
      <c r="I378" s="85">
        <f t="shared" si="46"/>
        <v>0.7544991272230885</v>
      </c>
      <c r="J378" s="85">
        <f t="shared" si="51"/>
        <v>1.5571802666087458</v>
      </c>
      <c r="K378" s="21">
        <v>0.18</v>
      </c>
      <c r="L378" s="4">
        <f t="shared" si="52"/>
        <v>0.2802924479895742</v>
      </c>
      <c r="M378" s="2"/>
      <c r="N378" s="2"/>
    </row>
  </sheetData>
  <sheetProtection sheet="1" objects="1" scenarios="1"/>
  <protectedRanges>
    <protectedRange sqref="K14:L378" name="Range2"/>
    <protectedRange sqref="C9:C11" name="Range1"/>
  </protectedRange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2"/>
  <sheetViews>
    <sheetView workbookViewId="0" topLeftCell="A1">
      <pane ySplit="6615" topLeftCell="BM365" activePane="topLeft" state="split"/>
      <selection pane="topLeft" activeCell="A1" sqref="A1"/>
      <selection pane="bottomLeft" activeCell="K369" sqref="K369"/>
    </sheetView>
  </sheetViews>
  <sheetFormatPr defaultColWidth="9.140625" defaultRowHeight="12.75"/>
  <cols>
    <col min="1" max="1" width="6.7109375" style="0" customWidth="1"/>
    <col min="2" max="3" width="13.00390625" style="0" customWidth="1"/>
    <col min="4" max="6" width="8.8515625" style="0" customWidth="1"/>
    <col min="7" max="7" width="10.57421875" style="0" customWidth="1"/>
    <col min="8" max="8" width="10.7109375" style="0" customWidth="1"/>
    <col min="9" max="16384" width="8.8515625" style="0" customWidth="1"/>
  </cols>
  <sheetData>
    <row r="1" ht="12.75">
      <c r="A1" s="53" t="s">
        <v>119</v>
      </c>
    </row>
    <row r="2" spans="2:3" ht="12.75">
      <c r="B2" s="3"/>
      <c r="C2" s="3"/>
    </row>
    <row r="3" spans="2:3" ht="12.75">
      <c r="B3" s="2"/>
      <c r="C3" s="2"/>
    </row>
    <row r="4" spans="1:6" ht="12.75">
      <c r="A4" s="54" t="s">
        <v>30</v>
      </c>
      <c r="E4" s="54" t="s">
        <v>31</v>
      </c>
      <c r="F4" s="54"/>
    </row>
    <row r="5" spans="1:6" ht="12.75">
      <c r="A5" s="3"/>
      <c r="B5" s="3" t="s">
        <v>32</v>
      </c>
      <c r="C5" s="3" t="s">
        <v>33</v>
      </c>
      <c r="E5" s="54" t="s">
        <v>34</v>
      </c>
      <c r="F5" s="54"/>
    </row>
    <row r="6" spans="1:6" ht="12.75">
      <c r="A6" s="3"/>
      <c r="B6" s="97">
        <v>4</v>
      </c>
      <c r="C6" s="97">
        <v>4</v>
      </c>
      <c r="E6" s="54" t="s">
        <v>0</v>
      </c>
      <c r="F6" s="54"/>
    </row>
    <row r="7" spans="1:8" ht="12.75">
      <c r="A7" s="3"/>
      <c r="B7" s="2"/>
      <c r="C7" s="2"/>
      <c r="E7" s="2" t="s">
        <v>60</v>
      </c>
      <c r="F7" s="2" t="s">
        <v>7</v>
      </c>
      <c r="G7" s="2" t="s">
        <v>1328</v>
      </c>
      <c r="H7" s="2" t="s">
        <v>1327</v>
      </c>
    </row>
    <row r="8" spans="1:8" ht="12.75">
      <c r="A8" s="3"/>
      <c r="B8" s="2"/>
      <c r="C8" s="2"/>
      <c r="E8" s="88">
        <v>37257</v>
      </c>
      <c r="F8" s="19">
        <v>1</v>
      </c>
      <c r="G8" s="55">
        <v>0</v>
      </c>
      <c r="H8" s="96">
        <f>(G8*(1/(($B$6*$C$6)*0.0929))*3.785)</f>
        <v>0</v>
      </c>
    </row>
    <row r="9" spans="5:8" ht="12.75">
      <c r="E9" s="88">
        <v>37258</v>
      </c>
      <c r="F9" s="19">
        <v>2</v>
      </c>
      <c r="G9" s="55">
        <v>0</v>
      </c>
      <c r="H9" s="96">
        <f aca="true" t="shared" si="0" ref="H9:H72">(G9*(1/(($B$6*$C$6)*0.0929))*3.785)</f>
        <v>0</v>
      </c>
    </row>
    <row r="10" spans="5:8" ht="12.75">
      <c r="E10" s="88">
        <v>37259</v>
      </c>
      <c r="F10" s="19">
        <v>3</v>
      </c>
      <c r="G10" s="55">
        <v>0</v>
      </c>
      <c r="H10" s="96">
        <f t="shared" si="0"/>
        <v>0</v>
      </c>
    </row>
    <row r="11" spans="5:8" ht="12.75">
      <c r="E11" s="88">
        <v>37260</v>
      </c>
      <c r="F11" s="19">
        <v>4</v>
      </c>
      <c r="G11" s="55">
        <v>0</v>
      </c>
      <c r="H11" s="96">
        <f t="shared" si="0"/>
        <v>0</v>
      </c>
    </row>
    <row r="12" spans="5:8" ht="12.75">
      <c r="E12" s="88">
        <v>37261</v>
      </c>
      <c r="F12" s="19">
        <v>5</v>
      </c>
      <c r="G12" s="55">
        <v>0</v>
      </c>
      <c r="H12" s="96">
        <f t="shared" si="0"/>
        <v>0</v>
      </c>
    </row>
    <row r="13" spans="5:8" ht="12.75">
      <c r="E13" s="88">
        <v>37262</v>
      </c>
      <c r="F13" s="19">
        <v>6</v>
      </c>
      <c r="G13" s="55">
        <v>0</v>
      </c>
      <c r="H13" s="96">
        <f t="shared" si="0"/>
        <v>0</v>
      </c>
    </row>
    <row r="14" spans="5:8" ht="12.75">
      <c r="E14" s="88">
        <v>37263</v>
      </c>
      <c r="F14" s="19">
        <v>7</v>
      </c>
      <c r="G14" s="55">
        <v>0</v>
      </c>
      <c r="H14" s="96">
        <f t="shared" si="0"/>
        <v>0</v>
      </c>
    </row>
    <row r="15" spans="5:8" ht="12.75">
      <c r="E15" s="88">
        <v>37264</v>
      </c>
      <c r="F15" s="19">
        <v>8</v>
      </c>
      <c r="G15" s="55">
        <v>0</v>
      </c>
      <c r="H15" s="96">
        <f t="shared" si="0"/>
        <v>0</v>
      </c>
    </row>
    <row r="16" spans="5:8" ht="12.75">
      <c r="E16" s="88">
        <v>37265</v>
      </c>
      <c r="F16" s="19">
        <v>9</v>
      </c>
      <c r="G16" s="55">
        <v>0</v>
      </c>
      <c r="H16" s="96">
        <f t="shared" si="0"/>
        <v>0</v>
      </c>
    </row>
    <row r="17" spans="5:8" ht="12.75">
      <c r="E17" s="88">
        <v>37266</v>
      </c>
      <c r="F17" s="19">
        <v>10</v>
      </c>
      <c r="G17" s="55">
        <v>0</v>
      </c>
      <c r="H17" s="96">
        <f t="shared" si="0"/>
        <v>0</v>
      </c>
    </row>
    <row r="18" spans="5:8" ht="12.75">
      <c r="E18" s="88">
        <v>37267</v>
      </c>
      <c r="F18" s="19">
        <v>11</v>
      </c>
      <c r="G18" s="55">
        <v>0</v>
      </c>
      <c r="H18" s="96">
        <f t="shared" si="0"/>
        <v>0</v>
      </c>
    </row>
    <row r="19" spans="5:8" ht="12.75">
      <c r="E19" s="88">
        <v>37268</v>
      </c>
      <c r="F19" s="19">
        <v>12</v>
      </c>
      <c r="G19" s="55">
        <v>0</v>
      </c>
      <c r="H19" s="96">
        <f t="shared" si="0"/>
        <v>0</v>
      </c>
    </row>
    <row r="20" spans="5:8" ht="12.75">
      <c r="E20" s="88">
        <v>37269</v>
      </c>
      <c r="F20" s="19">
        <v>13</v>
      </c>
      <c r="G20" s="55">
        <v>0</v>
      </c>
      <c r="H20" s="96">
        <f t="shared" si="0"/>
        <v>0</v>
      </c>
    </row>
    <row r="21" spans="5:8" ht="12.75">
      <c r="E21" s="88">
        <v>37270</v>
      </c>
      <c r="F21" s="19">
        <v>14</v>
      </c>
      <c r="G21" s="55">
        <v>0</v>
      </c>
      <c r="H21" s="96">
        <f t="shared" si="0"/>
        <v>0</v>
      </c>
    </row>
    <row r="22" spans="5:8" ht="12.75">
      <c r="E22" s="88">
        <v>37271</v>
      </c>
      <c r="F22" s="19">
        <v>15</v>
      </c>
      <c r="G22" s="55">
        <v>0</v>
      </c>
      <c r="H22" s="96">
        <f t="shared" si="0"/>
        <v>0</v>
      </c>
    </row>
    <row r="23" spans="5:8" ht="12.75">
      <c r="E23" s="88">
        <v>37272</v>
      </c>
      <c r="F23" s="19">
        <v>16</v>
      </c>
      <c r="G23" s="55">
        <v>0</v>
      </c>
      <c r="H23" s="96">
        <f t="shared" si="0"/>
        <v>0</v>
      </c>
    </row>
    <row r="24" spans="5:8" ht="12.75">
      <c r="E24" s="88">
        <v>37273</v>
      </c>
      <c r="F24" s="19">
        <v>17</v>
      </c>
      <c r="G24" s="55">
        <v>0</v>
      </c>
      <c r="H24" s="96">
        <f t="shared" si="0"/>
        <v>0</v>
      </c>
    </row>
    <row r="25" spans="5:8" ht="12.75">
      <c r="E25" s="88">
        <v>37274</v>
      </c>
      <c r="F25" s="19">
        <v>18</v>
      </c>
      <c r="G25" s="55">
        <v>0</v>
      </c>
      <c r="H25" s="96">
        <f t="shared" si="0"/>
        <v>0</v>
      </c>
    </row>
    <row r="26" spans="5:8" ht="12.75">
      <c r="E26" s="88">
        <v>37275</v>
      </c>
      <c r="F26" s="19">
        <v>19</v>
      </c>
      <c r="G26" s="55">
        <v>0</v>
      </c>
      <c r="H26" s="96">
        <f t="shared" si="0"/>
        <v>0</v>
      </c>
    </row>
    <row r="27" spans="5:8" ht="12.75">
      <c r="E27" s="88">
        <v>37276</v>
      </c>
      <c r="F27" s="19">
        <v>20</v>
      </c>
      <c r="G27" s="55">
        <v>0</v>
      </c>
      <c r="H27" s="96">
        <f t="shared" si="0"/>
        <v>0</v>
      </c>
    </row>
    <row r="28" spans="5:8" ht="12.75">
      <c r="E28" s="88">
        <v>37277</v>
      </c>
      <c r="F28" s="19">
        <v>21</v>
      </c>
      <c r="G28" s="55">
        <v>0</v>
      </c>
      <c r="H28" s="96">
        <f t="shared" si="0"/>
        <v>0</v>
      </c>
    </row>
    <row r="29" spans="5:8" ht="12.75">
      <c r="E29" s="88">
        <v>37278</v>
      </c>
      <c r="F29" s="19">
        <v>22</v>
      </c>
      <c r="G29" s="55">
        <v>0</v>
      </c>
      <c r="H29" s="96">
        <f t="shared" si="0"/>
        <v>0</v>
      </c>
    </row>
    <row r="30" spans="5:8" ht="12.75">
      <c r="E30" s="88">
        <v>37279</v>
      </c>
      <c r="F30" s="19">
        <v>23</v>
      </c>
      <c r="G30" s="55">
        <v>0</v>
      </c>
      <c r="H30" s="96">
        <f t="shared" si="0"/>
        <v>0</v>
      </c>
    </row>
    <row r="31" spans="5:8" ht="12.75">
      <c r="E31" s="88">
        <v>37280</v>
      </c>
      <c r="F31" s="19">
        <v>24</v>
      </c>
      <c r="G31" s="55">
        <v>0</v>
      </c>
      <c r="H31" s="96">
        <f t="shared" si="0"/>
        <v>0</v>
      </c>
    </row>
    <row r="32" spans="5:8" ht="12.75">
      <c r="E32" s="88">
        <v>37281</v>
      </c>
      <c r="F32" s="19">
        <v>25</v>
      </c>
      <c r="G32" s="55">
        <v>0</v>
      </c>
      <c r="H32" s="96">
        <f t="shared" si="0"/>
        <v>0</v>
      </c>
    </row>
    <row r="33" spans="5:8" ht="12.75">
      <c r="E33" s="88">
        <v>37282</v>
      </c>
      <c r="F33" s="19">
        <v>26</v>
      </c>
      <c r="G33" s="55">
        <v>0</v>
      </c>
      <c r="H33" s="96">
        <f t="shared" si="0"/>
        <v>0</v>
      </c>
    </row>
    <row r="34" spans="5:8" ht="12.75">
      <c r="E34" s="88">
        <v>37283</v>
      </c>
      <c r="F34" s="19">
        <v>27</v>
      </c>
      <c r="G34" s="55">
        <v>0</v>
      </c>
      <c r="H34" s="96">
        <f t="shared" si="0"/>
        <v>0</v>
      </c>
    </row>
    <row r="35" spans="5:8" ht="12.75">
      <c r="E35" s="88">
        <v>37284</v>
      </c>
      <c r="F35" s="19">
        <v>28</v>
      </c>
      <c r="G35" s="55">
        <v>0</v>
      </c>
      <c r="H35" s="96">
        <f t="shared" si="0"/>
        <v>0</v>
      </c>
    </row>
    <row r="36" spans="5:8" ht="12.75">
      <c r="E36" s="88">
        <v>37285</v>
      </c>
      <c r="F36" s="19">
        <v>29</v>
      </c>
      <c r="G36" s="55">
        <v>0</v>
      </c>
      <c r="H36" s="96">
        <f t="shared" si="0"/>
        <v>0</v>
      </c>
    </row>
    <row r="37" spans="5:8" ht="12.75">
      <c r="E37" s="88">
        <v>37286</v>
      </c>
      <c r="F37" s="19">
        <v>30</v>
      </c>
      <c r="G37" s="55">
        <v>0</v>
      </c>
      <c r="H37" s="96">
        <f t="shared" si="0"/>
        <v>0</v>
      </c>
    </row>
    <row r="38" spans="5:8" ht="12.75">
      <c r="E38" s="88">
        <v>37287</v>
      </c>
      <c r="F38" s="19">
        <v>31</v>
      </c>
      <c r="G38" s="55">
        <v>0</v>
      </c>
      <c r="H38" s="96">
        <f t="shared" si="0"/>
        <v>0</v>
      </c>
    </row>
    <row r="39" spans="5:8" ht="12.75">
      <c r="E39" s="88">
        <v>37288</v>
      </c>
      <c r="F39" s="19">
        <v>32</v>
      </c>
      <c r="G39" s="55">
        <v>0</v>
      </c>
      <c r="H39" s="96">
        <f t="shared" si="0"/>
        <v>0</v>
      </c>
    </row>
    <row r="40" spans="5:8" ht="12.75">
      <c r="E40" s="88">
        <v>37289</v>
      </c>
      <c r="F40" s="19">
        <v>33</v>
      </c>
      <c r="G40" s="55">
        <v>0</v>
      </c>
      <c r="H40" s="96">
        <f t="shared" si="0"/>
        <v>0</v>
      </c>
    </row>
    <row r="41" spans="5:8" ht="12.75">
      <c r="E41" s="88">
        <v>37290</v>
      </c>
      <c r="F41" s="19">
        <v>34</v>
      </c>
      <c r="G41" s="55">
        <v>0</v>
      </c>
      <c r="H41" s="96">
        <f t="shared" si="0"/>
        <v>0</v>
      </c>
    </row>
    <row r="42" spans="5:8" ht="12.75">
      <c r="E42" s="88">
        <v>37291</v>
      </c>
      <c r="F42" s="19">
        <v>35</v>
      </c>
      <c r="G42" s="55">
        <v>0</v>
      </c>
      <c r="H42" s="96">
        <f t="shared" si="0"/>
        <v>0</v>
      </c>
    </row>
    <row r="43" spans="5:8" ht="12.75">
      <c r="E43" s="88">
        <v>37292</v>
      </c>
      <c r="F43" s="19">
        <v>36</v>
      </c>
      <c r="G43" s="55">
        <v>0</v>
      </c>
      <c r="H43" s="96">
        <f t="shared" si="0"/>
        <v>0</v>
      </c>
    </row>
    <row r="44" spans="5:8" ht="12.75">
      <c r="E44" s="88">
        <v>37293</v>
      </c>
      <c r="F44" s="19">
        <v>37</v>
      </c>
      <c r="G44" s="55">
        <v>0</v>
      </c>
      <c r="H44" s="96">
        <f t="shared" si="0"/>
        <v>0</v>
      </c>
    </row>
    <row r="45" spans="5:8" ht="12.75">
      <c r="E45" s="88">
        <v>37294</v>
      </c>
      <c r="F45" s="19">
        <v>38</v>
      </c>
      <c r="G45" s="55">
        <v>0</v>
      </c>
      <c r="H45" s="96">
        <f t="shared" si="0"/>
        <v>0</v>
      </c>
    </row>
    <row r="46" spans="5:8" ht="12.75">
      <c r="E46" s="88">
        <v>37295</v>
      </c>
      <c r="F46" s="19">
        <v>39</v>
      </c>
      <c r="G46" s="55">
        <v>0</v>
      </c>
      <c r="H46" s="96">
        <f t="shared" si="0"/>
        <v>0</v>
      </c>
    </row>
    <row r="47" spans="5:8" ht="12.75">
      <c r="E47" s="88">
        <v>37296</v>
      </c>
      <c r="F47" s="19">
        <v>40</v>
      </c>
      <c r="G47" s="55">
        <v>0</v>
      </c>
      <c r="H47" s="96">
        <f t="shared" si="0"/>
        <v>0</v>
      </c>
    </row>
    <row r="48" spans="5:8" ht="12.75">
      <c r="E48" s="88">
        <v>37297</v>
      </c>
      <c r="F48" s="19">
        <v>41</v>
      </c>
      <c r="G48" s="55">
        <v>0</v>
      </c>
      <c r="H48" s="96">
        <f t="shared" si="0"/>
        <v>0</v>
      </c>
    </row>
    <row r="49" spans="5:8" ht="12.75">
      <c r="E49" s="88">
        <v>37298</v>
      </c>
      <c r="F49" s="19">
        <v>42</v>
      </c>
      <c r="G49" s="55">
        <v>0</v>
      </c>
      <c r="H49" s="96">
        <f t="shared" si="0"/>
        <v>0</v>
      </c>
    </row>
    <row r="50" spans="5:8" ht="12.75">
      <c r="E50" s="88">
        <v>37299</v>
      </c>
      <c r="F50" s="19">
        <v>43</v>
      </c>
      <c r="G50" s="55">
        <v>0</v>
      </c>
      <c r="H50" s="96">
        <f t="shared" si="0"/>
        <v>0</v>
      </c>
    </row>
    <row r="51" spans="5:8" ht="12.75">
      <c r="E51" s="88">
        <v>37300</v>
      </c>
      <c r="F51" s="19">
        <v>44</v>
      </c>
      <c r="G51" s="55">
        <v>0</v>
      </c>
      <c r="H51" s="96">
        <f t="shared" si="0"/>
        <v>0</v>
      </c>
    </row>
    <row r="52" spans="5:8" ht="12.75">
      <c r="E52" s="88">
        <v>37301</v>
      </c>
      <c r="F52" s="19">
        <v>45</v>
      </c>
      <c r="G52" s="55">
        <v>0</v>
      </c>
      <c r="H52" s="96">
        <f t="shared" si="0"/>
        <v>0</v>
      </c>
    </row>
    <row r="53" spans="5:8" ht="12.75">
      <c r="E53" s="88">
        <v>37302</v>
      </c>
      <c r="F53" s="19">
        <v>46</v>
      </c>
      <c r="G53" s="55">
        <v>0</v>
      </c>
      <c r="H53" s="96">
        <f t="shared" si="0"/>
        <v>0</v>
      </c>
    </row>
    <row r="54" spans="5:8" ht="12.75">
      <c r="E54" s="88">
        <v>37303</v>
      </c>
      <c r="F54" s="19">
        <v>47</v>
      </c>
      <c r="G54" s="55">
        <v>0</v>
      </c>
      <c r="H54" s="96">
        <f t="shared" si="0"/>
        <v>0</v>
      </c>
    </row>
    <row r="55" spans="5:8" ht="12.75">
      <c r="E55" s="88">
        <v>37304</v>
      </c>
      <c r="F55" s="19">
        <v>48</v>
      </c>
      <c r="G55" s="55">
        <v>0</v>
      </c>
      <c r="H55" s="96">
        <f t="shared" si="0"/>
        <v>0</v>
      </c>
    </row>
    <row r="56" spans="5:8" ht="12.75">
      <c r="E56" s="88">
        <v>37305</v>
      </c>
      <c r="F56" s="19">
        <v>49</v>
      </c>
      <c r="G56" s="55">
        <v>0</v>
      </c>
      <c r="H56" s="96">
        <f t="shared" si="0"/>
        <v>0</v>
      </c>
    </row>
    <row r="57" spans="5:8" ht="12.75">
      <c r="E57" s="88">
        <v>37306</v>
      </c>
      <c r="F57" s="19">
        <v>50</v>
      </c>
      <c r="G57" s="55">
        <v>0</v>
      </c>
      <c r="H57" s="96">
        <f t="shared" si="0"/>
        <v>0</v>
      </c>
    </row>
    <row r="58" spans="5:8" ht="12.75">
      <c r="E58" s="88">
        <v>37307</v>
      </c>
      <c r="F58" s="19">
        <v>51</v>
      </c>
      <c r="G58" s="55">
        <v>0</v>
      </c>
      <c r="H58" s="96">
        <f t="shared" si="0"/>
        <v>0</v>
      </c>
    </row>
    <row r="59" spans="5:8" ht="12.75">
      <c r="E59" s="88">
        <v>37308</v>
      </c>
      <c r="F59" s="19">
        <v>52</v>
      </c>
      <c r="G59" s="55">
        <v>0</v>
      </c>
      <c r="H59" s="96">
        <f t="shared" si="0"/>
        <v>0</v>
      </c>
    </row>
    <row r="60" spans="5:8" ht="12.75">
      <c r="E60" s="88">
        <v>37309</v>
      </c>
      <c r="F60" s="19">
        <v>53</v>
      </c>
      <c r="G60" s="55">
        <v>0</v>
      </c>
      <c r="H60" s="96">
        <f t="shared" si="0"/>
        <v>0</v>
      </c>
    </row>
    <row r="61" spans="5:8" ht="12.75">
      <c r="E61" s="88">
        <v>37310</v>
      </c>
      <c r="F61" s="19">
        <v>54</v>
      </c>
      <c r="G61" s="55">
        <v>0</v>
      </c>
      <c r="H61" s="96">
        <f t="shared" si="0"/>
        <v>0</v>
      </c>
    </row>
    <row r="62" spans="5:8" ht="12.75">
      <c r="E62" s="88">
        <v>37311</v>
      </c>
      <c r="F62" s="19">
        <v>55</v>
      </c>
      <c r="G62" s="55">
        <v>0</v>
      </c>
      <c r="H62" s="96">
        <f t="shared" si="0"/>
        <v>0</v>
      </c>
    </row>
    <row r="63" spans="5:8" ht="12.75">
      <c r="E63" s="88">
        <v>37312</v>
      </c>
      <c r="F63" s="19">
        <v>56</v>
      </c>
      <c r="G63" s="55">
        <v>0</v>
      </c>
      <c r="H63" s="96">
        <f t="shared" si="0"/>
        <v>0</v>
      </c>
    </row>
    <row r="64" spans="5:8" ht="12.75">
      <c r="E64" s="88">
        <v>37313</v>
      </c>
      <c r="F64" s="19">
        <v>57</v>
      </c>
      <c r="G64" s="55">
        <v>0</v>
      </c>
      <c r="H64" s="96">
        <f t="shared" si="0"/>
        <v>0</v>
      </c>
    </row>
    <row r="65" spans="5:8" ht="12.75">
      <c r="E65" s="88">
        <v>37314</v>
      </c>
      <c r="F65" s="19">
        <v>58</v>
      </c>
      <c r="G65" s="55">
        <v>0</v>
      </c>
      <c r="H65" s="96">
        <f t="shared" si="0"/>
        <v>0</v>
      </c>
    </row>
    <row r="66" spans="5:8" ht="12.75">
      <c r="E66" s="88">
        <v>37315</v>
      </c>
      <c r="F66" s="19">
        <v>59</v>
      </c>
      <c r="G66" s="55">
        <v>0</v>
      </c>
      <c r="H66" s="96">
        <f t="shared" si="0"/>
        <v>0</v>
      </c>
    </row>
    <row r="67" spans="5:8" ht="12.75">
      <c r="E67" s="88">
        <v>37316</v>
      </c>
      <c r="F67" s="19">
        <v>60</v>
      </c>
      <c r="G67" s="55">
        <v>0</v>
      </c>
      <c r="H67" s="96">
        <f t="shared" si="0"/>
        <v>0</v>
      </c>
    </row>
    <row r="68" spans="5:8" ht="12.75">
      <c r="E68" s="88">
        <v>37317</v>
      </c>
      <c r="F68" s="19">
        <v>61</v>
      </c>
      <c r="G68" s="55">
        <v>0</v>
      </c>
      <c r="H68" s="96">
        <f t="shared" si="0"/>
        <v>0</v>
      </c>
    </row>
    <row r="69" spans="5:8" ht="12.75">
      <c r="E69" s="88">
        <v>37318</v>
      </c>
      <c r="F69" s="19">
        <v>62</v>
      </c>
      <c r="G69" s="55">
        <v>0</v>
      </c>
      <c r="H69" s="96">
        <f t="shared" si="0"/>
        <v>0</v>
      </c>
    </row>
    <row r="70" spans="5:8" ht="12.75">
      <c r="E70" s="88">
        <v>37319</v>
      </c>
      <c r="F70" s="19">
        <v>63</v>
      </c>
      <c r="G70" s="55">
        <v>0</v>
      </c>
      <c r="H70" s="96">
        <f t="shared" si="0"/>
        <v>0</v>
      </c>
    </row>
    <row r="71" spans="5:8" ht="12.75">
      <c r="E71" s="88">
        <v>37320</v>
      </c>
      <c r="F71" s="19">
        <v>64</v>
      </c>
      <c r="G71" s="55">
        <v>0</v>
      </c>
      <c r="H71" s="96">
        <f t="shared" si="0"/>
        <v>0</v>
      </c>
    </row>
    <row r="72" spans="5:8" ht="12.75">
      <c r="E72" s="88">
        <v>37321</v>
      </c>
      <c r="F72" s="19">
        <v>65</v>
      </c>
      <c r="G72" s="55">
        <v>0</v>
      </c>
      <c r="H72" s="96">
        <f t="shared" si="0"/>
        <v>0</v>
      </c>
    </row>
    <row r="73" spans="5:8" ht="12.75">
      <c r="E73" s="88">
        <v>37322</v>
      </c>
      <c r="F73" s="19">
        <v>66</v>
      </c>
      <c r="G73" s="55">
        <v>0</v>
      </c>
      <c r="H73" s="96">
        <f aca="true" t="shared" si="1" ref="H73:H136">(G73*(1/(($B$6*$C$6)*0.0929))*3.785)</f>
        <v>0</v>
      </c>
    </row>
    <row r="74" spans="5:8" ht="12.75">
      <c r="E74" s="88">
        <v>37323</v>
      </c>
      <c r="F74" s="19">
        <v>67</v>
      </c>
      <c r="G74" s="55">
        <v>0</v>
      </c>
      <c r="H74" s="96">
        <f t="shared" si="1"/>
        <v>0</v>
      </c>
    </row>
    <row r="75" spans="5:8" ht="12.75">
      <c r="E75" s="88">
        <v>37324</v>
      </c>
      <c r="F75" s="19">
        <v>68</v>
      </c>
      <c r="G75" s="55">
        <v>0</v>
      </c>
      <c r="H75" s="96">
        <f t="shared" si="1"/>
        <v>0</v>
      </c>
    </row>
    <row r="76" spans="5:8" ht="12.75">
      <c r="E76" s="88">
        <v>37325</v>
      </c>
      <c r="F76" s="19">
        <v>69</v>
      </c>
      <c r="G76" s="55">
        <v>0</v>
      </c>
      <c r="H76" s="96">
        <f t="shared" si="1"/>
        <v>0</v>
      </c>
    </row>
    <row r="77" spans="5:8" ht="12.75">
      <c r="E77" s="88">
        <v>37326</v>
      </c>
      <c r="F77" s="19">
        <v>70</v>
      </c>
      <c r="G77" s="55">
        <v>0</v>
      </c>
      <c r="H77" s="96">
        <f t="shared" si="1"/>
        <v>0</v>
      </c>
    </row>
    <row r="78" spans="5:8" ht="12.75">
      <c r="E78" s="88">
        <v>37327</v>
      </c>
      <c r="F78" s="19">
        <v>71</v>
      </c>
      <c r="G78" s="55">
        <v>0</v>
      </c>
      <c r="H78" s="96">
        <f t="shared" si="1"/>
        <v>0</v>
      </c>
    </row>
    <row r="79" spans="5:8" ht="12.75">
      <c r="E79" s="88">
        <v>37328</v>
      </c>
      <c r="F79" s="19">
        <v>72</v>
      </c>
      <c r="G79" s="55">
        <v>0</v>
      </c>
      <c r="H79" s="96">
        <f t="shared" si="1"/>
        <v>0</v>
      </c>
    </row>
    <row r="80" spans="5:8" ht="12.75">
      <c r="E80" s="88">
        <v>37329</v>
      </c>
      <c r="F80" s="19">
        <v>73</v>
      </c>
      <c r="G80" s="55">
        <v>0</v>
      </c>
      <c r="H80" s="96">
        <f t="shared" si="1"/>
        <v>0</v>
      </c>
    </row>
    <row r="81" spans="5:8" ht="12.75">
      <c r="E81" s="88">
        <v>37330</v>
      </c>
      <c r="F81" s="19">
        <v>74</v>
      </c>
      <c r="G81" s="55">
        <v>0</v>
      </c>
      <c r="H81" s="96">
        <f t="shared" si="1"/>
        <v>0</v>
      </c>
    </row>
    <row r="82" spans="5:8" ht="12.75">
      <c r="E82" s="88">
        <v>37331</v>
      </c>
      <c r="F82" s="19">
        <v>75</v>
      </c>
      <c r="G82" s="55">
        <v>0</v>
      </c>
      <c r="H82" s="96">
        <f t="shared" si="1"/>
        <v>0</v>
      </c>
    </row>
    <row r="83" spans="5:8" ht="12.75">
      <c r="E83" s="88">
        <v>37332</v>
      </c>
      <c r="F83" s="19">
        <v>76</v>
      </c>
      <c r="G83" s="55">
        <v>0</v>
      </c>
      <c r="H83" s="96">
        <f t="shared" si="1"/>
        <v>0</v>
      </c>
    </row>
    <row r="84" spans="5:8" ht="12.75">
      <c r="E84" s="88">
        <v>37333</v>
      </c>
      <c r="F84" s="19">
        <v>77</v>
      </c>
      <c r="G84" s="55">
        <v>0</v>
      </c>
      <c r="H84" s="96">
        <f t="shared" si="1"/>
        <v>0</v>
      </c>
    </row>
    <row r="85" spans="5:8" ht="12.75">
      <c r="E85" s="88">
        <v>37334</v>
      </c>
      <c r="F85" s="19">
        <v>78</v>
      </c>
      <c r="G85" s="55">
        <v>0</v>
      </c>
      <c r="H85" s="96">
        <f t="shared" si="1"/>
        <v>0</v>
      </c>
    </row>
    <row r="86" spans="5:8" ht="12.75">
      <c r="E86" s="88">
        <v>37335</v>
      </c>
      <c r="F86" s="19">
        <v>79</v>
      </c>
      <c r="G86" s="55">
        <v>0</v>
      </c>
      <c r="H86" s="96">
        <f t="shared" si="1"/>
        <v>0</v>
      </c>
    </row>
    <row r="87" spans="5:8" ht="12.75">
      <c r="E87" s="88">
        <v>37336</v>
      </c>
      <c r="F87" s="19">
        <v>80</v>
      </c>
      <c r="G87" s="55">
        <v>0</v>
      </c>
      <c r="H87" s="96">
        <f t="shared" si="1"/>
        <v>0</v>
      </c>
    </row>
    <row r="88" spans="5:8" ht="12.75">
      <c r="E88" s="88">
        <v>37337</v>
      </c>
      <c r="F88" s="19">
        <v>81</v>
      </c>
      <c r="G88" s="55">
        <v>0</v>
      </c>
      <c r="H88" s="96">
        <f t="shared" si="1"/>
        <v>0</v>
      </c>
    </row>
    <row r="89" spans="5:8" ht="12.75">
      <c r="E89" s="88">
        <v>37338</v>
      </c>
      <c r="F89" s="19">
        <v>82</v>
      </c>
      <c r="G89" s="55">
        <v>0</v>
      </c>
      <c r="H89" s="96">
        <f t="shared" si="1"/>
        <v>0</v>
      </c>
    </row>
    <row r="90" spans="5:8" ht="12.75">
      <c r="E90" s="88">
        <v>37339</v>
      </c>
      <c r="F90" s="19">
        <v>83</v>
      </c>
      <c r="G90" s="55">
        <v>0</v>
      </c>
      <c r="H90" s="96">
        <f t="shared" si="1"/>
        <v>0</v>
      </c>
    </row>
    <row r="91" spans="5:8" ht="12.75">
      <c r="E91" s="88">
        <v>37340</v>
      </c>
      <c r="F91" s="19">
        <v>84</v>
      </c>
      <c r="G91" s="55">
        <v>0</v>
      </c>
      <c r="H91" s="96">
        <f t="shared" si="1"/>
        <v>0</v>
      </c>
    </row>
    <row r="92" spans="5:8" ht="12.75">
      <c r="E92" s="88">
        <v>37341</v>
      </c>
      <c r="F92" s="19">
        <v>85</v>
      </c>
      <c r="G92" s="55">
        <v>0</v>
      </c>
      <c r="H92" s="96">
        <f t="shared" si="1"/>
        <v>0</v>
      </c>
    </row>
    <row r="93" spans="5:8" ht="12.75">
      <c r="E93" s="88">
        <v>37342</v>
      </c>
      <c r="F93" s="19">
        <v>86</v>
      </c>
      <c r="G93" s="55">
        <v>0</v>
      </c>
      <c r="H93" s="96">
        <f t="shared" si="1"/>
        <v>0</v>
      </c>
    </row>
    <row r="94" spans="5:8" ht="12.75">
      <c r="E94" s="88">
        <v>37343</v>
      </c>
      <c r="F94" s="19">
        <v>87</v>
      </c>
      <c r="G94" s="55">
        <v>0</v>
      </c>
      <c r="H94" s="96">
        <f t="shared" si="1"/>
        <v>0</v>
      </c>
    </row>
    <row r="95" spans="5:8" ht="12.75">
      <c r="E95" s="88">
        <v>37344</v>
      </c>
      <c r="F95" s="19">
        <v>88</v>
      </c>
      <c r="G95" s="55">
        <v>0</v>
      </c>
      <c r="H95" s="96">
        <f t="shared" si="1"/>
        <v>0</v>
      </c>
    </row>
    <row r="96" spans="5:8" ht="12.75">
      <c r="E96" s="88">
        <v>37345</v>
      </c>
      <c r="F96" s="19">
        <v>89</v>
      </c>
      <c r="G96" s="55">
        <v>0</v>
      </c>
      <c r="H96" s="96">
        <f t="shared" si="1"/>
        <v>0</v>
      </c>
    </row>
    <row r="97" spans="5:8" ht="12.75">
      <c r="E97" s="88">
        <v>37346</v>
      </c>
      <c r="F97" s="19">
        <v>90</v>
      </c>
      <c r="G97" s="55">
        <v>0</v>
      </c>
      <c r="H97" s="96">
        <f t="shared" si="1"/>
        <v>0</v>
      </c>
    </row>
    <row r="98" spans="5:8" ht="12.75">
      <c r="E98" s="88">
        <v>37347</v>
      </c>
      <c r="F98" s="19">
        <v>91</v>
      </c>
      <c r="G98" s="55">
        <v>0</v>
      </c>
      <c r="H98" s="96">
        <f t="shared" si="1"/>
        <v>0</v>
      </c>
    </row>
    <row r="99" spans="5:8" ht="12.75">
      <c r="E99" s="88">
        <v>37348</v>
      </c>
      <c r="F99" s="19">
        <v>92</v>
      </c>
      <c r="G99" s="55">
        <v>0</v>
      </c>
      <c r="H99" s="96">
        <f t="shared" si="1"/>
        <v>0</v>
      </c>
    </row>
    <row r="100" spans="5:8" ht="12.75">
      <c r="E100" s="88">
        <v>37349</v>
      </c>
      <c r="F100" s="19">
        <v>93</v>
      </c>
      <c r="G100" s="55">
        <v>0</v>
      </c>
      <c r="H100" s="96">
        <f t="shared" si="1"/>
        <v>0</v>
      </c>
    </row>
    <row r="101" spans="5:8" ht="12.75">
      <c r="E101" s="88">
        <v>37350</v>
      </c>
      <c r="F101" s="19">
        <v>94</v>
      </c>
      <c r="G101" s="55">
        <v>0</v>
      </c>
      <c r="H101" s="96">
        <f t="shared" si="1"/>
        <v>0</v>
      </c>
    </row>
    <row r="102" spans="5:8" ht="12.75">
      <c r="E102" s="88">
        <v>37351</v>
      </c>
      <c r="F102" s="19">
        <v>95</v>
      </c>
      <c r="G102" s="55">
        <v>0</v>
      </c>
      <c r="H102" s="96">
        <f t="shared" si="1"/>
        <v>0</v>
      </c>
    </row>
    <row r="103" spans="5:8" ht="12.75">
      <c r="E103" s="88">
        <v>37352</v>
      </c>
      <c r="F103" s="19">
        <v>96</v>
      </c>
      <c r="G103" s="55">
        <v>0</v>
      </c>
      <c r="H103" s="96">
        <f t="shared" si="1"/>
        <v>0</v>
      </c>
    </row>
    <row r="104" spans="5:8" ht="12.75">
      <c r="E104" s="88">
        <v>37353</v>
      </c>
      <c r="F104" s="19">
        <v>97</v>
      </c>
      <c r="G104" s="55">
        <v>0</v>
      </c>
      <c r="H104" s="96">
        <f t="shared" si="1"/>
        <v>0</v>
      </c>
    </row>
    <row r="105" spans="5:8" ht="12.75">
      <c r="E105" s="88">
        <v>37354</v>
      </c>
      <c r="F105" s="19">
        <v>98</v>
      </c>
      <c r="G105" s="55">
        <v>0</v>
      </c>
      <c r="H105" s="96">
        <f t="shared" si="1"/>
        <v>0</v>
      </c>
    </row>
    <row r="106" spans="5:8" ht="12.75">
      <c r="E106" s="88">
        <v>37355</v>
      </c>
      <c r="F106" s="19">
        <v>99</v>
      </c>
      <c r="G106" s="55">
        <v>0</v>
      </c>
      <c r="H106" s="96">
        <f t="shared" si="1"/>
        <v>0</v>
      </c>
    </row>
    <row r="107" spans="5:8" ht="12.75">
      <c r="E107" s="88">
        <v>37356</v>
      </c>
      <c r="F107" s="19">
        <v>100</v>
      </c>
      <c r="G107" s="55">
        <v>0</v>
      </c>
      <c r="H107" s="96">
        <f t="shared" si="1"/>
        <v>0</v>
      </c>
    </row>
    <row r="108" spans="5:8" ht="12.75">
      <c r="E108" s="88">
        <v>37357</v>
      </c>
      <c r="F108" s="19">
        <v>101</v>
      </c>
      <c r="G108" s="55">
        <v>0</v>
      </c>
      <c r="H108" s="96">
        <f t="shared" si="1"/>
        <v>0</v>
      </c>
    </row>
    <row r="109" spans="5:8" ht="12.75">
      <c r="E109" s="88">
        <v>37358</v>
      </c>
      <c r="F109" s="19">
        <v>102</v>
      </c>
      <c r="G109" s="55">
        <v>0</v>
      </c>
      <c r="H109" s="96">
        <f t="shared" si="1"/>
        <v>0</v>
      </c>
    </row>
    <row r="110" spans="5:8" ht="12.75">
      <c r="E110" s="88">
        <v>37359</v>
      </c>
      <c r="F110" s="19">
        <v>103</v>
      </c>
      <c r="G110" s="55">
        <v>0</v>
      </c>
      <c r="H110" s="96">
        <f t="shared" si="1"/>
        <v>0</v>
      </c>
    </row>
    <row r="111" spans="5:8" ht="12.75">
      <c r="E111" s="88">
        <v>37360</v>
      </c>
      <c r="F111" s="19">
        <v>104</v>
      </c>
      <c r="G111" s="55">
        <v>0</v>
      </c>
      <c r="H111" s="96">
        <f t="shared" si="1"/>
        <v>0</v>
      </c>
    </row>
    <row r="112" spans="5:8" ht="12.75">
      <c r="E112" s="88">
        <v>37361</v>
      </c>
      <c r="F112" s="19">
        <v>105</v>
      </c>
      <c r="G112" s="55">
        <v>0</v>
      </c>
      <c r="H112" s="96">
        <f t="shared" si="1"/>
        <v>0</v>
      </c>
    </row>
    <row r="113" spans="5:8" ht="12.75">
      <c r="E113" s="88">
        <v>37362</v>
      </c>
      <c r="F113" s="19">
        <v>106</v>
      </c>
      <c r="G113" s="55">
        <v>0</v>
      </c>
      <c r="H113" s="96">
        <f t="shared" si="1"/>
        <v>0</v>
      </c>
    </row>
    <row r="114" spans="5:8" ht="12.75">
      <c r="E114" s="88">
        <v>37363</v>
      </c>
      <c r="F114" s="19">
        <v>107</v>
      </c>
      <c r="G114" s="55">
        <v>0</v>
      </c>
      <c r="H114" s="96">
        <f t="shared" si="1"/>
        <v>0</v>
      </c>
    </row>
    <row r="115" spans="5:8" ht="12.75">
      <c r="E115" s="88">
        <v>37364</v>
      </c>
      <c r="F115" s="19">
        <v>108</v>
      </c>
      <c r="G115" s="55">
        <v>0</v>
      </c>
      <c r="H115" s="96">
        <f t="shared" si="1"/>
        <v>0</v>
      </c>
    </row>
    <row r="116" spans="5:8" ht="12.75">
      <c r="E116" s="88">
        <v>37365</v>
      </c>
      <c r="F116" s="19">
        <v>109</v>
      </c>
      <c r="G116" s="55">
        <v>0</v>
      </c>
      <c r="H116" s="96">
        <f t="shared" si="1"/>
        <v>0</v>
      </c>
    </row>
    <row r="117" spans="5:8" ht="12.75">
      <c r="E117" s="88">
        <v>37366</v>
      </c>
      <c r="F117" s="19">
        <v>110</v>
      </c>
      <c r="G117" s="55">
        <v>0</v>
      </c>
      <c r="H117" s="96">
        <f t="shared" si="1"/>
        <v>0</v>
      </c>
    </row>
    <row r="118" spans="5:8" ht="12.75">
      <c r="E118" s="88">
        <v>37367</v>
      </c>
      <c r="F118" s="19">
        <v>111</v>
      </c>
      <c r="G118" s="55">
        <v>0</v>
      </c>
      <c r="H118" s="96">
        <f t="shared" si="1"/>
        <v>0</v>
      </c>
    </row>
    <row r="119" spans="5:8" ht="12.75">
      <c r="E119" s="88">
        <v>37368</v>
      </c>
      <c r="F119" s="19">
        <v>112</v>
      </c>
      <c r="G119" s="55">
        <v>0</v>
      </c>
      <c r="H119" s="96">
        <f t="shared" si="1"/>
        <v>0</v>
      </c>
    </row>
    <row r="120" spans="5:8" ht="12.75">
      <c r="E120" s="88">
        <v>37369</v>
      </c>
      <c r="F120" s="19">
        <v>113</v>
      </c>
      <c r="G120" s="55">
        <v>0</v>
      </c>
      <c r="H120" s="96">
        <f t="shared" si="1"/>
        <v>0</v>
      </c>
    </row>
    <row r="121" spans="5:8" ht="12.75">
      <c r="E121" s="88">
        <v>37370</v>
      </c>
      <c r="F121" s="19">
        <v>114</v>
      </c>
      <c r="G121" s="55">
        <v>0</v>
      </c>
      <c r="H121" s="96">
        <f t="shared" si="1"/>
        <v>0</v>
      </c>
    </row>
    <row r="122" spans="5:8" ht="12.75">
      <c r="E122" s="88">
        <v>37371</v>
      </c>
      <c r="F122" s="19">
        <v>115</v>
      </c>
      <c r="G122" s="55">
        <v>0</v>
      </c>
      <c r="H122" s="96">
        <f t="shared" si="1"/>
        <v>0</v>
      </c>
    </row>
    <row r="123" spans="5:8" ht="12.75">
      <c r="E123" s="88">
        <v>37372</v>
      </c>
      <c r="F123" s="19">
        <v>116</v>
      </c>
      <c r="G123" s="55">
        <v>0</v>
      </c>
      <c r="H123" s="96">
        <f t="shared" si="1"/>
        <v>0</v>
      </c>
    </row>
    <row r="124" spans="5:8" ht="12.75">
      <c r="E124" s="88">
        <v>37373</v>
      </c>
      <c r="F124" s="19">
        <v>117</v>
      </c>
      <c r="G124" s="55">
        <v>0</v>
      </c>
      <c r="H124" s="96">
        <f t="shared" si="1"/>
        <v>0</v>
      </c>
    </row>
    <row r="125" spans="5:8" ht="12.75">
      <c r="E125" s="88">
        <v>37374</v>
      </c>
      <c r="F125" s="19">
        <v>118</v>
      </c>
      <c r="G125" s="55">
        <v>0</v>
      </c>
      <c r="H125" s="96">
        <f t="shared" si="1"/>
        <v>0</v>
      </c>
    </row>
    <row r="126" spans="5:8" ht="12.75">
      <c r="E126" s="88">
        <v>37375</v>
      </c>
      <c r="F126" s="19">
        <v>119</v>
      </c>
      <c r="G126" s="55">
        <v>0</v>
      </c>
      <c r="H126" s="96">
        <f t="shared" si="1"/>
        <v>0</v>
      </c>
    </row>
    <row r="127" spans="5:8" ht="12.75">
      <c r="E127" s="88">
        <v>37376</v>
      </c>
      <c r="F127" s="19">
        <v>120</v>
      </c>
      <c r="G127" s="55">
        <v>0</v>
      </c>
      <c r="H127" s="96">
        <f t="shared" si="1"/>
        <v>0</v>
      </c>
    </row>
    <row r="128" spans="5:8" ht="12.75">
      <c r="E128" s="88">
        <v>37377</v>
      </c>
      <c r="F128" s="19">
        <v>121</v>
      </c>
      <c r="G128" s="55">
        <v>0</v>
      </c>
      <c r="H128" s="96">
        <f t="shared" si="1"/>
        <v>0</v>
      </c>
    </row>
    <row r="129" spans="5:8" ht="12.75">
      <c r="E129" s="88">
        <v>37378</v>
      </c>
      <c r="F129" s="19">
        <v>122</v>
      </c>
      <c r="G129" s="55">
        <v>0</v>
      </c>
      <c r="H129" s="96">
        <f t="shared" si="1"/>
        <v>0</v>
      </c>
    </row>
    <row r="130" spans="5:8" ht="12.75">
      <c r="E130" s="88">
        <v>37379</v>
      </c>
      <c r="F130" s="19">
        <v>123</v>
      </c>
      <c r="G130" s="55">
        <v>0</v>
      </c>
      <c r="H130" s="96">
        <f t="shared" si="1"/>
        <v>0</v>
      </c>
    </row>
    <row r="131" spans="5:8" ht="12.75">
      <c r="E131" s="88">
        <v>37380</v>
      </c>
      <c r="F131" s="19">
        <v>124</v>
      </c>
      <c r="G131" s="55">
        <v>0</v>
      </c>
      <c r="H131" s="96">
        <f t="shared" si="1"/>
        <v>0</v>
      </c>
    </row>
    <row r="132" spans="5:8" ht="12.75">
      <c r="E132" s="88">
        <v>37381</v>
      </c>
      <c r="F132" s="19">
        <v>125</v>
      </c>
      <c r="G132" s="55">
        <v>0</v>
      </c>
      <c r="H132" s="96">
        <f t="shared" si="1"/>
        <v>0</v>
      </c>
    </row>
    <row r="133" spans="5:8" ht="12.75">
      <c r="E133" s="88">
        <v>37382</v>
      </c>
      <c r="F133" s="19">
        <v>126</v>
      </c>
      <c r="G133" s="55">
        <v>0</v>
      </c>
      <c r="H133" s="96">
        <f t="shared" si="1"/>
        <v>0</v>
      </c>
    </row>
    <row r="134" spans="5:8" ht="12.75">
      <c r="E134" s="88">
        <v>37383</v>
      </c>
      <c r="F134" s="19">
        <v>127</v>
      </c>
      <c r="G134" s="55">
        <v>0</v>
      </c>
      <c r="H134" s="96">
        <f t="shared" si="1"/>
        <v>0</v>
      </c>
    </row>
    <row r="135" spans="5:8" ht="12.75">
      <c r="E135" s="88">
        <v>37384</v>
      </c>
      <c r="F135" s="19">
        <v>128</v>
      </c>
      <c r="G135" s="55">
        <v>0</v>
      </c>
      <c r="H135" s="96">
        <f t="shared" si="1"/>
        <v>0</v>
      </c>
    </row>
    <row r="136" spans="5:8" ht="12.75">
      <c r="E136" s="88">
        <v>37385</v>
      </c>
      <c r="F136" s="19">
        <v>129</v>
      </c>
      <c r="G136" s="55">
        <v>0</v>
      </c>
      <c r="H136" s="96">
        <f t="shared" si="1"/>
        <v>0</v>
      </c>
    </row>
    <row r="137" spans="5:8" ht="12.75">
      <c r="E137" s="88">
        <v>37386</v>
      </c>
      <c r="F137" s="19">
        <v>130</v>
      </c>
      <c r="G137" s="55">
        <v>0</v>
      </c>
      <c r="H137" s="96">
        <f aca="true" t="shared" si="2" ref="H137:H200">(G137*(1/(($B$6*$C$6)*0.0929))*3.785)</f>
        <v>0</v>
      </c>
    </row>
    <row r="138" spans="5:8" ht="12.75">
      <c r="E138" s="88">
        <v>37387</v>
      </c>
      <c r="F138" s="19">
        <v>131</v>
      </c>
      <c r="G138" s="55">
        <v>0</v>
      </c>
      <c r="H138" s="96">
        <f t="shared" si="2"/>
        <v>0</v>
      </c>
    </row>
    <row r="139" spans="5:8" ht="12.75">
      <c r="E139" s="88">
        <v>37388</v>
      </c>
      <c r="F139" s="19">
        <v>132</v>
      </c>
      <c r="G139" s="55">
        <v>0</v>
      </c>
      <c r="H139" s="96">
        <f t="shared" si="2"/>
        <v>0</v>
      </c>
    </row>
    <row r="140" spans="5:8" ht="12.75">
      <c r="E140" s="88">
        <v>37389</v>
      </c>
      <c r="F140" s="19">
        <v>133</v>
      </c>
      <c r="G140" s="55">
        <v>0</v>
      </c>
      <c r="H140" s="96">
        <f t="shared" si="2"/>
        <v>0</v>
      </c>
    </row>
    <row r="141" spans="5:8" ht="12.75">
      <c r="E141" s="88">
        <v>37390</v>
      </c>
      <c r="F141" s="19">
        <v>134</v>
      </c>
      <c r="G141" s="55">
        <v>0</v>
      </c>
      <c r="H141" s="96">
        <f t="shared" si="2"/>
        <v>0</v>
      </c>
    </row>
    <row r="142" spans="5:8" ht="12.75">
      <c r="E142" s="88">
        <v>37391</v>
      </c>
      <c r="F142" s="19">
        <v>135</v>
      </c>
      <c r="G142" s="55">
        <v>0</v>
      </c>
      <c r="H142" s="96">
        <f t="shared" si="2"/>
        <v>0</v>
      </c>
    </row>
    <row r="143" spans="5:8" ht="12.75">
      <c r="E143" s="88">
        <v>37392</v>
      </c>
      <c r="F143" s="19">
        <v>136</v>
      </c>
      <c r="G143" s="55">
        <v>0</v>
      </c>
      <c r="H143" s="96">
        <f t="shared" si="2"/>
        <v>0</v>
      </c>
    </row>
    <row r="144" spans="5:8" ht="12.75">
      <c r="E144" s="88">
        <v>37393</v>
      </c>
      <c r="F144" s="19">
        <v>137</v>
      </c>
      <c r="G144" s="55">
        <v>0</v>
      </c>
      <c r="H144" s="96">
        <f t="shared" si="2"/>
        <v>0</v>
      </c>
    </row>
    <row r="145" spans="5:8" ht="12.75">
      <c r="E145" s="88">
        <v>37394</v>
      </c>
      <c r="F145" s="19">
        <v>138</v>
      </c>
      <c r="G145" s="55">
        <v>0</v>
      </c>
      <c r="H145" s="96">
        <f t="shared" si="2"/>
        <v>0</v>
      </c>
    </row>
    <row r="146" spans="5:8" ht="12.75">
      <c r="E146" s="88">
        <v>37395</v>
      </c>
      <c r="F146" s="19">
        <v>139</v>
      </c>
      <c r="G146" s="55">
        <v>0</v>
      </c>
      <c r="H146" s="96">
        <f t="shared" si="2"/>
        <v>0</v>
      </c>
    </row>
    <row r="147" spans="5:8" ht="12.75">
      <c r="E147" s="88">
        <v>37396</v>
      </c>
      <c r="F147" s="19">
        <v>140</v>
      </c>
      <c r="G147" s="55">
        <v>0</v>
      </c>
      <c r="H147" s="96">
        <f t="shared" si="2"/>
        <v>0</v>
      </c>
    </row>
    <row r="148" spans="5:8" ht="12.75">
      <c r="E148" s="88">
        <v>37397</v>
      </c>
      <c r="F148" s="19">
        <v>141</v>
      </c>
      <c r="G148" s="55">
        <v>0</v>
      </c>
      <c r="H148" s="96">
        <f t="shared" si="2"/>
        <v>0</v>
      </c>
    </row>
    <row r="149" spans="5:8" ht="12.75">
      <c r="E149" s="88">
        <v>37398</v>
      </c>
      <c r="F149" s="19">
        <v>142</v>
      </c>
      <c r="G149" s="55">
        <v>0</v>
      </c>
      <c r="H149" s="96">
        <f t="shared" si="2"/>
        <v>0</v>
      </c>
    </row>
    <row r="150" spans="5:8" ht="12.75">
      <c r="E150" s="88">
        <v>37399</v>
      </c>
      <c r="F150" s="19">
        <v>143</v>
      </c>
      <c r="G150" s="55">
        <v>0</v>
      </c>
      <c r="H150" s="96">
        <f t="shared" si="2"/>
        <v>0</v>
      </c>
    </row>
    <row r="151" spans="5:8" ht="12.75">
      <c r="E151" s="88">
        <v>37400</v>
      </c>
      <c r="F151" s="19">
        <v>144</v>
      </c>
      <c r="G151" s="55">
        <v>0</v>
      </c>
      <c r="H151" s="96">
        <f t="shared" si="2"/>
        <v>0</v>
      </c>
    </row>
    <row r="152" spans="5:8" ht="12.75">
      <c r="E152" s="88">
        <v>37401</v>
      </c>
      <c r="F152" s="19">
        <v>145</v>
      </c>
      <c r="G152" s="55">
        <v>0</v>
      </c>
      <c r="H152" s="96">
        <f t="shared" si="2"/>
        <v>0</v>
      </c>
    </row>
    <row r="153" spans="5:8" ht="12.75">
      <c r="E153" s="88">
        <v>37402</v>
      </c>
      <c r="F153" s="19">
        <v>146</v>
      </c>
      <c r="G153" s="55">
        <v>0</v>
      </c>
      <c r="H153" s="96">
        <f t="shared" si="2"/>
        <v>0</v>
      </c>
    </row>
    <row r="154" spans="5:8" ht="12.75">
      <c r="E154" s="88">
        <v>37403</v>
      </c>
      <c r="F154" s="19">
        <v>147</v>
      </c>
      <c r="G154" s="55">
        <v>0</v>
      </c>
      <c r="H154" s="96">
        <f t="shared" si="2"/>
        <v>0</v>
      </c>
    </row>
    <row r="155" spans="5:8" ht="12.75">
      <c r="E155" s="88">
        <v>37404</v>
      </c>
      <c r="F155" s="19">
        <v>148</v>
      </c>
      <c r="G155" s="55">
        <v>0</v>
      </c>
      <c r="H155" s="96">
        <f t="shared" si="2"/>
        <v>0</v>
      </c>
    </row>
    <row r="156" spans="5:8" ht="12.75">
      <c r="E156" s="88">
        <v>37405</v>
      </c>
      <c r="F156" s="19">
        <v>149</v>
      </c>
      <c r="G156" s="55">
        <v>0</v>
      </c>
      <c r="H156" s="96">
        <f t="shared" si="2"/>
        <v>0</v>
      </c>
    </row>
    <row r="157" spans="5:8" ht="12.75">
      <c r="E157" s="88">
        <v>37406</v>
      </c>
      <c r="F157" s="19">
        <v>150</v>
      </c>
      <c r="G157" s="55">
        <v>0</v>
      </c>
      <c r="H157" s="96">
        <f t="shared" si="2"/>
        <v>0</v>
      </c>
    </row>
    <row r="158" spans="5:8" ht="12.75">
      <c r="E158" s="88">
        <v>37407</v>
      </c>
      <c r="F158" s="19">
        <v>151</v>
      </c>
      <c r="G158" s="55">
        <v>0</v>
      </c>
      <c r="H158" s="96">
        <f t="shared" si="2"/>
        <v>0</v>
      </c>
    </row>
    <row r="159" spans="5:8" ht="12.75">
      <c r="E159" s="88">
        <v>37408</v>
      </c>
      <c r="F159" s="19">
        <v>152</v>
      </c>
      <c r="G159" s="55">
        <v>0</v>
      </c>
      <c r="H159" s="96">
        <f t="shared" si="2"/>
        <v>0</v>
      </c>
    </row>
    <row r="160" spans="5:8" ht="12.75">
      <c r="E160" s="88">
        <v>37409</v>
      </c>
      <c r="F160" s="19">
        <v>153</v>
      </c>
      <c r="G160" s="55">
        <v>0</v>
      </c>
      <c r="H160" s="96">
        <f t="shared" si="2"/>
        <v>0</v>
      </c>
    </row>
    <row r="161" spans="5:8" ht="12.75">
      <c r="E161" s="88">
        <v>37410</v>
      </c>
      <c r="F161" s="19">
        <v>154</v>
      </c>
      <c r="G161" s="55">
        <v>0</v>
      </c>
      <c r="H161" s="96">
        <f t="shared" si="2"/>
        <v>0</v>
      </c>
    </row>
    <row r="162" spans="5:8" ht="12.75">
      <c r="E162" s="88">
        <v>37411</v>
      </c>
      <c r="F162" s="19">
        <v>155</v>
      </c>
      <c r="G162" s="55">
        <v>0</v>
      </c>
      <c r="H162" s="96">
        <f t="shared" si="2"/>
        <v>0</v>
      </c>
    </row>
    <row r="163" spans="5:8" ht="12.75">
      <c r="E163" s="88">
        <v>37412</v>
      </c>
      <c r="F163" s="19">
        <v>156</v>
      </c>
      <c r="G163" s="55">
        <v>0</v>
      </c>
      <c r="H163" s="96">
        <f t="shared" si="2"/>
        <v>0</v>
      </c>
    </row>
    <row r="164" spans="5:8" ht="12.75">
      <c r="E164" s="88">
        <v>37413</v>
      </c>
      <c r="F164" s="19">
        <v>157</v>
      </c>
      <c r="G164" s="55">
        <v>0</v>
      </c>
      <c r="H164" s="96">
        <f t="shared" si="2"/>
        <v>0</v>
      </c>
    </row>
    <row r="165" spans="5:8" ht="12.75">
      <c r="E165" s="88">
        <v>37414</v>
      </c>
      <c r="F165" s="19">
        <v>158</v>
      </c>
      <c r="G165" s="55">
        <v>0</v>
      </c>
      <c r="H165" s="96">
        <f t="shared" si="2"/>
        <v>0</v>
      </c>
    </row>
    <row r="166" spans="5:8" ht="12.75">
      <c r="E166" s="88">
        <v>37415</v>
      </c>
      <c r="F166" s="19">
        <v>159</v>
      </c>
      <c r="G166" s="55">
        <v>0</v>
      </c>
      <c r="H166" s="96">
        <f t="shared" si="2"/>
        <v>0</v>
      </c>
    </row>
    <row r="167" spans="5:8" ht="12.75">
      <c r="E167" s="88">
        <v>37416</v>
      </c>
      <c r="F167" s="19">
        <v>160</v>
      </c>
      <c r="G167" s="55">
        <v>0</v>
      </c>
      <c r="H167" s="96">
        <f t="shared" si="2"/>
        <v>0</v>
      </c>
    </row>
    <row r="168" spans="5:8" ht="12.75">
      <c r="E168" s="88">
        <v>37417</v>
      </c>
      <c r="F168" s="19">
        <v>161</v>
      </c>
      <c r="G168" s="55">
        <v>0</v>
      </c>
      <c r="H168" s="96">
        <f t="shared" si="2"/>
        <v>0</v>
      </c>
    </row>
    <row r="169" spans="5:8" ht="12.75">
      <c r="E169" s="88">
        <v>37418</v>
      </c>
      <c r="F169" s="19">
        <v>162</v>
      </c>
      <c r="G169" s="55">
        <v>0</v>
      </c>
      <c r="H169" s="96">
        <f t="shared" si="2"/>
        <v>0</v>
      </c>
    </row>
    <row r="170" spans="5:8" ht="12.75">
      <c r="E170" s="88">
        <v>37419</v>
      </c>
      <c r="F170" s="19">
        <v>163</v>
      </c>
      <c r="G170" s="55">
        <v>0</v>
      </c>
      <c r="H170" s="96">
        <f t="shared" si="2"/>
        <v>0</v>
      </c>
    </row>
    <row r="171" spans="5:8" ht="12.75">
      <c r="E171" s="88">
        <v>37420</v>
      </c>
      <c r="F171" s="19">
        <v>164</v>
      </c>
      <c r="G171" s="55">
        <v>0</v>
      </c>
      <c r="H171" s="96">
        <f t="shared" si="2"/>
        <v>0</v>
      </c>
    </row>
    <row r="172" spans="5:8" ht="12.75">
      <c r="E172" s="88">
        <v>37421</v>
      </c>
      <c r="F172" s="19">
        <v>165</v>
      </c>
      <c r="G172" s="55">
        <v>0</v>
      </c>
      <c r="H172" s="96">
        <f t="shared" si="2"/>
        <v>0</v>
      </c>
    </row>
    <row r="173" spans="5:8" ht="12.75">
      <c r="E173" s="88">
        <v>37422</v>
      </c>
      <c r="F173" s="19">
        <v>166</v>
      </c>
      <c r="G173" s="55">
        <v>0</v>
      </c>
      <c r="H173" s="96">
        <f t="shared" si="2"/>
        <v>0</v>
      </c>
    </row>
    <row r="174" spans="5:8" ht="12.75">
      <c r="E174" s="88">
        <v>37423</v>
      </c>
      <c r="F174" s="19">
        <v>167</v>
      </c>
      <c r="G174" s="55">
        <v>0</v>
      </c>
      <c r="H174" s="96">
        <f t="shared" si="2"/>
        <v>0</v>
      </c>
    </row>
    <row r="175" spans="5:8" ht="12.75">
      <c r="E175" s="88">
        <v>37424</v>
      </c>
      <c r="F175" s="19">
        <v>168</v>
      </c>
      <c r="G175" s="55">
        <v>0</v>
      </c>
      <c r="H175" s="96">
        <f t="shared" si="2"/>
        <v>0</v>
      </c>
    </row>
    <row r="176" spans="5:8" ht="12.75">
      <c r="E176" s="88">
        <v>37425</v>
      </c>
      <c r="F176" s="19">
        <v>169</v>
      </c>
      <c r="G176" s="55">
        <v>0</v>
      </c>
      <c r="H176" s="96">
        <f t="shared" si="2"/>
        <v>0</v>
      </c>
    </row>
    <row r="177" spans="5:8" ht="12.75">
      <c r="E177" s="88">
        <v>37426</v>
      </c>
      <c r="F177" s="19">
        <v>170</v>
      </c>
      <c r="G177" s="55">
        <v>0</v>
      </c>
      <c r="H177" s="96">
        <f t="shared" si="2"/>
        <v>0</v>
      </c>
    </row>
    <row r="178" spans="5:8" ht="12.75">
      <c r="E178" s="88">
        <v>37427</v>
      </c>
      <c r="F178" s="19">
        <v>171</v>
      </c>
      <c r="G178" s="55">
        <v>0</v>
      </c>
      <c r="H178" s="96">
        <f t="shared" si="2"/>
        <v>0</v>
      </c>
    </row>
    <row r="179" spans="5:8" ht="12.75">
      <c r="E179" s="88">
        <v>37428</v>
      </c>
      <c r="F179" s="19">
        <v>172</v>
      </c>
      <c r="G179" s="55">
        <v>0</v>
      </c>
      <c r="H179" s="96">
        <f t="shared" si="2"/>
        <v>0</v>
      </c>
    </row>
    <row r="180" spans="5:8" ht="12.75">
      <c r="E180" s="88">
        <v>37429</v>
      </c>
      <c r="F180" s="19">
        <v>173</v>
      </c>
      <c r="G180" s="55">
        <v>0</v>
      </c>
      <c r="H180" s="96">
        <f t="shared" si="2"/>
        <v>0</v>
      </c>
    </row>
    <row r="181" spans="5:8" ht="12.75">
      <c r="E181" s="88">
        <v>37430</v>
      </c>
      <c r="F181" s="19">
        <v>174</v>
      </c>
      <c r="G181" s="55">
        <v>0</v>
      </c>
      <c r="H181" s="96">
        <f t="shared" si="2"/>
        <v>0</v>
      </c>
    </row>
    <row r="182" spans="5:8" ht="12.75">
      <c r="E182" s="88">
        <v>37431</v>
      </c>
      <c r="F182" s="19">
        <v>175</v>
      </c>
      <c r="G182" s="55">
        <v>0</v>
      </c>
      <c r="H182" s="96">
        <f t="shared" si="2"/>
        <v>0</v>
      </c>
    </row>
    <row r="183" spans="5:8" ht="12.75">
      <c r="E183" s="88">
        <v>37432</v>
      </c>
      <c r="F183" s="19">
        <v>176</v>
      </c>
      <c r="G183" s="55">
        <v>0</v>
      </c>
      <c r="H183" s="96">
        <f t="shared" si="2"/>
        <v>0</v>
      </c>
    </row>
    <row r="184" spans="5:8" ht="12.75">
      <c r="E184" s="88">
        <v>37433</v>
      </c>
      <c r="F184" s="19">
        <v>177</v>
      </c>
      <c r="G184" s="55">
        <v>0</v>
      </c>
      <c r="H184" s="96">
        <f t="shared" si="2"/>
        <v>0</v>
      </c>
    </row>
    <row r="185" spans="5:8" ht="12.75">
      <c r="E185" s="88">
        <v>37434</v>
      </c>
      <c r="F185" s="19">
        <v>178</v>
      </c>
      <c r="G185" s="55">
        <v>0</v>
      </c>
      <c r="H185" s="96">
        <f t="shared" si="2"/>
        <v>0</v>
      </c>
    </row>
    <row r="186" spans="5:8" ht="12.75">
      <c r="E186" s="88">
        <v>37435</v>
      </c>
      <c r="F186" s="19">
        <v>179</v>
      </c>
      <c r="G186" s="55">
        <v>0</v>
      </c>
      <c r="H186" s="96">
        <f t="shared" si="2"/>
        <v>0</v>
      </c>
    </row>
    <row r="187" spans="5:8" ht="12.75">
      <c r="E187" s="88">
        <v>37436</v>
      </c>
      <c r="F187" s="19">
        <v>180</v>
      </c>
      <c r="G187" s="55">
        <v>0</v>
      </c>
      <c r="H187" s="96">
        <f t="shared" si="2"/>
        <v>0</v>
      </c>
    </row>
    <row r="188" spans="5:8" ht="12.75">
      <c r="E188" s="88">
        <v>37437</v>
      </c>
      <c r="F188" s="19">
        <v>181</v>
      </c>
      <c r="G188" s="55">
        <v>0</v>
      </c>
      <c r="H188" s="96">
        <f t="shared" si="2"/>
        <v>0</v>
      </c>
    </row>
    <row r="189" spans="5:8" ht="12.75">
      <c r="E189" s="88">
        <v>37438</v>
      </c>
      <c r="F189" s="19">
        <v>182</v>
      </c>
      <c r="G189" s="55">
        <v>5</v>
      </c>
      <c r="H189" s="96">
        <f t="shared" si="2"/>
        <v>12.732104413347686</v>
      </c>
    </row>
    <row r="190" spans="5:8" ht="12.75">
      <c r="E190" s="88">
        <v>37439</v>
      </c>
      <c r="F190" s="19">
        <v>183</v>
      </c>
      <c r="G190" s="55">
        <v>0</v>
      </c>
      <c r="H190" s="96">
        <f t="shared" si="2"/>
        <v>0</v>
      </c>
    </row>
    <row r="191" spans="5:8" ht="12.75">
      <c r="E191" s="88">
        <v>37440</v>
      </c>
      <c r="F191" s="19">
        <v>184</v>
      </c>
      <c r="G191" s="55">
        <v>0</v>
      </c>
      <c r="H191" s="96">
        <f t="shared" si="2"/>
        <v>0</v>
      </c>
    </row>
    <row r="192" spans="5:8" ht="12.75">
      <c r="E192" s="88">
        <v>37441</v>
      </c>
      <c r="F192" s="19">
        <v>185</v>
      </c>
      <c r="G192" s="55">
        <v>0</v>
      </c>
      <c r="H192" s="96">
        <f t="shared" si="2"/>
        <v>0</v>
      </c>
    </row>
    <row r="193" spans="5:8" ht="12.75">
      <c r="E193" s="88">
        <v>37442</v>
      </c>
      <c r="F193" s="19">
        <v>186</v>
      </c>
      <c r="G193" s="55">
        <v>0</v>
      </c>
      <c r="H193" s="96">
        <f t="shared" si="2"/>
        <v>0</v>
      </c>
    </row>
    <row r="194" spans="5:8" ht="12.75">
      <c r="E194" s="88">
        <v>37443</v>
      </c>
      <c r="F194" s="19">
        <v>187</v>
      </c>
      <c r="G194" s="55">
        <v>0</v>
      </c>
      <c r="H194" s="96">
        <f t="shared" si="2"/>
        <v>0</v>
      </c>
    </row>
    <row r="195" spans="5:8" ht="12.75">
      <c r="E195" s="88">
        <v>37444</v>
      </c>
      <c r="F195" s="19">
        <v>188</v>
      </c>
      <c r="G195" s="55">
        <v>0</v>
      </c>
      <c r="H195" s="96">
        <f t="shared" si="2"/>
        <v>0</v>
      </c>
    </row>
    <row r="196" spans="5:8" ht="12.75">
      <c r="E196" s="88">
        <v>37445</v>
      </c>
      <c r="F196" s="19">
        <v>189</v>
      </c>
      <c r="G196" s="55">
        <v>0</v>
      </c>
      <c r="H196" s="96">
        <f t="shared" si="2"/>
        <v>0</v>
      </c>
    </row>
    <row r="197" spans="5:8" ht="12.75">
      <c r="E197" s="88">
        <v>37446</v>
      </c>
      <c r="F197" s="19">
        <v>190</v>
      </c>
      <c r="G197" s="55">
        <v>0</v>
      </c>
      <c r="H197" s="96">
        <f t="shared" si="2"/>
        <v>0</v>
      </c>
    </row>
    <row r="198" spans="5:8" ht="12.75">
      <c r="E198" s="88">
        <v>37447</v>
      </c>
      <c r="F198" s="19">
        <v>191</v>
      </c>
      <c r="G198" s="55">
        <v>0</v>
      </c>
      <c r="H198" s="96">
        <f t="shared" si="2"/>
        <v>0</v>
      </c>
    </row>
    <row r="199" spans="5:8" ht="12.75">
      <c r="E199" s="88">
        <v>37448</v>
      </c>
      <c r="F199" s="19">
        <v>192</v>
      </c>
      <c r="G199" s="55">
        <v>0</v>
      </c>
      <c r="H199" s="96">
        <f t="shared" si="2"/>
        <v>0</v>
      </c>
    </row>
    <row r="200" spans="5:8" ht="12.75">
      <c r="E200" s="88">
        <v>37449</v>
      </c>
      <c r="F200" s="19">
        <v>193</v>
      </c>
      <c r="G200" s="55">
        <v>0</v>
      </c>
      <c r="H200" s="96">
        <f t="shared" si="2"/>
        <v>0</v>
      </c>
    </row>
    <row r="201" spans="5:8" ht="12.75">
      <c r="E201" s="88">
        <v>37450</v>
      </c>
      <c r="F201" s="19">
        <v>194</v>
      </c>
      <c r="G201" s="55">
        <v>0</v>
      </c>
      <c r="H201" s="96">
        <f aca="true" t="shared" si="3" ref="H201:H264">(G201*(1/(($B$6*$C$6)*0.0929))*3.785)</f>
        <v>0</v>
      </c>
    </row>
    <row r="202" spans="5:8" ht="12.75">
      <c r="E202" s="88">
        <v>37451</v>
      </c>
      <c r="F202" s="19">
        <v>195</v>
      </c>
      <c r="G202" s="55">
        <v>5</v>
      </c>
      <c r="H202" s="96">
        <f t="shared" si="3"/>
        <v>12.732104413347686</v>
      </c>
    </row>
    <row r="203" spans="5:8" ht="12.75">
      <c r="E203" s="88">
        <v>37452</v>
      </c>
      <c r="F203" s="19">
        <v>196</v>
      </c>
      <c r="G203" s="55">
        <v>0</v>
      </c>
      <c r="H203" s="96">
        <f t="shared" si="3"/>
        <v>0</v>
      </c>
    </row>
    <row r="204" spans="5:8" ht="12.75">
      <c r="E204" s="88">
        <v>37453</v>
      </c>
      <c r="F204" s="19">
        <v>197</v>
      </c>
      <c r="G204" s="55">
        <v>0</v>
      </c>
      <c r="H204" s="96">
        <f t="shared" si="3"/>
        <v>0</v>
      </c>
    </row>
    <row r="205" spans="5:8" ht="12.75">
      <c r="E205" s="88">
        <v>37454</v>
      </c>
      <c r="F205" s="19">
        <v>198</v>
      </c>
      <c r="G205" s="55">
        <v>0</v>
      </c>
      <c r="H205" s="96">
        <f t="shared" si="3"/>
        <v>0</v>
      </c>
    </row>
    <row r="206" spans="5:8" ht="12.75">
      <c r="E206" s="88">
        <v>37455</v>
      </c>
      <c r="F206" s="19">
        <v>199</v>
      </c>
      <c r="G206" s="55">
        <v>0</v>
      </c>
      <c r="H206" s="96">
        <f t="shared" si="3"/>
        <v>0</v>
      </c>
    </row>
    <row r="207" spans="5:8" ht="12.75">
      <c r="E207" s="88">
        <v>37456</v>
      </c>
      <c r="F207" s="19">
        <v>200</v>
      </c>
      <c r="G207" s="55">
        <v>0</v>
      </c>
      <c r="H207" s="96">
        <f t="shared" si="3"/>
        <v>0</v>
      </c>
    </row>
    <row r="208" spans="5:8" ht="12.75">
      <c r="E208" s="88">
        <v>37457</v>
      </c>
      <c r="F208" s="19">
        <v>201</v>
      </c>
      <c r="G208" s="55">
        <v>0</v>
      </c>
      <c r="H208" s="96">
        <f t="shared" si="3"/>
        <v>0</v>
      </c>
    </row>
    <row r="209" spans="5:8" ht="12.75">
      <c r="E209" s="88">
        <v>37458</v>
      </c>
      <c r="F209" s="19">
        <v>202</v>
      </c>
      <c r="G209" s="55">
        <v>0</v>
      </c>
      <c r="H209" s="96">
        <f t="shared" si="3"/>
        <v>0</v>
      </c>
    </row>
    <row r="210" spans="5:8" ht="12.75">
      <c r="E210" s="88">
        <v>37459</v>
      </c>
      <c r="F210" s="19">
        <v>203</v>
      </c>
      <c r="G210" s="55">
        <v>0</v>
      </c>
      <c r="H210" s="96">
        <f t="shared" si="3"/>
        <v>0</v>
      </c>
    </row>
    <row r="211" spans="5:8" ht="12.75">
      <c r="E211" s="88">
        <v>37460</v>
      </c>
      <c r="F211" s="19">
        <v>204</v>
      </c>
      <c r="G211" s="55">
        <v>0</v>
      </c>
      <c r="H211" s="96">
        <f t="shared" si="3"/>
        <v>0</v>
      </c>
    </row>
    <row r="212" spans="5:8" ht="12.75">
      <c r="E212" s="88">
        <v>37461</v>
      </c>
      <c r="F212" s="19">
        <v>205</v>
      </c>
      <c r="G212" s="55">
        <v>0</v>
      </c>
      <c r="H212" s="96">
        <f t="shared" si="3"/>
        <v>0</v>
      </c>
    </row>
    <row r="213" spans="5:8" ht="12.75">
      <c r="E213" s="88">
        <v>37462</v>
      </c>
      <c r="F213" s="19">
        <v>206</v>
      </c>
      <c r="G213" s="55">
        <v>0</v>
      </c>
      <c r="H213" s="96">
        <f t="shared" si="3"/>
        <v>0</v>
      </c>
    </row>
    <row r="214" spans="5:8" ht="12.75">
      <c r="E214" s="88">
        <v>37463</v>
      </c>
      <c r="F214" s="19">
        <v>207</v>
      </c>
      <c r="G214" s="55">
        <v>0</v>
      </c>
      <c r="H214" s="96">
        <f t="shared" si="3"/>
        <v>0</v>
      </c>
    </row>
    <row r="215" spans="5:8" ht="12.75">
      <c r="E215" s="88">
        <v>37464</v>
      </c>
      <c r="F215" s="19">
        <v>208</v>
      </c>
      <c r="G215" s="55">
        <v>0</v>
      </c>
      <c r="H215" s="96">
        <f t="shared" si="3"/>
        <v>0</v>
      </c>
    </row>
    <row r="216" spans="5:8" ht="12.75">
      <c r="E216" s="88">
        <v>37465</v>
      </c>
      <c r="F216" s="19">
        <v>209</v>
      </c>
      <c r="G216" s="55">
        <v>0</v>
      </c>
      <c r="H216" s="96">
        <f t="shared" si="3"/>
        <v>0</v>
      </c>
    </row>
    <row r="217" spans="5:8" ht="12.75">
      <c r="E217" s="88">
        <v>37466</v>
      </c>
      <c r="F217" s="19">
        <v>210</v>
      </c>
      <c r="G217" s="55">
        <v>0</v>
      </c>
      <c r="H217" s="96">
        <f t="shared" si="3"/>
        <v>0</v>
      </c>
    </row>
    <row r="218" spans="5:8" ht="12.75">
      <c r="E218" s="88">
        <v>37467</v>
      </c>
      <c r="F218" s="19">
        <v>211</v>
      </c>
      <c r="G218" s="55">
        <v>0</v>
      </c>
      <c r="H218" s="96">
        <f t="shared" si="3"/>
        <v>0</v>
      </c>
    </row>
    <row r="219" spans="5:8" ht="12.75">
      <c r="E219" s="88">
        <v>37468</v>
      </c>
      <c r="F219" s="19">
        <v>212</v>
      </c>
      <c r="G219" s="55">
        <v>0</v>
      </c>
      <c r="H219" s="96">
        <f t="shared" si="3"/>
        <v>0</v>
      </c>
    </row>
    <row r="220" spans="5:8" ht="12.75">
      <c r="E220" s="88">
        <v>37469</v>
      </c>
      <c r="F220" s="19">
        <v>213</v>
      </c>
      <c r="G220" s="55">
        <v>5</v>
      </c>
      <c r="H220" s="96">
        <f t="shared" si="3"/>
        <v>12.732104413347686</v>
      </c>
    </row>
    <row r="221" spans="5:8" ht="12.75">
      <c r="E221" s="88">
        <v>37470</v>
      </c>
      <c r="F221" s="19">
        <v>214</v>
      </c>
      <c r="G221" s="55">
        <v>0</v>
      </c>
      <c r="H221" s="96">
        <f t="shared" si="3"/>
        <v>0</v>
      </c>
    </row>
    <row r="222" spans="5:8" ht="12.75">
      <c r="E222" s="88">
        <v>37471</v>
      </c>
      <c r="F222" s="19">
        <v>215</v>
      </c>
      <c r="G222" s="55">
        <v>0</v>
      </c>
      <c r="H222" s="96">
        <f t="shared" si="3"/>
        <v>0</v>
      </c>
    </row>
    <row r="223" spans="5:8" ht="12.75">
      <c r="E223" s="88">
        <v>37472</v>
      </c>
      <c r="F223" s="19">
        <v>216</v>
      </c>
      <c r="G223" s="55">
        <v>0</v>
      </c>
      <c r="H223" s="96">
        <f t="shared" si="3"/>
        <v>0</v>
      </c>
    </row>
    <row r="224" spans="5:8" ht="12.75">
      <c r="E224" s="88">
        <v>37473</v>
      </c>
      <c r="F224" s="19">
        <v>217</v>
      </c>
      <c r="G224" s="55">
        <v>0</v>
      </c>
      <c r="H224" s="96">
        <f t="shared" si="3"/>
        <v>0</v>
      </c>
    </row>
    <row r="225" spans="5:8" ht="12.75">
      <c r="E225" s="88">
        <v>37474</v>
      </c>
      <c r="F225" s="19">
        <v>218</v>
      </c>
      <c r="G225" s="55">
        <v>0</v>
      </c>
      <c r="H225" s="96">
        <f t="shared" si="3"/>
        <v>0</v>
      </c>
    </row>
    <row r="226" spans="5:8" ht="12.75">
      <c r="E226" s="88">
        <v>37475</v>
      </c>
      <c r="F226" s="19">
        <v>219</v>
      </c>
      <c r="G226" s="55">
        <v>0</v>
      </c>
      <c r="H226" s="96">
        <f t="shared" si="3"/>
        <v>0</v>
      </c>
    </row>
    <row r="227" spans="5:8" ht="12.75">
      <c r="E227" s="88">
        <v>37476</v>
      </c>
      <c r="F227" s="19">
        <v>220</v>
      </c>
      <c r="G227" s="55">
        <v>0</v>
      </c>
      <c r="H227" s="96">
        <f t="shared" si="3"/>
        <v>0</v>
      </c>
    </row>
    <row r="228" spans="5:8" ht="12.75">
      <c r="E228" s="88">
        <v>37477</v>
      </c>
      <c r="F228" s="19">
        <v>221</v>
      </c>
      <c r="G228" s="55">
        <v>0</v>
      </c>
      <c r="H228" s="96">
        <f t="shared" si="3"/>
        <v>0</v>
      </c>
    </row>
    <row r="229" spans="5:8" ht="12.75">
      <c r="E229" s="88">
        <v>37478</v>
      </c>
      <c r="F229" s="19">
        <v>222</v>
      </c>
      <c r="G229" s="55">
        <v>0</v>
      </c>
      <c r="H229" s="96">
        <f t="shared" si="3"/>
        <v>0</v>
      </c>
    </row>
    <row r="230" spans="5:8" ht="12.75">
      <c r="E230" s="88">
        <v>37479</v>
      </c>
      <c r="F230" s="19">
        <v>223</v>
      </c>
      <c r="G230" s="55">
        <v>0</v>
      </c>
      <c r="H230" s="96">
        <f t="shared" si="3"/>
        <v>0</v>
      </c>
    </row>
    <row r="231" spans="5:8" ht="12.75">
      <c r="E231" s="88">
        <v>37480</v>
      </c>
      <c r="F231" s="19">
        <v>224</v>
      </c>
      <c r="G231" s="55">
        <v>0</v>
      </c>
      <c r="H231" s="96">
        <f t="shared" si="3"/>
        <v>0</v>
      </c>
    </row>
    <row r="232" spans="5:8" ht="12.75">
      <c r="E232" s="88">
        <v>37481</v>
      </c>
      <c r="F232" s="19">
        <v>225</v>
      </c>
      <c r="G232" s="55">
        <v>0</v>
      </c>
      <c r="H232" s="96">
        <f t="shared" si="3"/>
        <v>0</v>
      </c>
    </row>
    <row r="233" spans="5:8" ht="12.75">
      <c r="E233" s="88">
        <v>37482</v>
      </c>
      <c r="F233" s="19">
        <v>226</v>
      </c>
      <c r="G233" s="55">
        <v>0</v>
      </c>
      <c r="H233" s="96">
        <f t="shared" si="3"/>
        <v>0</v>
      </c>
    </row>
    <row r="234" spans="5:8" ht="12.75">
      <c r="E234" s="88">
        <v>37483</v>
      </c>
      <c r="F234" s="19">
        <v>227</v>
      </c>
      <c r="G234" s="55">
        <v>5</v>
      </c>
      <c r="H234" s="96">
        <f t="shared" si="3"/>
        <v>12.732104413347686</v>
      </c>
    </row>
    <row r="235" spans="5:8" ht="12.75">
      <c r="E235" s="88">
        <v>37484</v>
      </c>
      <c r="F235" s="19">
        <v>228</v>
      </c>
      <c r="G235" s="55">
        <v>0</v>
      </c>
      <c r="H235" s="96">
        <f t="shared" si="3"/>
        <v>0</v>
      </c>
    </row>
    <row r="236" spans="5:8" ht="12.75">
      <c r="E236" s="88">
        <v>37485</v>
      </c>
      <c r="F236" s="19">
        <v>229</v>
      </c>
      <c r="G236" s="55">
        <v>0</v>
      </c>
      <c r="H236" s="96">
        <f t="shared" si="3"/>
        <v>0</v>
      </c>
    </row>
    <row r="237" spans="5:8" ht="12.75">
      <c r="E237" s="88">
        <v>37486</v>
      </c>
      <c r="F237" s="19">
        <v>230</v>
      </c>
      <c r="G237" s="55">
        <v>0</v>
      </c>
      <c r="H237" s="96">
        <f t="shared" si="3"/>
        <v>0</v>
      </c>
    </row>
    <row r="238" spans="5:8" ht="12.75">
      <c r="E238" s="88">
        <v>37487</v>
      </c>
      <c r="F238" s="19">
        <v>231</v>
      </c>
      <c r="G238" s="55">
        <v>0</v>
      </c>
      <c r="H238" s="96">
        <f t="shared" si="3"/>
        <v>0</v>
      </c>
    </row>
    <row r="239" spans="5:8" ht="12.75">
      <c r="E239" s="88">
        <v>37488</v>
      </c>
      <c r="F239" s="19">
        <v>232</v>
      </c>
      <c r="G239" s="55">
        <v>0</v>
      </c>
      <c r="H239" s="96">
        <f t="shared" si="3"/>
        <v>0</v>
      </c>
    </row>
    <row r="240" spans="5:8" ht="12.75">
      <c r="E240" s="88">
        <v>37489</v>
      </c>
      <c r="F240" s="19">
        <v>233</v>
      </c>
      <c r="G240" s="55">
        <v>0</v>
      </c>
      <c r="H240" s="96">
        <f t="shared" si="3"/>
        <v>0</v>
      </c>
    </row>
    <row r="241" spans="5:8" ht="12.75">
      <c r="E241" s="88">
        <v>37490</v>
      </c>
      <c r="F241" s="19">
        <v>234</v>
      </c>
      <c r="G241" s="55">
        <v>0</v>
      </c>
      <c r="H241" s="96">
        <f t="shared" si="3"/>
        <v>0</v>
      </c>
    </row>
    <row r="242" spans="5:8" ht="12.75">
      <c r="E242" s="88">
        <v>37491</v>
      </c>
      <c r="F242" s="19">
        <v>235</v>
      </c>
      <c r="G242" s="55">
        <v>0</v>
      </c>
      <c r="H242" s="96">
        <f t="shared" si="3"/>
        <v>0</v>
      </c>
    </row>
    <row r="243" spans="5:8" ht="12.75">
      <c r="E243" s="88">
        <v>37492</v>
      </c>
      <c r="F243" s="19">
        <v>236</v>
      </c>
      <c r="G243" s="55">
        <v>0</v>
      </c>
      <c r="H243" s="96">
        <f t="shared" si="3"/>
        <v>0</v>
      </c>
    </row>
    <row r="244" spans="5:8" ht="12.75">
      <c r="E244" s="88">
        <v>37493</v>
      </c>
      <c r="F244" s="19">
        <v>237</v>
      </c>
      <c r="G244" s="55">
        <v>0</v>
      </c>
      <c r="H244" s="96">
        <f t="shared" si="3"/>
        <v>0</v>
      </c>
    </row>
    <row r="245" spans="5:8" ht="12.75">
      <c r="E245" s="88">
        <v>37494</v>
      </c>
      <c r="F245" s="19">
        <v>238</v>
      </c>
      <c r="G245" s="55">
        <v>0</v>
      </c>
      <c r="H245" s="96">
        <f t="shared" si="3"/>
        <v>0</v>
      </c>
    </row>
    <row r="246" spans="5:8" ht="12.75">
      <c r="E246" s="88">
        <v>37495</v>
      </c>
      <c r="F246" s="19">
        <v>239</v>
      </c>
      <c r="G246" s="55">
        <v>0</v>
      </c>
      <c r="H246" s="96">
        <f t="shared" si="3"/>
        <v>0</v>
      </c>
    </row>
    <row r="247" spans="5:8" ht="12.75">
      <c r="E247" s="88">
        <v>37496</v>
      </c>
      <c r="F247" s="19">
        <v>240</v>
      </c>
      <c r="G247" s="55">
        <v>0</v>
      </c>
      <c r="H247" s="96">
        <f t="shared" si="3"/>
        <v>0</v>
      </c>
    </row>
    <row r="248" spans="5:8" ht="12.75">
      <c r="E248" s="88">
        <v>37497</v>
      </c>
      <c r="F248" s="19">
        <v>241</v>
      </c>
      <c r="G248" s="55">
        <v>0</v>
      </c>
      <c r="H248" s="96">
        <f t="shared" si="3"/>
        <v>0</v>
      </c>
    </row>
    <row r="249" spans="5:8" ht="12.75">
      <c r="E249" s="88">
        <v>37498</v>
      </c>
      <c r="F249" s="19">
        <v>242</v>
      </c>
      <c r="G249" s="55">
        <v>0</v>
      </c>
      <c r="H249" s="96">
        <f t="shared" si="3"/>
        <v>0</v>
      </c>
    </row>
    <row r="250" spans="5:8" ht="12.75">
      <c r="E250" s="88">
        <v>37499</v>
      </c>
      <c r="F250" s="19">
        <v>243</v>
      </c>
      <c r="G250" s="55">
        <v>0</v>
      </c>
      <c r="H250" s="96">
        <f t="shared" si="3"/>
        <v>0</v>
      </c>
    </row>
    <row r="251" spans="5:8" ht="12.75">
      <c r="E251" s="88">
        <v>37500</v>
      </c>
      <c r="F251" s="19">
        <v>244</v>
      </c>
      <c r="G251" s="55">
        <v>5</v>
      </c>
      <c r="H251" s="96">
        <f t="shared" si="3"/>
        <v>12.732104413347686</v>
      </c>
    </row>
    <row r="252" spans="5:8" ht="12.75">
      <c r="E252" s="88">
        <v>37501</v>
      </c>
      <c r="F252" s="19">
        <v>245</v>
      </c>
      <c r="G252" s="55">
        <v>0</v>
      </c>
      <c r="H252" s="96">
        <f t="shared" si="3"/>
        <v>0</v>
      </c>
    </row>
    <row r="253" spans="5:8" ht="12.75">
      <c r="E253" s="88">
        <v>37502</v>
      </c>
      <c r="F253" s="19">
        <v>246</v>
      </c>
      <c r="G253" s="55">
        <v>0</v>
      </c>
      <c r="H253" s="96">
        <f t="shared" si="3"/>
        <v>0</v>
      </c>
    </row>
    <row r="254" spans="5:8" ht="12.75">
      <c r="E254" s="88">
        <v>37503</v>
      </c>
      <c r="F254" s="19">
        <v>247</v>
      </c>
      <c r="G254" s="55">
        <v>0</v>
      </c>
      <c r="H254" s="96">
        <f t="shared" si="3"/>
        <v>0</v>
      </c>
    </row>
    <row r="255" spans="5:8" ht="12.75">
      <c r="E255" s="88">
        <v>37504</v>
      </c>
      <c r="F255" s="19">
        <v>248</v>
      </c>
      <c r="G255" s="55">
        <v>0</v>
      </c>
      <c r="H255" s="96">
        <f t="shared" si="3"/>
        <v>0</v>
      </c>
    </row>
    <row r="256" spans="5:8" ht="12.75">
      <c r="E256" s="88">
        <v>37505</v>
      </c>
      <c r="F256" s="19">
        <v>249</v>
      </c>
      <c r="G256" s="55">
        <v>0</v>
      </c>
      <c r="H256" s="96">
        <f t="shared" si="3"/>
        <v>0</v>
      </c>
    </row>
    <row r="257" spans="5:8" ht="12.75">
      <c r="E257" s="88">
        <v>37506</v>
      </c>
      <c r="F257" s="19">
        <v>250</v>
      </c>
      <c r="G257" s="55">
        <v>0</v>
      </c>
      <c r="H257" s="96">
        <f t="shared" si="3"/>
        <v>0</v>
      </c>
    </row>
    <row r="258" spans="5:8" ht="12.75">
      <c r="E258" s="88">
        <v>37507</v>
      </c>
      <c r="F258" s="19">
        <v>251</v>
      </c>
      <c r="G258" s="55">
        <v>0</v>
      </c>
      <c r="H258" s="96">
        <f t="shared" si="3"/>
        <v>0</v>
      </c>
    </row>
    <row r="259" spans="5:8" ht="12.75">
      <c r="E259" s="88">
        <v>37508</v>
      </c>
      <c r="F259" s="19">
        <v>252</v>
      </c>
      <c r="G259" s="55">
        <v>0</v>
      </c>
      <c r="H259" s="96">
        <f t="shared" si="3"/>
        <v>0</v>
      </c>
    </row>
    <row r="260" spans="5:8" ht="12.75">
      <c r="E260" s="88">
        <v>37509</v>
      </c>
      <c r="F260" s="19">
        <v>253</v>
      </c>
      <c r="G260" s="55">
        <v>0</v>
      </c>
      <c r="H260" s="96">
        <f t="shared" si="3"/>
        <v>0</v>
      </c>
    </row>
    <row r="261" spans="5:8" ht="12.75">
      <c r="E261" s="88">
        <v>37510</v>
      </c>
      <c r="F261" s="19">
        <v>254</v>
      </c>
      <c r="G261" s="55">
        <v>0</v>
      </c>
      <c r="H261" s="96">
        <f t="shared" si="3"/>
        <v>0</v>
      </c>
    </row>
    <row r="262" spans="5:8" ht="12.75">
      <c r="E262" s="88">
        <v>37511</v>
      </c>
      <c r="F262" s="19">
        <v>255</v>
      </c>
      <c r="G262" s="55">
        <v>0</v>
      </c>
      <c r="H262" s="96">
        <f t="shared" si="3"/>
        <v>0</v>
      </c>
    </row>
    <row r="263" spans="5:8" ht="12.75">
      <c r="E263" s="88">
        <v>37512</v>
      </c>
      <c r="F263" s="19">
        <v>256</v>
      </c>
      <c r="G263" s="55">
        <v>0</v>
      </c>
      <c r="H263" s="96">
        <f t="shared" si="3"/>
        <v>0</v>
      </c>
    </row>
    <row r="264" spans="5:8" ht="12.75">
      <c r="E264" s="88">
        <v>37513</v>
      </c>
      <c r="F264" s="19">
        <v>257</v>
      </c>
      <c r="G264" s="55">
        <v>0</v>
      </c>
      <c r="H264" s="96">
        <f t="shared" si="3"/>
        <v>0</v>
      </c>
    </row>
    <row r="265" spans="5:8" ht="12.75">
      <c r="E265" s="88">
        <v>37514</v>
      </c>
      <c r="F265" s="19">
        <v>258</v>
      </c>
      <c r="G265" s="55">
        <v>0</v>
      </c>
      <c r="H265" s="96">
        <f aca="true" t="shared" si="4" ref="H265:H328">(G265*(1/(($B$6*$C$6)*0.0929))*3.785)</f>
        <v>0</v>
      </c>
    </row>
    <row r="266" spans="5:8" ht="12.75">
      <c r="E266" s="88">
        <v>37515</v>
      </c>
      <c r="F266" s="19">
        <v>259</v>
      </c>
      <c r="G266" s="55">
        <v>0</v>
      </c>
      <c r="H266" s="96">
        <f t="shared" si="4"/>
        <v>0</v>
      </c>
    </row>
    <row r="267" spans="5:8" ht="12.75">
      <c r="E267" s="88">
        <v>37516</v>
      </c>
      <c r="F267" s="19">
        <v>260</v>
      </c>
      <c r="G267" s="55">
        <v>0</v>
      </c>
      <c r="H267" s="96">
        <f t="shared" si="4"/>
        <v>0</v>
      </c>
    </row>
    <row r="268" spans="5:8" ht="12.75">
      <c r="E268" s="88">
        <v>37517</v>
      </c>
      <c r="F268" s="19">
        <v>261</v>
      </c>
      <c r="G268" s="55">
        <v>0</v>
      </c>
      <c r="H268" s="96">
        <f t="shared" si="4"/>
        <v>0</v>
      </c>
    </row>
    <row r="269" spans="5:8" ht="12.75">
      <c r="E269" s="88">
        <v>37518</v>
      </c>
      <c r="F269" s="19">
        <v>262</v>
      </c>
      <c r="G269" s="55">
        <v>0</v>
      </c>
      <c r="H269" s="96">
        <f t="shared" si="4"/>
        <v>0</v>
      </c>
    </row>
    <row r="270" spans="5:8" ht="12.75">
      <c r="E270" s="88">
        <v>37519</v>
      </c>
      <c r="F270" s="19">
        <v>263</v>
      </c>
      <c r="G270" s="55">
        <v>0</v>
      </c>
      <c r="H270" s="96">
        <f t="shared" si="4"/>
        <v>0</v>
      </c>
    </row>
    <row r="271" spans="5:8" ht="12.75">
      <c r="E271" s="88">
        <v>37520</v>
      </c>
      <c r="F271" s="19">
        <v>264</v>
      </c>
      <c r="G271" s="55">
        <v>0</v>
      </c>
      <c r="H271" s="96">
        <f t="shared" si="4"/>
        <v>0</v>
      </c>
    </row>
    <row r="272" spans="5:8" ht="12.75">
      <c r="E272" s="88">
        <v>37521</v>
      </c>
      <c r="F272" s="19">
        <v>265</v>
      </c>
      <c r="G272" s="55">
        <v>0</v>
      </c>
      <c r="H272" s="96">
        <f t="shared" si="4"/>
        <v>0</v>
      </c>
    </row>
    <row r="273" spans="5:8" ht="12.75">
      <c r="E273" s="88">
        <v>37522</v>
      </c>
      <c r="F273" s="19">
        <v>266</v>
      </c>
      <c r="G273" s="55">
        <v>0</v>
      </c>
      <c r="H273" s="96">
        <f t="shared" si="4"/>
        <v>0</v>
      </c>
    </row>
    <row r="274" spans="5:8" ht="12.75">
      <c r="E274" s="88">
        <v>37523</v>
      </c>
      <c r="F274" s="19">
        <v>267</v>
      </c>
      <c r="G274" s="55">
        <v>0</v>
      </c>
      <c r="H274" s="96">
        <f t="shared" si="4"/>
        <v>0</v>
      </c>
    </row>
    <row r="275" spans="5:8" ht="12.75">
      <c r="E275" s="88">
        <v>37524</v>
      </c>
      <c r="F275" s="19">
        <v>268</v>
      </c>
      <c r="G275" s="55">
        <v>0</v>
      </c>
      <c r="H275" s="96">
        <f t="shared" si="4"/>
        <v>0</v>
      </c>
    </row>
    <row r="276" spans="5:8" ht="12.75">
      <c r="E276" s="88">
        <v>37525</v>
      </c>
      <c r="F276" s="19">
        <v>269</v>
      </c>
      <c r="G276" s="55">
        <v>0</v>
      </c>
      <c r="H276" s="96">
        <f t="shared" si="4"/>
        <v>0</v>
      </c>
    </row>
    <row r="277" spans="5:8" ht="12.75">
      <c r="E277" s="88">
        <v>37526</v>
      </c>
      <c r="F277" s="19">
        <v>270</v>
      </c>
      <c r="G277" s="55">
        <v>0</v>
      </c>
      <c r="H277" s="96">
        <f t="shared" si="4"/>
        <v>0</v>
      </c>
    </row>
    <row r="278" spans="5:8" ht="12.75">
      <c r="E278" s="88">
        <v>37527</v>
      </c>
      <c r="F278" s="19">
        <v>271</v>
      </c>
      <c r="G278" s="55">
        <v>0</v>
      </c>
      <c r="H278" s="96">
        <f t="shared" si="4"/>
        <v>0</v>
      </c>
    </row>
    <row r="279" spans="5:8" ht="12.75">
      <c r="E279" s="88">
        <v>37528</v>
      </c>
      <c r="F279" s="19">
        <v>272</v>
      </c>
      <c r="G279" s="55">
        <v>0</v>
      </c>
      <c r="H279" s="96">
        <f t="shared" si="4"/>
        <v>0</v>
      </c>
    </row>
    <row r="280" spans="5:8" ht="12.75">
      <c r="E280" s="88">
        <v>37529</v>
      </c>
      <c r="F280" s="19">
        <v>273</v>
      </c>
      <c r="G280" s="55">
        <v>10</v>
      </c>
      <c r="H280" s="96">
        <f t="shared" si="4"/>
        <v>25.464208826695373</v>
      </c>
    </row>
    <row r="281" spans="5:8" ht="12.75">
      <c r="E281" s="88">
        <v>37530</v>
      </c>
      <c r="F281" s="19">
        <v>274</v>
      </c>
      <c r="G281" s="55">
        <v>0</v>
      </c>
      <c r="H281" s="96">
        <f t="shared" si="4"/>
        <v>0</v>
      </c>
    </row>
    <row r="282" spans="5:8" ht="12.75">
      <c r="E282" s="88">
        <v>37531</v>
      </c>
      <c r="F282" s="19">
        <v>275</v>
      </c>
      <c r="G282" s="55">
        <v>0</v>
      </c>
      <c r="H282" s="96">
        <f t="shared" si="4"/>
        <v>0</v>
      </c>
    </row>
    <row r="283" spans="5:8" ht="12.75">
      <c r="E283" s="88">
        <v>37532</v>
      </c>
      <c r="F283" s="19">
        <v>276</v>
      </c>
      <c r="G283" s="55">
        <v>0</v>
      </c>
      <c r="H283" s="96">
        <f t="shared" si="4"/>
        <v>0</v>
      </c>
    </row>
    <row r="284" spans="5:8" ht="12.75">
      <c r="E284" s="88">
        <v>37533</v>
      </c>
      <c r="F284" s="19">
        <v>277</v>
      </c>
      <c r="G284" s="55">
        <v>0</v>
      </c>
      <c r="H284" s="96">
        <f t="shared" si="4"/>
        <v>0</v>
      </c>
    </row>
    <row r="285" spans="5:8" ht="12.75">
      <c r="E285" s="88">
        <v>37534</v>
      </c>
      <c r="F285" s="19">
        <v>278</v>
      </c>
      <c r="G285" s="55">
        <v>0</v>
      </c>
      <c r="H285" s="96">
        <f t="shared" si="4"/>
        <v>0</v>
      </c>
    </row>
    <row r="286" spans="5:8" ht="12.75">
      <c r="E286" s="88">
        <v>37535</v>
      </c>
      <c r="F286" s="19">
        <v>279</v>
      </c>
      <c r="G286" s="55">
        <v>0</v>
      </c>
      <c r="H286" s="96">
        <f t="shared" si="4"/>
        <v>0</v>
      </c>
    </row>
    <row r="287" spans="5:8" ht="12.75">
      <c r="E287" s="88">
        <v>37536</v>
      </c>
      <c r="F287" s="19">
        <v>280</v>
      </c>
      <c r="G287" s="55">
        <v>0</v>
      </c>
      <c r="H287" s="96">
        <f t="shared" si="4"/>
        <v>0</v>
      </c>
    </row>
    <row r="288" spans="5:8" ht="12.75">
      <c r="E288" s="88">
        <v>37537</v>
      </c>
      <c r="F288" s="19">
        <v>281</v>
      </c>
      <c r="G288" s="55">
        <v>0</v>
      </c>
      <c r="H288" s="96">
        <f t="shared" si="4"/>
        <v>0</v>
      </c>
    </row>
    <row r="289" spans="5:8" ht="12.75">
      <c r="E289" s="88">
        <v>37538</v>
      </c>
      <c r="F289" s="19">
        <v>282</v>
      </c>
      <c r="G289" s="55">
        <v>0</v>
      </c>
      <c r="H289" s="96">
        <f t="shared" si="4"/>
        <v>0</v>
      </c>
    </row>
    <row r="290" spans="5:8" ht="12.75">
      <c r="E290" s="88">
        <v>37539</v>
      </c>
      <c r="F290" s="19">
        <v>283</v>
      </c>
      <c r="G290" s="55">
        <v>0</v>
      </c>
      <c r="H290" s="96">
        <f t="shared" si="4"/>
        <v>0</v>
      </c>
    </row>
    <row r="291" spans="5:8" ht="12.75">
      <c r="E291" s="88">
        <v>37540</v>
      </c>
      <c r="F291" s="19">
        <v>284</v>
      </c>
      <c r="G291" s="55">
        <v>0</v>
      </c>
      <c r="H291" s="96">
        <f t="shared" si="4"/>
        <v>0</v>
      </c>
    </row>
    <row r="292" spans="5:8" ht="12.75">
      <c r="E292" s="88">
        <v>37541</v>
      </c>
      <c r="F292" s="19">
        <v>285</v>
      </c>
      <c r="G292" s="55">
        <v>0</v>
      </c>
      <c r="H292" s="96">
        <f t="shared" si="4"/>
        <v>0</v>
      </c>
    </row>
    <row r="293" spans="5:8" ht="12.75">
      <c r="E293" s="88">
        <v>37542</v>
      </c>
      <c r="F293" s="19">
        <v>286</v>
      </c>
      <c r="G293" s="55">
        <v>0</v>
      </c>
      <c r="H293" s="96">
        <f t="shared" si="4"/>
        <v>0</v>
      </c>
    </row>
    <row r="294" spans="5:8" ht="12.75">
      <c r="E294" s="88">
        <v>37543</v>
      </c>
      <c r="F294" s="19">
        <v>287</v>
      </c>
      <c r="G294" s="55">
        <v>0</v>
      </c>
      <c r="H294" s="96">
        <f t="shared" si="4"/>
        <v>0</v>
      </c>
    </row>
    <row r="295" spans="5:8" ht="12.75">
      <c r="E295" s="88">
        <v>37544</v>
      </c>
      <c r="F295" s="19">
        <v>288</v>
      </c>
      <c r="G295" s="55">
        <v>0</v>
      </c>
      <c r="H295" s="96">
        <f t="shared" si="4"/>
        <v>0</v>
      </c>
    </row>
    <row r="296" spans="5:8" ht="12.75">
      <c r="E296" s="88">
        <v>37545</v>
      </c>
      <c r="F296" s="19">
        <v>289</v>
      </c>
      <c r="G296" s="55">
        <v>0</v>
      </c>
      <c r="H296" s="96">
        <f t="shared" si="4"/>
        <v>0</v>
      </c>
    </row>
    <row r="297" spans="5:8" ht="12.75">
      <c r="E297" s="88">
        <v>37546</v>
      </c>
      <c r="F297" s="19">
        <v>290</v>
      </c>
      <c r="G297" s="55">
        <v>0</v>
      </c>
      <c r="H297" s="96">
        <f t="shared" si="4"/>
        <v>0</v>
      </c>
    </row>
    <row r="298" spans="5:8" ht="12.75">
      <c r="E298" s="88">
        <v>37547</v>
      </c>
      <c r="F298" s="19">
        <v>291</v>
      </c>
      <c r="G298" s="55">
        <v>0</v>
      </c>
      <c r="H298" s="96">
        <f t="shared" si="4"/>
        <v>0</v>
      </c>
    </row>
    <row r="299" spans="5:8" ht="12.75">
      <c r="E299" s="88">
        <v>37548</v>
      </c>
      <c r="F299" s="19">
        <v>292</v>
      </c>
      <c r="G299" s="55">
        <v>0</v>
      </c>
      <c r="H299" s="96">
        <f t="shared" si="4"/>
        <v>0</v>
      </c>
    </row>
    <row r="300" spans="5:8" ht="12.75">
      <c r="E300" s="88">
        <v>37549</v>
      </c>
      <c r="F300" s="19">
        <v>293</v>
      </c>
      <c r="G300" s="55">
        <v>0</v>
      </c>
      <c r="H300" s="96">
        <f t="shared" si="4"/>
        <v>0</v>
      </c>
    </row>
    <row r="301" spans="5:8" ht="12.75">
      <c r="E301" s="88">
        <v>37550</v>
      </c>
      <c r="F301" s="19">
        <v>294</v>
      </c>
      <c r="G301" s="55">
        <v>0</v>
      </c>
      <c r="H301" s="96">
        <f t="shared" si="4"/>
        <v>0</v>
      </c>
    </row>
    <row r="302" spans="5:8" ht="12.75">
      <c r="E302" s="88">
        <v>37551</v>
      </c>
      <c r="F302" s="19">
        <v>295</v>
      </c>
      <c r="G302" s="55">
        <v>0</v>
      </c>
      <c r="H302" s="96">
        <f t="shared" si="4"/>
        <v>0</v>
      </c>
    </row>
    <row r="303" spans="5:8" ht="12.75">
      <c r="E303" s="88">
        <v>37552</v>
      </c>
      <c r="F303" s="19">
        <v>296</v>
      </c>
      <c r="G303" s="55">
        <v>0</v>
      </c>
      <c r="H303" s="96">
        <f t="shared" si="4"/>
        <v>0</v>
      </c>
    </row>
    <row r="304" spans="5:8" ht="12.75">
      <c r="E304" s="88">
        <v>37553</v>
      </c>
      <c r="F304" s="19">
        <v>297</v>
      </c>
      <c r="G304" s="55">
        <v>0</v>
      </c>
      <c r="H304" s="96">
        <f t="shared" si="4"/>
        <v>0</v>
      </c>
    </row>
    <row r="305" spans="5:8" ht="12.75">
      <c r="E305" s="88">
        <v>37554</v>
      </c>
      <c r="F305" s="19">
        <v>298</v>
      </c>
      <c r="G305" s="55">
        <v>0</v>
      </c>
      <c r="H305" s="96">
        <f t="shared" si="4"/>
        <v>0</v>
      </c>
    </row>
    <row r="306" spans="5:8" ht="12.75">
      <c r="E306" s="88">
        <v>37555</v>
      </c>
      <c r="F306" s="19">
        <v>299</v>
      </c>
      <c r="G306" s="55">
        <v>0</v>
      </c>
      <c r="H306" s="96">
        <f t="shared" si="4"/>
        <v>0</v>
      </c>
    </row>
    <row r="307" spans="5:8" ht="12.75">
      <c r="E307" s="88">
        <v>37556</v>
      </c>
      <c r="F307" s="19">
        <v>300</v>
      </c>
      <c r="G307" s="55">
        <v>0</v>
      </c>
      <c r="H307" s="96">
        <f t="shared" si="4"/>
        <v>0</v>
      </c>
    </row>
    <row r="308" spans="5:8" ht="12.75">
      <c r="E308" s="88">
        <v>37557</v>
      </c>
      <c r="F308" s="19">
        <v>301</v>
      </c>
      <c r="G308" s="55">
        <v>0</v>
      </c>
      <c r="H308" s="96">
        <f t="shared" si="4"/>
        <v>0</v>
      </c>
    </row>
    <row r="309" spans="5:8" ht="12.75">
      <c r="E309" s="88">
        <v>37558</v>
      </c>
      <c r="F309" s="19">
        <v>302</v>
      </c>
      <c r="G309" s="55">
        <v>0</v>
      </c>
      <c r="H309" s="96">
        <f t="shared" si="4"/>
        <v>0</v>
      </c>
    </row>
    <row r="310" spans="5:8" ht="12.75">
      <c r="E310" s="88">
        <v>37559</v>
      </c>
      <c r="F310" s="19">
        <v>303</v>
      </c>
      <c r="G310" s="55">
        <v>0</v>
      </c>
      <c r="H310" s="96">
        <f t="shared" si="4"/>
        <v>0</v>
      </c>
    </row>
    <row r="311" spans="5:8" ht="12.75">
      <c r="E311" s="88">
        <v>37560</v>
      </c>
      <c r="F311" s="19">
        <v>304</v>
      </c>
      <c r="G311" s="55">
        <v>0</v>
      </c>
      <c r="H311" s="96">
        <f t="shared" si="4"/>
        <v>0</v>
      </c>
    </row>
    <row r="312" spans="5:8" ht="12.75">
      <c r="E312" s="88">
        <v>37561</v>
      </c>
      <c r="F312" s="19">
        <v>305</v>
      </c>
      <c r="G312" s="55">
        <v>0</v>
      </c>
      <c r="H312" s="96">
        <f t="shared" si="4"/>
        <v>0</v>
      </c>
    </row>
    <row r="313" spans="5:8" ht="12.75">
      <c r="E313" s="88">
        <v>37562</v>
      </c>
      <c r="F313" s="19">
        <v>306</v>
      </c>
      <c r="G313" s="55">
        <v>0</v>
      </c>
      <c r="H313" s="96">
        <f t="shared" si="4"/>
        <v>0</v>
      </c>
    </row>
    <row r="314" spans="5:8" ht="12.75">
      <c r="E314" s="88">
        <v>37563</v>
      </c>
      <c r="F314" s="19">
        <v>307</v>
      </c>
      <c r="G314" s="55">
        <v>0</v>
      </c>
      <c r="H314" s="96">
        <f t="shared" si="4"/>
        <v>0</v>
      </c>
    </row>
    <row r="315" spans="5:8" ht="12.75">
      <c r="E315" s="88">
        <v>37564</v>
      </c>
      <c r="F315" s="19">
        <v>308</v>
      </c>
      <c r="G315" s="55">
        <v>0</v>
      </c>
      <c r="H315" s="96">
        <f t="shared" si="4"/>
        <v>0</v>
      </c>
    </row>
    <row r="316" spans="5:8" ht="12.75">
      <c r="E316" s="88">
        <v>37565</v>
      </c>
      <c r="F316" s="19">
        <v>309</v>
      </c>
      <c r="G316" s="55">
        <v>0</v>
      </c>
      <c r="H316" s="96">
        <f t="shared" si="4"/>
        <v>0</v>
      </c>
    </row>
    <row r="317" spans="5:8" ht="12.75">
      <c r="E317" s="88">
        <v>37566</v>
      </c>
      <c r="F317" s="19">
        <v>310</v>
      </c>
      <c r="G317" s="55">
        <v>0</v>
      </c>
      <c r="H317" s="96">
        <f t="shared" si="4"/>
        <v>0</v>
      </c>
    </row>
    <row r="318" spans="5:8" ht="12.75">
      <c r="E318" s="88">
        <v>37567</v>
      </c>
      <c r="F318" s="19">
        <v>311</v>
      </c>
      <c r="G318" s="55">
        <v>0</v>
      </c>
      <c r="H318" s="96">
        <f t="shared" si="4"/>
        <v>0</v>
      </c>
    </row>
    <row r="319" spans="5:8" ht="12.75">
      <c r="E319" s="88">
        <v>37568</v>
      </c>
      <c r="F319" s="19">
        <v>312</v>
      </c>
      <c r="G319" s="55">
        <v>0</v>
      </c>
      <c r="H319" s="96">
        <f t="shared" si="4"/>
        <v>0</v>
      </c>
    </row>
    <row r="320" spans="5:8" ht="12.75">
      <c r="E320" s="88">
        <v>37569</v>
      </c>
      <c r="F320" s="19">
        <v>313</v>
      </c>
      <c r="G320" s="55">
        <v>0</v>
      </c>
      <c r="H320" s="96">
        <f t="shared" si="4"/>
        <v>0</v>
      </c>
    </row>
    <row r="321" spans="5:8" ht="12.75">
      <c r="E321" s="88">
        <v>37570</v>
      </c>
      <c r="F321" s="19">
        <v>314</v>
      </c>
      <c r="G321" s="55">
        <v>0</v>
      </c>
      <c r="H321" s="96">
        <f t="shared" si="4"/>
        <v>0</v>
      </c>
    </row>
    <row r="322" spans="5:8" ht="12.75">
      <c r="E322" s="88">
        <v>37571</v>
      </c>
      <c r="F322" s="19">
        <v>315</v>
      </c>
      <c r="G322" s="55">
        <v>0</v>
      </c>
      <c r="H322" s="96">
        <f t="shared" si="4"/>
        <v>0</v>
      </c>
    </row>
    <row r="323" spans="5:8" ht="12.75">
      <c r="E323" s="88">
        <v>37572</v>
      </c>
      <c r="F323" s="19">
        <v>316</v>
      </c>
      <c r="G323" s="55">
        <v>0</v>
      </c>
      <c r="H323" s="96">
        <f t="shared" si="4"/>
        <v>0</v>
      </c>
    </row>
    <row r="324" spans="5:8" ht="12.75">
      <c r="E324" s="88">
        <v>37573</v>
      </c>
      <c r="F324" s="19">
        <v>317</v>
      </c>
      <c r="G324" s="55">
        <v>0</v>
      </c>
      <c r="H324" s="96">
        <f t="shared" si="4"/>
        <v>0</v>
      </c>
    </row>
    <row r="325" spans="5:8" ht="12.75">
      <c r="E325" s="88">
        <v>37574</v>
      </c>
      <c r="F325" s="19">
        <v>318</v>
      </c>
      <c r="G325" s="55">
        <v>0</v>
      </c>
      <c r="H325" s="96">
        <f t="shared" si="4"/>
        <v>0</v>
      </c>
    </row>
    <row r="326" spans="5:8" ht="12.75">
      <c r="E326" s="88">
        <v>37575</v>
      </c>
      <c r="F326" s="19">
        <v>319</v>
      </c>
      <c r="G326" s="55">
        <v>0</v>
      </c>
      <c r="H326" s="96">
        <f t="shared" si="4"/>
        <v>0</v>
      </c>
    </row>
    <row r="327" spans="5:8" ht="12.75">
      <c r="E327" s="88">
        <v>37576</v>
      </c>
      <c r="F327" s="19">
        <v>320</v>
      </c>
      <c r="G327" s="55">
        <v>0</v>
      </c>
      <c r="H327" s="96">
        <f t="shared" si="4"/>
        <v>0</v>
      </c>
    </row>
    <row r="328" spans="5:8" ht="12.75">
      <c r="E328" s="88">
        <v>37577</v>
      </c>
      <c r="F328" s="19">
        <v>321</v>
      </c>
      <c r="G328" s="55">
        <v>0</v>
      </c>
      <c r="H328" s="96">
        <f t="shared" si="4"/>
        <v>0</v>
      </c>
    </row>
    <row r="329" spans="5:8" ht="12.75">
      <c r="E329" s="88">
        <v>37578</v>
      </c>
      <c r="F329" s="19">
        <v>322</v>
      </c>
      <c r="G329" s="55">
        <v>0</v>
      </c>
      <c r="H329" s="96">
        <f aca="true" t="shared" si="5" ref="H329:H372">(G329*(1/(($B$6*$C$6)*0.0929))*3.785)</f>
        <v>0</v>
      </c>
    </row>
    <row r="330" spans="5:8" ht="12.75">
      <c r="E330" s="88">
        <v>37579</v>
      </c>
      <c r="F330" s="19">
        <v>323</v>
      </c>
      <c r="G330" s="55">
        <v>0</v>
      </c>
      <c r="H330" s="96">
        <f t="shared" si="5"/>
        <v>0</v>
      </c>
    </row>
    <row r="331" spans="5:8" ht="12.75">
      <c r="E331" s="88">
        <v>37580</v>
      </c>
      <c r="F331" s="19">
        <v>324</v>
      </c>
      <c r="G331" s="55">
        <v>0</v>
      </c>
      <c r="H331" s="96">
        <f t="shared" si="5"/>
        <v>0</v>
      </c>
    </row>
    <row r="332" spans="5:8" ht="12.75">
      <c r="E332" s="88">
        <v>37581</v>
      </c>
      <c r="F332" s="19">
        <v>325</v>
      </c>
      <c r="G332" s="55">
        <v>0</v>
      </c>
      <c r="H332" s="96">
        <f t="shared" si="5"/>
        <v>0</v>
      </c>
    </row>
    <row r="333" spans="5:8" ht="12.75">
      <c r="E333" s="88">
        <v>37582</v>
      </c>
      <c r="F333" s="19">
        <v>326</v>
      </c>
      <c r="G333" s="55">
        <v>0</v>
      </c>
      <c r="H333" s="96">
        <f t="shared" si="5"/>
        <v>0</v>
      </c>
    </row>
    <row r="334" spans="5:8" ht="12.75">
      <c r="E334" s="88">
        <v>37583</v>
      </c>
      <c r="F334" s="19">
        <v>327</v>
      </c>
      <c r="G334" s="55">
        <v>0</v>
      </c>
      <c r="H334" s="96">
        <f t="shared" si="5"/>
        <v>0</v>
      </c>
    </row>
    <row r="335" spans="5:8" ht="12.75">
      <c r="E335" s="88">
        <v>37584</v>
      </c>
      <c r="F335" s="19">
        <v>328</v>
      </c>
      <c r="G335" s="55">
        <v>0</v>
      </c>
      <c r="H335" s="96">
        <f t="shared" si="5"/>
        <v>0</v>
      </c>
    </row>
    <row r="336" spans="5:8" ht="12.75">
      <c r="E336" s="88">
        <v>37585</v>
      </c>
      <c r="F336" s="19">
        <v>329</v>
      </c>
      <c r="G336" s="55">
        <v>0</v>
      </c>
      <c r="H336" s="96">
        <f t="shared" si="5"/>
        <v>0</v>
      </c>
    </row>
    <row r="337" spans="5:8" ht="12.75">
      <c r="E337" s="88">
        <v>37586</v>
      </c>
      <c r="F337" s="19">
        <v>330</v>
      </c>
      <c r="G337" s="55">
        <v>0</v>
      </c>
      <c r="H337" s="96">
        <f t="shared" si="5"/>
        <v>0</v>
      </c>
    </row>
    <row r="338" spans="5:8" ht="12.75">
      <c r="E338" s="88">
        <v>37587</v>
      </c>
      <c r="F338" s="19">
        <v>331</v>
      </c>
      <c r="G338" s="55">
        <v>0</v>
      </c>
      <c r="H338" s="96">
        <f t="shared" si="5"/>
        <v>0</v>
      </c>
    </row>
    <row r="339" spans="5:8" ht="12.75">
      <c r="E339" s="88">
        <v>37588</v>
      </c>
      <c r="F339" s="19">
        <v>332</v>
      </c>
      <c r="G339" s="55">
        <v>0</v>
      </c>
      <c r="H339" s="96">
        <f t="shared" si="5"/>
        <v>0</v>
      </c>
    </row>
    <row r="340" spans="5:8" ht="12.75">
      <c r="E340" s="88">
        <v>37589</v>
      </c>
      <c r="F340" s="19">
        <v>333</v>
      </c>
      <c r="G340" s="55">
        <v>0</v>
      </c>
      <c r="H340" s="96">
        <f t="shared" si="5"/>
        <v>0</v>
      </c>
    </row>
    <row r="341" spans="5:8" ht="12.75">
      <c r="E341" s="88">
        <v>37590</v>
      </c>
      <c r="F341" s="19">
        <v>334</v>
      </c>
      <c r="G341" s="55">
        <v>0</v>
      </c>
      <c r="H341" s="96">
        <f t="shared" si="5"/>
        <v>0</v>
      </c>
    </row>
    <row r="342" spans="5:8" ht="12.75">
      <c r="E342" s="88">
        <v>37591</v>
      </c>
      <c r="F342" s="19">
        <v>335</v>
      </c>
      <c r="G342" s="55">
        <v>0</v>
      </c>
      <c r="H342" s="96">
        <f t="shared" si="5"/>
        <v>0</v>
      </c>
    </row>
    <row r="343" spans="5:8" ht="12.75">
      <c r="E343" s="88">
        <v>37592</v>
      </c>
      <c r="F343" s="19">
        <v>336</v>
      </c>
      <c r="G343" s="55">
        <v>0</v>
      </c>
      <c r="H343" s="96">
        <f t="shared" si="5"/>
        <v>0</v>
      </c>
    </row>
    <row r="344" spans="5:8" ht="12.75">
      <c r="E344" s="88">
        <v>37593</v>
      </c>
      <c r="F344" s="19">
        <v>337</v>
      </c>
      <c r="G344" s="55">
        <v>0</v>
      </c>
      <c r="H344" s="96">
        <f t="shared" si="5"/>
        <v>0</v>
      </c>
    </row>
    <row r="345" spans="5:8" ht="12.75">
      <c r="E345" s="88">
        <v>37594</v>
      </c>
      <c r="F345" s="19">
        <v>338</v>
      </c>
      <c r="G345" s="55">
        <v>0</v>
      </c>
      <c r="H345" s="96">
        <f t="shared" si="5"/>
        <v>0</v>
      </c>
    </row>
    <row r="346" spans="5:8" ht="12.75">
      <c r="E346" s="88">
        <v>37595</v>
      </c>
      <c r="F346" s="19">
        <v>339</v>
      </c>
      <c r="G346" s="55">
        <v>0</v>
      </c>
      <c r="H346" s="96">
        <f t="shared" si="5"/>
        <v>0</v>
      </c>
    </row>
    <row r="347" spans="5:8" ht="12.75">
      <c r="E347" s="88">
        <v>37596</v>
      </c>
      <c r="F347" s="19">
        <v>340</v>
      </c>
      <c r="G347" s="55">
        <v>0</v>
      </c>
      <c r="H347" s="96">
        <f t="shared" si="5"/>
        <v>0</v>
      </c>
    </row>
    <row r="348" spans="5:8" ht="12.75">
      <c r="E348" s="88">
        <v>37597</v>
      </c>
      <c r="F348" s="19">
        <v>341</v>
      </c>
      <c r="G348" s="55">
        <v>0</v>
      </c>
      <c r="H348" s="96">
        <f t="shared" si="5"/>
        <v>0</v>
      </c>
    </row>
    <row r="349" spans="5:8" ht="12.75">
      <c r="E349" s="88">
        <v>37598</v>
      </c>
      <c r="F349" s="19">
        <v>342</v>
      </c>
      <c r="G349" s="55">
        <v>0</v>
      </c>
      <c r="H349" s="96">
        <f t="shared" si="5"/>
        <v>0</v>
      </c>
    </row>
    <row r="350" spans="5:8" ht="12.75">
      <c r="E350" s="88">
        <v>37599</v>
      </c>
      <c r="F350" s="19">
        <v>343</v>
      </c>
      <c r="G350" s="55">
        <v>0</v>
      </c>
      <c r="H350" s="96">
        <f t="shared" si="5"/>
        <v>0</v>
      </c>
    </row>
    <row r="351" spans="5:8" ht="12.75">
      <c r="E351" s="88">
        <v>37600</v>
      </c>
      <c r="F351" s="19">
        <v>344</v>
      </c>
      <c r="G351" s="55">
        <v>0</v>
      </c>
      <c r="H351" s="96">
        <f t="shared" si="5"/>
        <v>0</v>
      </c>
    </row>
    <row r="352" spans="5:8" ht="12.75">
      <c r="E352" s="88">
        <v>37601</v>
      </c>
      <c r="F352" s="19">
        <v>345</v>
      </c>
      <c r="G352" s="55">
        <v>0</v>
      </c>
      <c r="H352" s="96">
        <f t="shared" si="5"/>
        <v>0</v>
      </c>
    </row>
    <row r="353" spans="5:8" ht="12.75">
      <c r="E353" s="88">
        <v>37602</v>
      </c>
      <c r="F353" s="19">
        <v>346</v>
      </c>
      <c r="G353" s="55">
        <v>0</v>
      </c>
      <c r="H353" s="96">
        <f t="shared" si="5"/>
        <v>0</v>
      </c>
    </row>
    <row r="354" spans="5:8" ht="12.75">
      <c r="E354" s="88">
        <v>37603</v>
      </c>
      <c r="F354" s="19">
        <v>347</v>
      </c>
      <c r="G354" s="55">
        <v>0</v>
      </c>
      <c r="H354" s="96">
        <f t="shared" si="5"/>
        <v>0</v>
      </c>
    </row>
    <row r="355" spans="5:8" ht="12.75">
      <c r="E355" s="88">
        <v>37604</v>
      </c>
      <c r="F355" s="19">
        <v>348</v>
      </c>
      <c r="G355" s="55">
        <v>0</v>
      </c>
      <c r="H355" s="96">
        <f t="shared" si="5"/>
        <v>0</v>
      </c>
    </row>
    <row r="356" spans="5:8" ht="12.75">
      <c r="E356" s="88">
        <v>37605</v>
      </c>
      <c r="F356" s="19">
        <v>349</v>
      </c>
      <c r="G356" s="55">
        <v>0</v>
      </c>
      <c r="H356" s="96">
        <f t="shared" si="5"/>
        <v>0</v>
      </c>
    </row>
    <row r="357" spans="5:8" ht="12.75">
      <c r="E357" s="88">
        <v>37606</v>
      </c>
      <c r="F357" s="19">
        <v>350</v>
      </c>
      <c r="G357" s="55">
        <v>0</v>
      </c>
      <c r="H357" s="96">
        <f t="shared" si="5"/>
        <v>0</v>
      </c>
    </row>
    <row r="358" spans="5:8" ht="12.75">
      <c r="E358" s="88">
        <v>37607</v>
      </c>
      <c r="F358" s="19">
        <v>351</v>
      </c>
      <c r="G358" s="55">
        <v>0</v>
      </c>
      <c r="H358" s="96">
        <f t="shared" si="5"/>
        <v>0</v>
      </c>
    </row>
    <row r="359" spans="5:8" ht="12.75">
      <c r="E359" s="88">
        <v>37608</v>
      </c>
      <c r="F359" s="19">
        <v>352</v>
      </c>
      <c r="G359" s="55">
        <v>0</v>
      </c>
      <c r="H359" s="96">
        <f t="shared" si="5"/>
        <v>0</v>
      </c>
    </row>
    <row r="360" spans="5:8" ht="12.75">
      <c r="E360" s="88">
        <v>37609</v>
      </c>
      <c r="F360" s="19">
        <v>353</v>
      </c>
      <c r="G360" s="55">
        <v>0</v>
      </c>
      <c r="H360" s="96">
        <f t="shared" si="5"/>
        <v>0</v>
      </c>
    </row>
    <row r="361" spans="5:8" ht="12.75">
      <c r="E361" s="88">
        <v>37610</v>
      </c>
      <c r="F361" s="19">
        <v>354</v>
      </c>
      <c r="G361" s="55">
        <v>0</v>
      </c>
      <c r="H361" s="96">
        <f t="shared" si="5"/>
        <v>0</v>
      </c>
    </row>
    <row r="362" spans="5:8" ht="12.75">
      <c r="E362" s="88">
        <v>37611</v>
      </c>
      <c r="F362" s="19">
        <v>355</v>
      </c>
      <c r="G362" s="55">
        <v>0</v>
      </c>
      <c r="H362" s="96">
        <f t="shared" si="5"/>
        <v>0</v>
      </c>
    </row>
    <row r="363" spans="5:8" ht="12.75">
      <c r="E363" s="88">
        <v>37612</v>
      </c>
      <c r="F363" s="19">
        <v>356</v>
      </c>
      <c r="G363" s="55">
        <v>0</v>
      </c>
      <c r="H363" s="96">
        <f t="shared" si="5"/>
        <v>0</v>
      </c>
    </row>
    <row r="364" spans="5:8" ht="12.75">
      <c r="E364" s="88">
        <v>37613</v>
      </c>
      <c r="F364" s="19">
        <v>357</v>
      </c>
      <c r="G364" s="55">
        <v>0</v>
      </c>
      <c r="H364" s="96">
        <f t="shared" si="5"/>
        <v>0</v>
      </c>
    </row>
    <row r="365" spans="5:8" ht="12.75">
      <c r="E365" s="88">
        <v>37614</v>
      </c>
      <c r="F365" s="19">
        <v>358</v>
      </c>
      <c r="G365" s="55">
        <v>0</v>
      </c>
      <c r="H365" s="96">
        <f t="shared" si="5"/>
        <v>0</v>
      </c>
    </row>
    <row r="366" spans="5:8" ht="12.75">
      <c r="E366" s="88">
        <v>37615</v>
      </c>
      <c r="F366" s="19">
        <v>359</v>
      </c>
      <c r="G366" s="55">
        <v>0</v>
      </c>
      <c r="H366" s="96">
        <f t="shared" si="5"/>
        <v>0</v>
      </c>
    </row>
    <row r="367" spans="5:8" ht="12.75">
      <c r="E367" s="88">
        <v>37616</v>
      </c>
      <c r="F367" s="19">
        <v>360</v>
      </c>
      <c r="G367" s="55">
        <v>0</v>
      </c>
      <c r="H367" s="96">
        <f t="shared" si="5"/>
        <v>0</v>
      </c>
    </row>
    <row r="368" spans="5:8" ht="12.75">
      <c r="E368" s="88">
        <v>37617</v>
      </c>
      <c r="F368" s="19">
        <v>361</v>
      </c>
      <c r="G368" s="55">
        <v>0</v>
      </c>
      <c r="H368" s="96">
        <f t="shared" si="5"/>
        <v>0</v>
      </c>
    </row>
    <row r="369" spans="5:8" ht="12.75">
      <c r="E369" s="88">
        <v>37618</v>
      </c>
      <c r="F369" s="19">
        <v>362</v>
      </c>
      <c r="G369" s="55">
        <v>0</v>
      </c>
      <c r="H369" s="96">
        <f t="shared" si="5"/>
        <v>0</v>
      </c>
    </row>
    <row r="370" spans="5:8" ht="12.75">
      <c r="E370" s="88">
        <v>37619</v>
      </c>
      <c r="F370" s="19">
        <v>363</v>
      </c>
      <c r="G370" s="55">
        <v>0</v>
      </c>
      <c r="H370" s="96">
        <f t="shared" si="5"/>
        <v>0</v>
      </c>
    </row>
    <row r="371" spans="5:8" ht="12.75">
      <c r="E371" s="88">
        <v>37620</v>
      </c>
      <c r="F371" s="19">
        <v>364</v>
      </c>
      <c r="G371" s="55">
        <v>0</v>
      </c>
      <c r="H371" s="96">
        <f t="shared" si="5"/>
        <v>0</v>
      </c>
    </row>
    <row r="372" spans="5:8" ht="12.75">
      <c r="E372" s="88">
        <v>37621</v>
      </c>
      <c r="F372" s="19">
        <v>365</v>
      </c>
      <c r="G372" s="55">
        <v>0</v>
      </c>
      <c r="H372" s="96">
        <f t="shared" si="5"/>
        <v>0</v>
      </c>
    </row>
  </sheetData>
  <sheetProtection sheet="1" objects="1" scenarios="1"/>
  <protectedRanges>
    <protectedRange sqref="G7:G372" name="Range2"/>
    <protectedRange sqref="B6:C6" name="Range1"/>
  </protectedRanges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 LPierce</cp:lastModifiedBy>
  <dcterms:created xsi:type="dcterms:W3CDTF">2001-11-13T01:51:21Z</dcterms:created>
  <dcterms:modified xsi:type="dcterms:W3CDTF">2006-03-02T17:09:17Z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